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0730" windowHeight="1176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K3281" i="1"/>
  <c r="J3281"/>
  <c r="G3281"/>
  <c r="F3281"/>
  <c r="C3281"/>
  <c r="K3280"/>
  <c r="J3280"/>
  <c r="G3280"/>
  <c r="F3280"/>
  <c r="C3280"/>
  <c r="K3279"/>
  <c r="J3279"/>
  <c r="G3279"/>
  <c r="F3279"/>
  <c r="C3279"/>
  <c r="K3278"/>
  <c r="J3278"/>
  <c r="G3278"/>
  <c r="F3278"/>
  <c r="C3278"/>
  <c r="K3277"/>
  <c r="J3277"/>
  <c r="G3277"/>
  <c r="F3277"/>
  <c r="C3277"/>
  <c r="K3276"/>
  <c r="J3276"/>
  <c r="G3276"/>
  <c r="F3276"/>
  <c r="C3276"/>
  <c r="K3275"/>
  <c r="J3275"/>
  <c r="G3275"/>
  <c r="F3275"/>
  <c r="C3275"/>
  <c r="K3274"/>
  <c r="J3274"/>
  <c r="G3274"/>
  <c r="F3274"/>
  <c r="C3274"/>
  <c r="K3273"/>
  <c r="J3273"/>
  <c r="G3273"/>
  <c r="F3273"/>
  <c r="C3273"/>
  <c r="K3272"/>
  <c r="J3272"/>
  <c r="G3272"/>
  <c r="F3272"/>
  <c r="C3272"/>
  <c r="K3271"/>
  <c r="J3271"/>
  <c r="G3271"/>
  <c r="F3271"/>
  <c r="C3271"/>
  <c r="K3270"/>
  <c r="J3270"/>
  <c r="G3270"/>
  <c r="F3270"/>
  <c r="C3270"/>
  <c r="K3269"/>
  <c r="J3269"/>
  <c r="G3269"/>
  <c r="F3269"/>
  <c r="C3269"/>
  <c r="K3268"/>
  <c r="J3268"/>
  <c r="G3268"/>
  <c r="F3268"/>
  <c r="C3268"/>
  <c r="K3267"/>
  <c r="J3267"/>
  <c r="G3267"/>
  <c r="F3267"/>
  <c r="C3267"/>
  <c r="K3266"/>
  <c r="J3266"/>
  <c r="G3266"/>
  <c r="F3266"/>
  <c r="C3266"/>
  <c r="K3265"/>
  <c r="J3265"/>
  <c r="G3265"/>
  <c r="F3265"/>
  <c r="C3265"/>
  <c r="K3264"/>
  <c r="J3264"/>
  <c r="G3264"/>
  <c r="F3264"/>
  <c r="C3264"/>
  <c r="K3263"/>
  <c r="J3263"/>
  <c r="G3263"/>
  <c r="F3263"/>
  <c r="C3263"/>
  <c r="K3262"/>
  <c r="J3262"/>
  <c r="G3262"/>
  <c r="F3262"/>
  <c r="C3262"/>
  <c r="K3261"/>
  <c r="J3261"/>
  <c r="G3261"/>
  <c r="F3261"/>
  <c r="C3261"/>
  <c r="K3260"/>
  <c r="J3260"/>
  <c r="G3260"/>
  <c r="F3260"/>
  <c r="C3260"/>
  <c r="K3259"/>
  <c r="J3259"/>
  <c r="G3259"/>
  <c r="F3259"/>
  <c r="C3259"/>
  <c r="K3258"/>
  <c r="J3258"/>
  <c r="G3258"/>
  <c r="F3258"/>
  <c r="C3258"/>
  <c r="K3257"/>
  <c r="J3257"/>
  <c r="G3257"/>
  <c r="F3257"/>
  <c r="C3257"/>
  <c r="K3256"/>
  <c r="J3256"/>
  <c r="G3256"/>
  <c r="F3256"/>
  <c r="C3256"/>
  <c r="K3255"/>
  <c r="J3255"/>
  <c r="G3255"/>
  <c r="F3255"/>
  <c r="C3255"/>
  <c r="K3254"/>
  <c r="J3254"/>
  <c r="G3254"/>
  <c r="F3254"/>
  <c r="C3254"/>
  <c r="K3253"/>
  <c r="J3253"/>
  <c r="G3253"/>
  <c r="F3253"/>
  <c r="C3253"/>
  <c r="K3252"/>
  <c r="J3252"/>
  <c r="G3252"/>
  <c r="F3252"/>
  <c r="C3252"/>
  <c r="K3251"/>
  <c r="J3251"/>
  <c r="G3251"/>
  <c r="F3251"/>
  <c r="C3251"/>
  <c r="K3250"/>
  <c r="J3250"/>
  <c r="G3250"/>
  <c r="F3250"/>
  <c r="C3250"/>
  <c r="K3249"/>
  <c r="J3249"/>
  <c r="G3249"/>
  <c r="F3249"/>
  <c r="C3249"/>
  <c r="K3248"/>
  <c r="J3248"/>
  <c r="G3248"/>
  <c r="F3248"/>
  <c r="C3248"/>
  <c r="K3247"/>
  <c r="J3247"/>
  <c r="G3247"/>
  <c r="F3247"/>
  <c r="C3247"/>
  <c r="K3246"/>
  <c r="J3246"/>
  <c r="G3246"/>
  <c r="F3246"/>
  <c r="C3246"/>
  <c r="K3245"/>
  <c r="J3245"/>
  <c r="G3245"/>
  <c r="F3245"/>
  <c r="C3245"/>
  <c r="K3244"/>
  <c r="J3244"/>
  <c r="G3244"/>
  <c r="F3244"/>
  <c r="C3244"/>
  <c r="K3243"/>
  <c r="J3243"/>
  <c r="G3243"/>
  <c r="F3243"/>
  <c r="C3243"/>
  <c r="K3242"/>
  <c r="J3242"/>
  <c r="G3242"/>
  <c r="F3242"/>
  <c r="C3242"/>
  <c r="K3241"/>
  <c r="J3241"/>
  <c r="G3241"/>
  <c r="F3241"/>
  <c r="C3241"/>
  <c r="K3240"/>
  <c r="J3240"/>
  <c r="G3240"/>
  <c r="F3240"/>
  <c r="C3240"/>
  <c r="K3239"/>
  <c r="J3239"/>
  <c r="G3239"/>
  <c r="F3239"/>
  <c r="C3239"/>
  <c r="K3238"/>
  <c r="J3238"/>
  <c r="G3238"/>
  <c r="F3238"/>
  <c r="C3238"/>
  <c r="K3237"/>
  <c r="J3237"/>
  <c r="G3237"/>
  <c r="F3237"/>
  <c r="C3237"/>
  <c r="K3236"/>
  <c r="J3236"/>
  <c r="G3236"/>
  <c r="F3236"/>
  <c r="C3236"/>
  <c r="K3235"/>
  <c r="J3235"/>
  <c r="G3235"/>
  <c r="F3235"/>
  <c r="C3235"/>
  <c r="K3234"/>
  <c r="J3234"/>
  <c r="G3234"/>
  <c r="F3234"/>
  <c r="C3234"/>
  <c r="K3233"/>
  <c r="J3233"/>
  <c r="G3233"/>
  <c r="F3233"/>
  <c r="C3233"/>
  <c r="K3232"/>
  <c r="J3232"/>
  <c r="G3232"/>
  <c r="F3232"/>
  <c r="C3232"/>
  <c r="K3231"/>
  <c r="J3231"/>
  <c r="G3231"/>
  <c r="F3231"/>
  <c r="C3231"/>
  <c r="K3230"/>
  <c r="J3230"/>
  <c r="G3230"/>
  <c r="F3230"/>
  <c r="C3230"/>
  <c r="K3229"/>
  <c r="J3229"/>
  <c r="G3229"/>
  <c r="F3229"/>
  <c r="C3229"/>
  <c r="K3228"/>
  <c r="J3228"/>
  <c r="G3228"/>
  <c r="F3228"/>
  <c r="C3228"/>
  <c r="K3227"/>
  <c r="J3227"/>
  <c r="G3227"/>
  <c r="F3227"/>
  <c r="C3227"/>
  <c r="K3226"/>
  <c r="J3226"/>
  <c r="G3226"/>
  <c r="F3226"/>
  <c r="C3226"/>
  <c r="K3225"/>
  <c r="J3225"/>
  <c r="G3225"/>
  <c r="F3225"/>
  <c r="C3225"/>
  <c r="K3224"/>
  <c r="J3224"/>
  <c r="G3224"/>
  <c r="F3224"/>
  <c r="C3224"/>
  <c r="K3223"/>
  <c r="J3223"/>
  <c r="G3223"/>
  <c r="F3223"/>
  <c r="C3223"/>
  <c r="K3222"/>
  <c r="J3222"/>
  <c r="G3222"/>
  <c r="F3222"/>
  <c r="C3222"/>
  <c r="K3221"/>
  <c r="J3221"/>
  <c r="G3221"/>
  <c r="F3221"/>
  <c r="C3221"/>
  <c r="K3220"/>
  <c r="J3220"/>
  <c r="G3220"/>
  <c r="F3220"/>
  <c r="C3220"/>
  <c r="K3219"/>
  <c r="J3219"/>
  <c r="G3219"/>
  <c r="F3219"/>
  <c r="C3219"/>
  <c r="K3218"/>
  <c r="J3218"/>
  <c r="G3218"/>
  <c r="F3218"/>
  <c r="C3218"/>
  <c r="K3217"/>
  <c r="J3217"/>
  <c r="G3217"/>
  <c r="F3217"/>
  <c r="C3217"/>
  <c r="K3216"/>
  <c r="J3216"/>
  <c r="G3216"/>
  <c r="F3216"/>
  <c r="C3216"/>
  <c r="K3215"/>
  <c r="J3215"/>
  <c r="G3215"/>
  <c r="F3215"/>
  <c r="C3215"/>
  <c r="K3214"/>
  <c r="J3214"/>
  <c r="G3214"/>
  <c r="F3214"/>
  <c r="C3214"/>
  <c r="K3213"/>
  <c r="J3213"/>
  <c r="G3213"/>
  <c r="F3213"/>
  <c r="C3213"/>
  <c r="K3212"/>
  <c r="J3212"/>
  <c r="G3212"/>
  <c r="F3212"/>
  <c r="C3212"/>
  <c r="K3211"/>
  <c r="J3211"/>
  <c r="G3211"/>
  <c r="F3211"/>
  <c r="C3211"/>
  <c r="K3210"/>
  <c r="J3210"/>
  <c r="G3210"/>
  <c r="F3210"/>
  <c r="C3210"/>
  <c r="K3209"/>
  <c r="J3209"/>
  <c r="G3209"/>
  <c r="F3209"/>
  <c r="C3209"/>
  <c r="K3208"/>
  <c r="J3208"/>
  <c r="G3208"/>
  <c r="F3208"/>
  <c r="C3208"/>
  <c r="K3207"/>
  <c r="J3207"/>
  <c r="G3207"/>
  <c r="F3207"/>
  <c r="C3207"/>
  <c r="K3206"/>
  <c r="J3206"/>
  <c r="G3206"/>
  <c r="F3206"/>
  <c r="C3206"/>
  <c r="K3205"/>
  <c r="J3205"/>
  <c r="G3205"/>
  <c r="F3205"/>
  <c r="C3205"/>
  <c r="K3204"/>
  <c r="J3204"/>
  <c r="G3204"/>
  <c r="F3204"/>
  <c r="C3204"/>
  <c r="K3203"/>
  <c r="J3203"/>
  <c r="G3203"/>
  <c r="F3203"/>
  <c r="C3203"/>
  <c r="K3202"/>
  <c r="J3202"/>
  <c r="G3202"/>
  <c r="F3202"/>
  <c r="C3202"/>
  <c r="K3201"/>
  <c r="J3201"/>
  <c r="G3201"/>
  <c r="F3201"/>
  <c r="C3201"/>
  <c r="K3200"/>
  <c r="J3200"/>
  <c r="G3200"/>
  <c r="F3200"/>
  <c r="C3200"/>
  <c r="K3199"/>
  <c r="J3199"/>
  <c r="G3199"/>
  <c r="F3199"/>
  <c r="C3199"/>
  <c r="K3198"/>
  <c r="J3198"/>
  <c r="G3198"/>
  <c r="F3198"/>
  <c r="C3198"/>
  <c r="K3197"/>
  <c r="J3197"/>
  <c r="G3197"/>
  <c r="F3197"/>
  <c r="C3197"/>
  <c r="K3196"/>
  <c r="J3196"/>
  <c r="G3196"/>
  <c r="F3196"/>
  <c r="C3196"/>
  <c r="K3195"/>
  <c r="J3195"/>
  <c r="G3195"/>
  <c r="F3195"/>
  <c r="C3195"/>
  <c r="K3194"/>
  <c r="J3194"/>
  <c r="G3194"/>
  <c r="F3194"/>
  <c r="C3194"/>
  <c r="K3193"/>
  <c r="J3193"/>
  <c r="G3193"/>
  <c r="F3193"/>
  <c r="C3193"/>
  <c r="K3192"/>
  <c r="J3192"/>
  <c r="G3192"/>
  <c r="F3192"/>
  <c r="C3192"/>
  <c r="K3191"/>
  <c r="J3191"/>
  <c r="G3191"/>
  <c r="F3191"/>
  <c r="C3191"/>
  <c r="K3190"/>
  <c r="J3190"/>
  <c r="G3190"/>
  <c r="F3190"/>
  <c r="C3190"/>
  <c r="K3189"/>
  <c r="J3189"/>
  <c r="G3189"/>
  <c r="F3189"/>
  <c r="C3189"/>
  <c r="K3188"/>
  <c r="J3188"/>
  <c r="G3188"/>
  <c r="F3188"/>
  <c r="C3188"/>
  <c r="K3187"/>
  <c r="J3187"/>
  <c r="G3187"/>
  <c r="F3187"/>
  <c r="C3187"/>
  <c r="K3186"/>
  <c r="J3186"/>
  <c r="G3186"/>
  <c r="F3186"/>
  <c r="C3186"/>
  <c r="K3185"/>
  <c r="J3185"/>
  <c r="G3185"/>
  <c r="F3185"/>
  <c r="C3185"/>
  <c r="K3184"/>
  <c r="J3184"/>
  <c r="G3184"/>
  <c r="F3184"/>
  <c r="C3184"/>
  <c r="K3183"/>
  <c r="J3183"/>
  <c r="G3183"/>
  <c r="F3183"/>
  <c r="C3183"/>
  <c r="K3182"/>
  <c r="J3182"/>
  <c r="G3182"/>
  <c r="F3182"/>
  <c r="C3182"/>
  <c r="K3181"/>
  <c r="J3181"/>
  <c r="G3181"/>
  <c r="F3181"/>
  <c r="C3181"/>
  <c r="K3180"/>
  <c r="J3180"/>
  <c r="G3180"/>
  <c r="F3180"/>
  <c r="C3180"/>
  <c r="K3179"/>
  <c r="J3179"/>
  <c r="G3179"/>
  <c r="F3179"/>
  <c r="C3179"/>
  <c r="K3178"/>
  <c r="J3178"/>
  <c r="G3178"/>
  <c r="F3178"/>
  <c r="C3178"/>
  <c r="K3177"/>
  <c r="J3177"/>
  <c r="G3177"/>
  <c r="F3177"/>
  <c r="C3177"/>
  <c r="K3176"/>
  <c r="J3176"/>
  <c r="G3176"/>
  <c r="F3176"/>
  <c r="C3176"/>
  <c r="K3175"/>
  <c r="G3175"/>
  <c r="F3175"/>
  <c r="C3175"/>
  <c r="K3174"/>
  <c r="J3174"/>
  <c r="G3174"/>
  <c r="F3174"/>
  <c r="C3174"/>
  <c r="K3173"/>
  <c r="G3173"/>
  <c r="F3173"/>
  <c r="C3173"/>
  <c r="K3172"/>
  <c r="J3172"/>
  <c r="G3172"/>
  <c r="F3172"/>
  <c r="C3172"/>
  <c r="K3171"/>
  <c r="J3171"/>
  <c r="G3171"/>
  <c r="F3171"/>
  <c r="C3171"/>
  <c r="K3170"/>
  <c r="J3170"/>
  <c r="G3170"/>
  <c r="F3170"/>
  <c r="C3170"/>
  <c r="K3169"/>
  <c r="J3169"/>
  <c r="G3169"/>
  <c r="F3169"/>
  <c r="C3169"/>
  <c r="K3168"/>
  <c r="J3168"/>
  <c r="G3168"/>
  <c r="F3168"/>
  <c r="C3168"/>
  <c r="K3167"/>
  <c r="J3167"/>
  <c r="G3167"/>
  <c r="F3167"/>
  <c r="C3167"/>
  <c r="K3166"/>
  <c r="J3166"/>
  <c r="G3166"/>
  <c r="F3166"/>
  <c r="C3166"/>
  <c r="K3165"/>
  <c r="J3165"/>
  <c r="G3165"/>
  <c r="F3165"/>
  <c r="C3165"/>
  <c r="K3164"/>
  <c r="J3164"/>
  <c r="G3164"/>
  <c r="F3164"/>
  <c r="C3164"/>
  <c r="K3163"/>
  <c r="J3163"/>
  <c r="G3163"/>
  <c r="F3163"/>
  <c r="C3163"/>
  <c r="K3162"/>
  <c r="J3162"/>
  <c r="G3162"/>
  <c r="F3162"/>
  <c r="C3162"/>
  <c r="K3161"/>
  <c r="J3161"/>
  <c r="G3161"/>
  <c r="F3161"/>
  <c r="C3161"/>
  <c r="K3160"/>
  <c r="J3160"/>
  <c r="G3160"/>
  <c r="F3160"/>
  <c r="C3160"/>
  <c r="K3159"/>
  <c r="J3159"/>
  <c r="G3159"/>
  <c r="F3159"/>
  <c r="C3159"/>
  <c r="K3158"/>
  <c r="J3158"/>
  <c r="G3158"/>
  <c r="F3158"/>
  <c r="C3158"/>
  <c r="K3157"/>
  <c r="J3157"/>
  <c r="G3157"/>
  <c r="F3157"/>
  <c r="C3157"/>
  <c r="K3156"/>
  <c r="J3156"/>
  <c r="G3156"/>
  <c r="F3156"/>
  <c r="C3156"/>
  <c r="K3155"/>
  <c r="J3155"/>
  <c r="G3155"/>
  <c r="F3155"/>
  <c r="C3155"/>
  <c r="K3154"/>
  <c r="J3154"/>
  <c r="G3154"/>
  <c r="F3154"/>
  <c r="C3154"/>
  <c r="K3153"/>
  <c r="J3153"/>
  <c r="G3153"/>
  <c r="F3153"/>
  <c r="C3153"/>
  <c r="K3152"/>
  <c r="J3152"/>
  <c r="G3152"/>
  <c r="F3152"/>
  <c r="C3152"/>
  <c r="K3151"/>
  <c r="J3151"/>
  <c r="G3151"/>
  <c r="F3151"/>
  <c r="C3151"/>
  <c r="K3150"/>
  <c r="J3150"/>
  <c r="G3150"/>
  <c r="F3150"/>
  <c r="C3150"/>
  <c r="K3149"/>
  <c r="J3149"/>
  <c r="G3149"/>
  <c r="F3149"/>
  <c r="C3149"/>
  <c r="K3148"/>
  <c r="J3148"/>
  <c r="G3148"/>
  <c r="F3148"/>
  <c r="C3148"/>
  <c r="K3147"/>
  <c r="J3147"/>
  <c r="G3147"/>
  <c r="F3147"/>
  <c r="C3147"/>
  <c r="K3146"/>
  <c r="J3146"/>
  <c r="G3146"/>
  <c r="F3146"/>
  <c r="C3146"/>
  <c r="K3145"/>
  <c r="J3145"/>
  <c r="G3145"/>
  <c r="F3145"/>
  <c r="C3145"/>
  <c r="K3144"/>
  <c r="J3144"/>
  <c r="G3144"/>
  <c r="F3144"/>
  <c r="C3144"/>
  <c r="K3143"/>
  <c r="J3143"/>
  <c r="G3143"/>
  <c r="F3143"/>
  <c r="C3143"/>
  <c r="K3142"/>
  <c r="J3142"/>
  <c r="G3142"/>
  <c r="F3142"/>
  <c r="C3142"/>
  <c r="K3141"/>
  <c r="J3141"/>
  <c r="G3141"/>
  <c r="F3141"/>
  <c r="C3141"/>
  <c r="K3140"/>
  <c r="J3140"/>
  <c r="G3140"/>
  <c r="F3140"/>
  <c r="C3140"/>
  <c r="K3139"/>
  <c r="J3139"/>
  <c r="G3139"/>
  <c r="F3139"/>
  <c r="C3139"/>
  <c r="K3138"/>
  <c r="J3138"/>
  <c r="G3138"/>
  <c r="F3138"/>
  <c r="C3138"/>
  <c r="K3137"/>
  <c r="J3137"/>
  <c r="G3137"/>
  <c r="F3137"/>
  <c r="C3137"/>
  <c r="K3136"/>
  <c r="J3136"/>
  <c r="G3136"/>
  <c r="F3136"/>
  <c r="C3136"/>
  <c r="K3135"/>
  <c r="J3135"/>
  <c r="G3135"/>
  <c r="F3135"/>
  <c r="C3135"/>
  <c r="K3134"/>
  <c r="J3134"/>
  <c r="G3134"/>
  <c r="F3134"/>
  <c r="C3134"/>
  <c r="K3133"/>
  <c r="J3133"/>
  <c r="G3133"/>
  <c r="F3133"/>
  <c r="C3133"/>
  <c r="K3132"/>
  <c r="J3132"/>
  <c r="G3132"/>
  <c r="F3132"/>
  <c r="C3132"/>
  <c r="K3131"/>
  <c r="J3131"/>
  <c r="G3131"/>
  <c r="F3131"/>
  <c r="C3131"/>
  <c r="K3130"/>
  <c r="J3130"/>
  <c r="G3130"/>
  <c r="F3130"/>
  <c r="C3130"/>
  <c r="K3129"/>
  <c r="J3129"/>
  <c r="G3129"/>
  <c r="F3129"/>
  <c r="C3129"/>
  <c r="K3128"/>
  <c r="J3128"/>
  <c r="G3128"/>
  <c r="F3128"/>
  <c r="C3128"/>
  <c r="K3127"/>
  <c r="J3127"/>
  <c r="G3127"/>
  <c r="F3127"/>
  <c r="C3127"/>
  <c r="K3126"/>
  <c r="J3126"/>
  <c r="G3126"/>
  <c r="F3126"/>
  <c r="C3126"/>
  <c r="K3125"/>
  <c r="J3125"/>
  <c r="G3125"/>
  <c r="F3125"/>
  <c r="C3125"/>
  <c r="K3124"/>
  <c r="J3124"/>
  <c r="G3124"/>
  <c r="F3124"/>
  <c r="C3124"/>
  <c r="K3123"/>
  <c r="J3123"/>
  <c r="G3123"/>
  <c r="F3123"/>
  <c r="C3123"/>
  <c r="K3122"/>
  <c r="J3122"/>
  <c r="G3122"/>
  <c r="F3122"/>
  <c r="C3122"/>
  <c r="K3121"/>
  <c r="J3121"/>
  <c r="G3121"/>
  <c r="F3121"/>
  <c r="C3121"/>
  <c r="K3120"/>
  <c r="J3120"/>
  <c r="G3120"/>
  <c r="F3120"/>
  <c r="C3120"/>
  <c r="K3119"/>
  <c r="J3119"/>
  <c r="G3119"/>
  <c r="F3119"/>
  <c r="C3119"/>
  <c r="K3118"/>
  <c r="J3118"/>
  <c r="G3118"/>
  <c r="F3118"/>
  <c r="C3118"/>
  <c r="K3117"/>
  <c r="J3117"/>
  <c r="G3117"/>
  <c r="F3117"/>
  <c r="C3117"/>
  <c r="K3116"/>
  <c r="J3116"/>
  <c r="G3116"/>
  <c r="F3116"/>
  <c r="C3116"/>
  <c r="K3115"/>
  <c r="J3115"/>
  <c r="G3115"/>
  <c r="F3115"/>
  <c r="C3115"/>
  <c r="K3114"/>
  <c r="J3114"/>
  <c r="G3114"/>
  <c r="F3114"/>
  <c r="C3114"/>
  <c r="K3113"/>
  <c r="J3113"/>
  <c r="G3113"/>
  <c r="F3113"/>
  <c r="C3113"/>
  <c r="K3112"/>
  <c r="J3112"/>
  <c r="G3112"/>
  <c r="F3112"/>
  <c r="C3112"/>
  <c r="K3111"/>
  <c r="J3111"/>
  <c r="G3111"/>
  <c r="F3111"/>
  <c r="C3111"/>
  <c r="K3110"/>
  <c r="J3110"/>
  <c r="G3110"/>
  <c r="F3110"/>
  <c r="C3110"/>
  <c r="K3109"/>
  <c r="J3109"/>
  <c r="G3109"/>
  <c r="F3109"/>
  <c r="C3109"/>
  <c r="K3108"/>
  <c r="J3108"/>
  <c r="G3108"/>
  <c r="F3108"/>
  <c r="C3108"/>
  <c r="K3107"/>
  <c r="J3107"/>
  <c r="G3107"/>
  <c r="F3107"/>
  <c r="C3107"/>
  <c r="K3106"/>
  <c r="J3106"/>
  <c r="G3106"/>
  <c r="F3106"/>
  <c r="C3106"/>
  <c r="K3105"/>
  <c r="J3105"/>
  <c r="G3105"/>
  <c r="F3105"/>
  <c r="C3105"/>
  <c r="K3104"/>
  <c r="J3104"/>
  <c r="G3104"/>
  <c r="F3104"/>
  <c r="C3104"/>
  <c r="K3103"/>
  <c r="J3103"/>
  <c r="G3103"/>
  <c r="F3103"/>
  <c r="C3103"/>
  <c r="K3102"/>
  <c r="J3102"/>
  <c r="G3102"/>
  <c r="F3102"/>
  <c r="C3102"/>
  <c r="K3101"/>
  <c r="J3101"/>
  <c r="G3101"/>
  <c r="F3101"/>
  <c r="C3101"/>
  <c r="K3100"/>
  <c r="J3100"/>
  <c r="G3100"/>
  <c r="F3100"/>
  <c r="C3100"/>
  <c r="K3099"/>
  <c r="J3099"/>
  <c r="G3099"/>
  <c r="F3099"/>
  <c r="C3099"/>
  <c r="K3098"/>
  <c r="J3098"/>
  <c r="G3098"/>
  <c r="F3098"/>
  <c r="C3098"/>
  <c r="K3097"/>
  <c r="J3097"/>
  <c r="G3097"/>
  <c r="F3097"/>
  <c r="C3097"/>
  <c r="K3096"/>
  <c r="J3096"/>
  <c r="G3096"/>
  <c r="F3096"/>
  <c r="C3096"/>
  <c r="K3095"/>
  <c r="J3095"/>
  <c r="G3095"/>
  <c r="F3095"/>
  <c r="C3095"/>
  <c r="K3094"/>
  <c r="J3094"/>
  <c r="G3094"/>
  <c r="F3094"/>
  <c r="C3094"/>
  <c r="K3093"/>
  <c r="J3093"/>
  <c r="G3093"/>
  <c r="F3093"/>
  <c r="C3093"/>
  <c r="K3092"/>
  <c r="J3092"/>
  <c r="G3092"/>
  <c r="F3092"/>
  <c r="C3092"/>
  <c r="K3091"/>
  <c r="J3091"/>
  <c r="G3091"/>
  <c r="F3091"/>
  <c r="C3091"/>
  <c r="K3090"/>
  <c r="J3090"/>
  <c r="G3090"/>
  <c r="F3090"/>
  <c r="C3090"/>
  <c r="K3089"/>
  <c r="J3089"/>
  <c r="G3089"/>
  <c r="F3089"/>
  <c r="C3089"/>
  <c r="K3088"/>
  <c r="J3088"/>
  <c r="G3088"/>
  <c r="F3088"/>
  <c r="C3088"/>
  <c r="K3087"/>
  <c r="J3087"/>
  <c r="G3087"/>
  <c r="F3087"/>
  <c r="C3087"/>
  <c r="K3086"/>
  <c r="J3086"/>
  <c r="G3086"/>
  <c r="F3086"/>
  <c r="C3086"/>
  <c r="K3085"/>
  <c r="J3085"/>
  <c r="G3085"/>
  <c r="F3085"/>
  <c r="C3085"/>
  <c r="K3084"/>
  <c r="J3084"/>
  <c r="G3084"/>
  <c r="F3084"/>
  <c r="C3084"/>
  <c r="K3083"/>
  <c r="J3083"/>
  <c r="G3083"/>
  <c r="F3083"/>
  <c r="C3083"/>
  <c r="K3082"/>
  <c r="J3082"/>
  <c r="G3082"/>
  <c r="F3082"/>
  <c r="C3082"/>
  <c r="K3081"/>
  <c r="J3081"/>
  <c r="G3081"/>
  <c r="F3081"/>
  <c r="C3081"/>
  <c r="K3080"/>
  <c r="J3080"/>
  <c r="G3080"/>
  <c r="F3080"/>
  <c r="C3080"/>
  <c r="K3079"/>
  <c r="J3079"/>
  <c r="G3079"/>
  <c r="F3079"/>
  <c r="C3079"/>
  <c r="K3078"/>
  <c r="J3078"/>
  <c r="G3078"/>
  <c r="F3078"/>
  <c r="C3078"/>
  <c r="K3077"/>
  <c r="J3077"/>
  <c r="G3077"/>
  <c r="F3077"/>
  <c r="C3077"/>
  <c r="K3076"/>
  <c r="J3076"/>
  <c r="G3076"/>
  <c r="F3076"/>
  <c r="C3076"/>
  <c r="K3075"/>
  <c r="J3075"/>
  <c r="G3075"/>
  <c r="F3075"/>
  <c r="C3075"/>
  <c r="K3074"/>
  <c r="J3074"/>
  <c r="G3074"/>
  <c r="F3074"/>
  <c r="C3074"/>
  <c r="K3073"/>
  <c r="J3073"/>
  <c r="G3073"/>
  <c r="F3073"/>
  <c r="C3073"/>
  <c r="K3072"/>
  <c r="J3072"/>
  <c r="G3072"/>
  <c r="F3072"/>
  <c r="C3072"/>
  <c r="K3071"/>
  <c r="J3071"/>
  <c r="G3071"/>
  <c r="F3071"/>
  <c r="C3071"/>
  <c r="K3070"/>
  <c r="J3070"/>
  <c r="G3070"/>
  <c r="F3070"/>
  <c r="C3070"/>
  <c r="K3069"/>
  <c r="J3069"/>
  <c r="G3069"/>
  <c r="F3069"/>
  <c r="C3069"/>
  <c r="K3068"/>
  <c r="J3068"/>
  <c r="G3068"/>
  <c r="F3068"/>
  <c r="C3068"/>
  <c r="K3067"/>
  <c r="J3067"/>
  <c r="G3067"/>
  <c r="F3067"/>
  <c r="C3067"/>
  <c r="K3066"/>
  <c r="J3066"/>
  <c r="G3066"/>
  <c r="F3066"/>
  <c r="C3066"/>
  <c r="K3065"/>
  <c r="J3065"/>
  <c r="G3065"/>
  <c r="F3065"/>
  <c r="C3065"/>
  <c r="K3064"/>
  <c r="J3064"/>
  <c r="G3064"/>
  <c r="F3064"/>
  <c r="C3064"/>
  <c r="K3063"/>
  <c r="J3063"/>
  <c r="G3063"/>
  <c r="F3063"/>
  <c r="C3063"/>
  <c r="K3062"/>
  <c r="J3062"/>
  <c r="G3062"/>
  <c r="F3062"/>
  <c r="C3062"/>
  <c r="K3061"/>
  <c r="J3061"/>
  <c r="G3061"/>
  <c r="F3061"/>
  <c r="C3061"/>
  <c r="K3060"/>
  <c r="J3060"/>
  <c r="G3060"/>
  <c r="F3060"/>
  <c r="C3060"/>
  <c r="K3059"/>
  <c r="J3059"/>
  <c r="G3059"/>
  <c r="F3059"/>
  <c r="C3059"/>
  <c r="K3058"/>
  <c r="J3058"/>
  <c r="G3058"/>
  <c r="F3058"/>
  <c r="C3058"/>
  <c r="K3057"/>
  <c r="J3057"/>
  <c r="G3057"/>
  <c r="F3057"/>
  <c r="C3057"/>
  <c r="K3056"/>
  <c r="J3056"/>
  <c r="G3056"/>
  <c r="F3056"/>
  <c r="C3056"/>
  <c r="K3055"/>
  <c r="J3055"/>
  <c r="G3055"/>
  <c r="F3055"/>
  <c r="C3055"/>
  <c r="K3054"/>
  <c r="J3054"/>
  <c r="G3054"/>
  <c r="F3054"/>
  <c r="C3054"/>
  <c r="K3053"/>
  <c r="J3053"/>
  <c r="G3053"/>
  <c r="F3053"/>
  <c r="C3053"/>
  <c r="K3052"/>
  <c r="J3052"/>
  <c r="G3052"/>
  <c r="F3052"/>
  <c r="C3052"/>
  <c r="K3051"/>
  <c r="J3051"/>
  <c r="G3051"/>
  <c r="F3051"/>
  <c r="C3051"/>
  <c r="K3050"/>
  <c r="J3050"/>
  <c r="G3050"/>
  <c r="F3050"/>
  <c r="C3050"/>
  <c r="K3049"/>
  <c r="J3049"/>
  <c r="G3049"/>
  <c r="F3049"/>
  <c r="C3049"/>
  <c r="K3048"/>
  <c r="J3048"/>
  <c r="G3048"/>
  <c r="F3048"/>
  <c r="C3048"/>
  <c r="K3047"/>
  <c r="J3047"/>
  <c r="G3047"/>
  <c r="F3047"/>
  <c r="C3047"/>
  <c r="K3046"/>
  <c r="J3046"/>
  <c r="G3046"/>
  <c r="F3046"/>
  <c r="C3046"/>
  <c r="K3045"/>
  <c r="J3045"/>
  <c r="G3045"/>
  <c r="F3045"/>
  <c r="C3045"/>
  <c r="K3044"/>
  <c r="J3044"/>
  <c r="G3044"/>
  <c r="F3044"/>
  <c r="C3044"/>
  <c r="K3043"/>
  <c r="J3043"/>
  <c r="G3043"/>
  <c r="F3043"/>
  <c r="C3043"/>
  <c r="K3042"/>
  <c r="J3042"/>
  <c r="G3042"/>
  <c r="F3042"/>
  <c r="C3042"/>
  <c r="K3041"/>
  <c r="J3041"/>
  <c r="G3041"/>
  <c r="F3041"/>
  <c r="C3041"/>
  <c r="K3040"/>
  <c r="J3040"/>
  <c r="G3040"/>
  <c r="F3040"/>
  <c r="C3040"/>
  <c r="K3039"/>
  <c r="J3039"/>
  <c r="G3039"/>
  <c r="F3039"/>
  <c r="C3039"/>
  <c r="K3038"/>
  <c r="J3038"/>
  <c r="G3038"/>
  <c r="F3038"/>
  <c r="C3038"/>
  <c r="K3037"/>
  <c r="J3037"/>
  <c r="G3037"/>
  <c r="F3037"/>
  <c r="C3037"/>
  <c r="K3036"/>
  <c r="J3036"/>
  <c r="G3036"/>
  <c r="F3036"/>
  <c r="C3036"/>
  <c r="K3035"/>
  <c r="J3035"/>
  <c r="G3035"/>
  <c r="F3035"/>
  <c r="C3035"/>
  <c r="K3034"/>
  <c r="J3034"/>
  <c r="G3034"/>
  <c r="F3034"/>
  <c r="C3034"/>
  <c r="K3033"/>
  <c r="J3033"/>
  <c r="G3033"/>
  <c r="F3033"/>
  <c r="C3033"/>
  <c r="K3032"/>
  <c r="J3032"/>
  <c r="G3032"/>
  <c r="F3032"/>
  <c r="C3032"/>
  <c r="K3031"/>
  <c r="J3031"/>
  <c r="G3031"/>
  <c r="F3031"/>
  <c r="C3031"/>
  <c r="K3030"/>
  <c r="J3030"/>
  <c r="G3030"/>
  <c r="F3030"/>
  <c r="C3030"/>
  <c r="K3029"/>
  <c r="J3029"/>
  <c r="G3029"/>
  <c r="F3029"/>
  <c r="C3029"/>
  <c r="K3028"/>
  <c r="J3028"/>
  <c r="G3028"/>
  <c r="F3028"/>
  <c r="C3028"/>
  <c r="K3027"/>
  <c r="J3027"/>
  <c r="G3027"/>
  <c r="F3027"/>
  <c r="C3027"/>
  <c r="K3026"/>
  <c r="J3026"/>
  <c r="G3026"/>
  <c r="F3026"/>
  <c r="C3026"/>
  <c r="K3025"/>
  <c r="J3025"/>
  <c r="G3025"/>
  <c r="F3025"/>
  <c r="C3025"/>
  <c r="K3024"/>
  <c r="J3024"/>
  <c r="G3024"/>
  <c r="F3024"/>
  <c r="C3024"/>
  <c r="K3023"/>
  <c r="J3023"/>
  <c r="G3023"/>
  <c r="F3023"/>
  <c r="C3023"/>
  <c r="K3022"/>
  <c r="J3022"/>
  <c r="G3022"/>
  <c r="F3022"/>
  <c r="C3022"/>
  <c r="K3021"/>
  <c r="J3021"/>
  <c r="G3021"/>
  <c r="F3021"/>
  <c r="C3021"/>
  <c r="K3020"/>
  <c r="J3020"/>
  <c r="G3020"/>
  <c r="F3020"/>
  <c r="C3020"/>
  <c r="K3019"/>
  <c r="J3019"/>
  <c r="G3019"/>
  <c r="F3019"/>
  <c r="C3019"/>
  <c r="K3018"/>
  <c r="J3018"/>
  <c r="G3018"/>
  <c r="F3018"/>
  <c r="C3018"/>
  <c r="K3017"/>
  <c r="J3017"/>
  <c r="G3017"/>
  <c r="F3017"/>
  <c r="C3017"/>
  <c r="K3016"/>
  <c r="J3016"/>
  <c r="G3016"/>
  <c r="F3016"/>
  <c r="C3016"/>
  <c r="K3015"/>
  <c r="J3015"/>
  <c r="G3015"/>
  <c r="F3015"/>
  <c r="C3015"/>
  <c r="K3014"/>
  <c r="J3014"/>
  <c r="G3014"/>
  <c r="F3014"/>
  <c r="C3014"/>
  <c r="K3013"/>
  <c r="G3013"/>
  <c r="F3013"/>
  <c r="C3013"/>
  <c r="K3012"/>
  <c r="J3012"/>
  <c r="G3012"/>
  <c r="F3012"/>
  <c r="C3012"/>
  <c r="K3011"/>
  <c r="J3011"/>
  <c r="G3011"/>
  <c r="F3011"/>
  <c r="C3011"/>
  <c r="K3010"/>
  <c r="J3010"/>
  <c r="G3010"/>
  <c r="F3010"/>
  <c r="C3010"/>
  <c r="K3009"/>
  <c r="J3009"/>
  <c r="G3009"/>
  <c r="F3009"/>
  <c r="C3009"/>
  <c r="K3008"/>
  <c r="J3008"/>
  <c r="G3008"/>
  <c r="F3008"/>
  <c r="C3008"/>
  <c r="K3007"/>
  <c r="J3007"/>
  <c r="G3007"/>
  <c r="F3007"/>
  <c r="C3007"/>
  <c r="K3006"/>
  <c r="J3006"/>
  <c r="G3006"/>
  <c r="F3006"/>
  <c r="C3006"/>
  <c r="K3005"/>
  <c r="J3005"/>
  <c r="G3005"/>
  <c r="F3005"/>
  <c r="C3005"/>
  <c r="K3004"/>
  <c r="J3004"/>
  <c r="G3004"/>
  <c r="F3004"/>
  <c r="C3004"/>
  <c r="K3003"/>
  <c r="J3003"/>
  <c r="G3003"/>
  <c r="F3003"/>
  <c r="C3003"/>
  <c r="K3002"/>
  <c r="G3002"/>
  <c r="F3002"/>
  <c r="C3002"/>
  <c r="K3001"/>
  <c r="J3001"/>
  <c r="G3001"/>
  <c r="F3001"/>
  <c r="C3001"/>
  <c r="K3000"/>
  <c r="J3000"/>
  <c r="G3000"/>
  <c r="F3000"/>
  <c r="C3000"/>
  <c r="K2999"/>
  <c r="J2999"/>
  <c r="G2999"/>
  <c r="F2999"/>
  <c r="C2999"/>
  <c r="K2998"/>
  <c r="J2998"/>
  <c r="G2998"/>
  <c r="F2998"/>
  <c r="C2998"/>
  <c r="K2997"/>
  <c r="J2997"/>
  <c r="G2997"/>
  <c r="F2997"/>
  <c r="C2997"/>
  <c r="K2996"/>
  <c r="J2996"/>
  <c r="G2996"/>
  <c r="F2996"/>
  <c r="C2996"/>
  <c r="K2995"/>
  <c r="J2995"/>
  <c r="G2995"/>
  <c r="F2995"/>
  <c r="C2995"/>
  <c r="K2994"/>
  <c r="J2994"/>
  <c r="G2994"/>
  <c r="F2994"/>
  <c r="C2994"/>
  <c r="K2993"/>
  <c r="J2993"/>
  <c r="G2993"/>
  <c r="F2993"/>
  <c r="C2993"/>
  <c r="K2992"/>
  <c r="J2992"/>
  <c r="G2992"/>
  <c r="F2992"/>
  <c r="C2992"/>
  <c r="K2991"/>
  <c r="J2991"/>
  <c r="G2991"/>
  <c r="F2991"/>
  <c r="C2991"/>
  <c r="K2990"/>
  <c r="J2990"/>
  <c r="G2990"/>
  <c r="F2990"/>
  <c r="C2990"/>
  <c r="K2989"/>
  <c r="J2989"/>
  <c r="G2989"/>
  <c r="F2989"/>
  <c r="C2989"/>
  <c r="K2988"/>
  <c r="J2988"/>
  <c r="G2988"/>
  <c r="F2988"/>
  <c r="C2988"/>
  <c r="K2987"/>
  <c r="J2987"/>
  <c r="G2987"/>
  <c r="F2987"/>
  <c r="C2987"/>
  <c r="K2986"/>
  <c r="J2986"/>
  <c r="G2986"/>
  <c r="F2986"/>
  <c r="C2986"/>
  <c r="K2985"/>
  <c r="J2985"/>
  <c r="G2985"/>
  <c r="F2985"/>
  <c r="C2985"/>
  <c r="K2984"/>
  <c r="J2984"/>
  <c r="G2984"/>
  <c r="F2984"/>
  <c r="C2984"/>
  <c r="K2983"/>
  <c r="J2983"/>
  <c r="G2983"/>
  <c r="F2983"/>
  <c r="C2983"/>
  <c r="K2982"/>
  <c r="J2982"/>
  <c r="G2982"/>
  <c r="F2982"/>
  <c r="C2982"/>
  <c r="K2981"/>
  <c r="J2981"/>
  <c r="G2981"/>
  <c r="F2981"/>
  <c r="C2981"/>
  <c r="K2980"/>
  <c r="J2980"/>
  <c r="G2980"/>
  <c r="F2980"/>
  <c r="C2980"/>
  <c r="K2979"/>
  <c r="J2979"/>
  <c r="G2979"/>
  <c r="F2979"/>
  <c r="C2979"/>
  <c r="K2978"/>
  <c r="J2978"/>
  <c r="G2978"/>
  <c r="F2978"/>
  <c r="C2978"/>
  <c r="K2977"/>
  <c r="J2977"/>
  <c r="G2977"/>
  <c r="F2977"/>
  <c r="C2977"/>
  <c r="K2976"/>
  <c r="J2976"/>
  <c r="G2976"/>
  <c r="F2976"/>
  <c r="C2976"/>
  <c r="K2975"/>
  <c r="J2975"/>
  <c r="G2975"/>
  <c r="F2975"/>
  <c r="C2975"/>
  <c r="K2974"/>
  <c r="J2974"/>
  <c r="G2974"/>
  <c r="F2974"/>
  <c r="C2974"/>
  <c r="K2973"/>
  <c r="J2973"/>
  <c r="G2973"/>
  <c r="F2973"/>
  <c r="C2973"/>
  <c r="K2972"/>
  <c r="J2972"/>
  <c r="G2972"/>
  <c r="F2972"/>
  <c r="C2972"/>
  <c r="K2971"/>
  <c r="J2971"/>
  <c r="G2971"/>
  <c r="F2971"/>
  <c r="C2971"/>
  <c r="K2970"/>
  <c r="J2970"/>
  <c r="G2970"/>
  <c r="F2970"/>
  <c r="C2970"/>
  <c r="K2969"/>
  <c r="J2969"/>
  <c r="G2969"/>
  <c r="F2969"/>
  <c r="C2969"/>
  <c r="K2968"/>
  <c r="J2968"/>
  <c r="G2968"/>
  <c r="F2968"/>
  <c r="C2968"/>
  <c r="K2967"/>
  <c r="J2967"/>
  <c r="G2967"/>
  <c r="F2967"/>
  <c r="C2967"/>
  <c r="K2966"/>
  <c r="J2966"/>
  <c r="G2966"/>
  <c r="F2966"/>
  <c r="C2966"/>
  <c r="K2965"/>
  <c r="J2965"/>
  <c r="G2965"/>
  <c r="F2965"/>
  <c r="C2965"/>
  <c r="K2964"/>
  <c r="J2964"/>
  <c r="G2964"/>
  <c r="F2964"/>
  <c r="C2964"/>
  <c r="K2963"/>
  <c r="J2963"/>
  <c r="G2963"/>
  <c r="F2963"/>
  <c r="C2963"/>
  <c r="K2962"/>
  <c r="J2962"/>
  <c r="G2962"/>
  <c r="F2962"/>
  <c r="C2962"/>
  <c r="K2961"/>
  <c r="J2961"/>
  <c r="G2961"/>
  <c r="F2961"/>
  <c r="C2961"/>
  <c r="K2960"/>
  <c r="J2960"/>
  <c r="G2960"/>
  <c r="F2960"/>
  <c r="C2960"/>
  <c r="K2959"/>
  <c r="J2959"/>
  <c r="G2959"/>
  <c r="F2959"/>
  <c r="C2959"/>
  <c r="K2958"/>
  <c r="J2958"/>
  <c r="G2958"/>
  <c r="F2958"/>
  <c r="C2958"/>
  <c r="K2957"/>
  <c r="J2957"/>
  <c r="G2957"/>
  <c r="F2957"/>
  <c r="C2957"/>
  <c r="K2956"/>
  <c r="J2956"/>
  <c r="G2956"/>
  <c r="F2956"/>
  <c r="C2956"/>
  <c r="K2955"/>
  <c r="J2955"/>
  <c r="G2955"/>
  <c r="F2955"/>
  <c r="C2955"/>
  <c r="K2954"/>
  <c r="J2954"/>
  <c r="G2954"/>
  <c r="F2954"/>
  <c r="C2954"/>
  <c r="K2953"/>
  <c r="J2953"/>
  <c r="G2953"/>
  <c r="F2953"/>
  <c r="C2953"/>
  <c r="K2952"/>
  <c r="J2952"/>
  <c r="G2952"/>
  <c r="F2952"/>
  <c r="C2952"/>
  <c r="K2951"/>
  <c r="J2951"/>
  <c r="G2951"/>
  <c r="F2951"/>
  <c r="C2951"/>
  <c r="K2950"/>
  <c r="J2950"/>
  <c r="G2950"/>
  <c r="F2950"/>
  <c r="C2950"/>
  <c r="K2949"/>
  <c r="J2949"/>
  <c r="G2949"/>
  <c r="F2949"/>
  <c r="C2949"/>
  <c r="K2948"/>
  <c r="J2948"/>
  <c r="G2948"/>
  <c r="F2948"/>
  <c r="C2948"/>
  <c r="K2947"/>
  <c r="J2947"/>
  <c r="G2947"/>
  <c r="F2947"/>
  <c r="C2947"/>
  <c r="K2946"/>
  <c r="J2946"/>
  <c r="G2946"/>
  <c r="F2946"/>
  <c r="C2946"/>
  <c r="K2945"/>
  <c r="J2945"/>
  <c r="G2945"/>
  <c r="F2945"/>
  <c r="C2945"/>
  <c r="K2944"/>
  <c r="J2944"/>
  <c r="G2944"/>
  <c r="F2944"/>
  <c r="C2944"/>
  <c r="K2943"/>
  <c r="J2943"/>
  <c r="G2943"/>
  <c r="F2943"/>
  <c r="C2943"/>
  <c r="K2942"/>
  <c r="J2942"/>
  <c r="G2942"/>
  <c r="F2942"/>
  <c r="C2942"/>
  <c r="K2941"/>
  <c r="J2941"/>
  <c r="G2941"/>
  <c r="F2941"/>
  <c r="C2941"/>
  <c r="K2940"/>
  <c r="J2940"/>
  <c r="G2940"/>
  <c r="F2940"/>
  <c r="C2940"/>
  <c r="K2939"/>
  <c r="J2939"/>
  <c r="G2939"/>
  <c r="F2939"/>
  <c r="C2939"/>
  <c r="K2938"/>
  <c r="J2938"/>
  <c r="G2938"/>
  <c r="F2938"/>
  <c r="C2938"/>
  <c r="K2937"/>
  <c r="J2937"/>
  <c r="G2937"/>
  <c r="F2937"/>
  <c r="C2937"/>
  <c r="K2936"/>
  <c r="J2936"/>
  <c r="G2936"/>
  <c r="F2936"/>
  <c r="C2936"/>
  <c r="K2935"/>
  <c r="J2935"/>
  <c r="G2935"/>
  <c r="F2935"/>
  <c r="C2935"/>
  <c r="K2934"/>
  <c r="J2934"/>
  <c r="G2934"/>
  <c r="F2934"/>
  <c r="C2934"/>
  <c r="K2933"/>
  <c r="J2933"/>
  <c r="G2933"/>
  <c r="F2933"/>
  <c r="C2933"/>
  <c r="K2932"/>
  <c r="J2932"/>
  <c r="G2932"/>
  <c r="F2932"/>
  <c r="C2932"/>
  <c r="K2931"/>
  <c r="J2931"/>
  <c r="G2931"/>
  <c r="F2931"/>
  <c r="C2931"/>
  <c r="K2930"/>
  <c r="J2930"/>
  <c r="G2930"/>
  <c r="F2930"/>
  <c r="C2930"/>
  <c r="K2929"/>
  <c r="J2929"/>
  <c r="G2929"/>
  <c r="F2929"/>
  <c r="C2929"/>
  <c r="K2928"/>
  <c r="J2928"/>
  <c r="G2928"/>
  <c r="F2928"/>
  <c r="C2928"/>
  <c r="K2927"/>
  <c r="J2927"/>
  <c r="G2927"/>
  <c r="F2927"/>
  <c r="C2927"/>
  <c r="K2926"/>
  <c r="J2926"/>
  <c r="G2926"/>
  <c r="F2926"/>
  <c r="C2926"/>
  <c r="K2925"/>
  <c r="J2925"/>
  <c r="G2925"/>
  <c r="F2925"/>
  <c r="C2925"/>
  <c r="K2924"/>
  <c r="J2924"/>
  <c r="G2924"/>
  <c r="F2924"/>
  <c r="C2924"/>
  <c r="K2923"/>
  <c r="J2923"/>
  <c r="G2923"/>
  <c r="F2923"/>
  <c r="C2923"/>
  <c r="K2922"/>
  <c r="J2922"/>
  <c r="G2922"/>
  <c r="F2922"/>
  <c r="C2922"/>
  <c r="K2921"/>
  <c r="J2921"/>
  <c r="G2921"/>
  <c r="F2921"/>
  <c r="C2921"/>
  <c r="K2920"/>
  <c r="J2920"/>
  <c r="G2920"/>
  <c r="F2920"/>
  <c r="C2920"/>
  <c r="K2919"/>
  <c r="J2919"/>
  <c r="G2919"/>
  <c r="F2919"/>
  <c r="C2919"/>
  <c r="K2918"/>
  <c r="J2918"/>
  <c r="G2918"/>
  <c r="F2918"/>
  <c r="C2918"/>
  <c r="K2917"/>
  <c r="J2917"/>
  <c r="G2917"/>
  <c r="F2917"/>
  <c r="C2917"/>
  <c r="K2916"/>
  <c r="J2916"/>
  <c r="G2916"/>
  <c r="F2916"/>
  <c r="C2916"/>
  <c r="K2915"/>
  <c r="J2915"/>
  <c r="G2915"/>
  <c r="F2915"/>
  <c r="C2915"/>
  <c r="K2914"/>
  <c r="J2914"/>
  <c r="G2914"/>
  <c r="F2914"/>
  <c r="C2914"/>
  <c r="K2913"/>
  <c r="J2913"/>
  <c r="G2913"/>
  <c r="F2913"/>
  <c r="C2913"/>
  <c r="K2912"/>
  <c r="J2912"/>
  <c r="G2912"/>
  <c r="F2912"/>
  <c r="C2912"/>
  <c r="K2911"/>
  <c r="J2911"/>
  <c r="G2911"/>
  <c r="F2911"/>
  <c r="C2911"/>
  <c r="K2910"/>
  <c r="J2910"/>
  <c r="G2910"/>
  <c r="F2910"/>
  <c r="C2910"/>
  <c r="K2909"/>
  <c r="J2909"/>
  <c r="G2909"/>
  <c r="F2909"/>
  <c r="C2909"/>
  <c r="K2908"/>
  <c r="J2908"/>
  <c r="G2908"/>
  <c r="F2908"/>
  <c r="C2908"/>
  <c r="K2907"/>
  <c r="J2907"/>
  <c r="G2907"/>
  <c r="F2907"/>
  <c r="C2907"/>
  <c r="K2906"/>
  <c r="J2906"/>
  <c r="G2906"/>
  <c r="F2906"/>
  <c r="C2906"/>
  <c r="K2905"/>
  <c r="G2905"/>
  <c r="F2905"/>
  <c r="C2905"/>
  <c r="K2904"/>
  <c r="J2904"/>
  <c r="G2904"/>
  <c r="F2904"/>
  <c r="C2904"/>
  <c r="K2903"/>
  <c r="J2903"/>
  <c r="G2903"/>
  <c r="F2903"/>
  <c r="C2903"/>
  <c r="K2902"/>
  <c r="J2902"/>
  <c r="G2902"/>
  <c r="F2902"/>
  <c r="C2902"/>
  <c r="K2901"/>
  <c r="J2901"/>
  <c r="G2901"/>
  <c r="F2901"/>
  <c r="C2901"/>
  <c r="K2900"/>
  <c r="J2900"/>
  <c r="G2900"/>
  <c r="F2900"/>
  <c r="C2900"/>
  <c r="K2899"/>
  <c r="J2899"/>
  <c r="G2899"/>
  <c r="F2899"/>
  <c r="C2899"/>
  <c r="K2898"/>
  <c r="J2898"/>
  <c r="G2898"/>
  <c r="F2898"/>
  <c r="C2898"/>
  <c r="K2897"/>
  <c r="J2897"/>
  <c r="G2897"/>
  <c r="F2897"/>
  <c r="C2897"/>
  <c r="K2896"/>
  <c r="J2896"/>
  <c r="G2896"/>
  <c r="F2896"/>
  <c r="C2896"/>
  <c r="K2895"/>
  <c r="J2895"/>
  <c r="G2895"/>
  <c r="F2895"/>
  <c r="C2895"/>
  <c r="K2894"/>
  <c r="J2894"/>
  <c r="G2894"/>
  <c r="F2894"/>
  <c r="C2894"/>
  <c r="K2893"/>
  <c r="J2893"/>
  <c r="G2893"/>
  <c r="F2893"/>
  <c r="C2893"/>
  <c r="K2892"/>
  <c r="J2892"/>
  <c r="G2892"/>
  <c r="F2892"/>
  <c r="C2892"/>
  <c r="K2891"/>
  <c r="J2891"/>
  <c r="G2891"/>
  <c r="F2891"/>
  <c r="C2891"/>
  <c r="K2890"/>
  <c r="J2890"/>
  <c r="G2890"/>
  <c r="F2890"/>
  <c r="C2890"/>
  <c r="K2889"/>
  <c r="J2889"/>
  <c r="G2889"/>
  <c r="F2889"/>
  <c r="C2889"/>
  <c r="K2888"/>
  <c r="J2888"/>
  <c r="G2888"/>
  <c r="F2888"/>
  <c r="C2888"/>
  <c r="K2887"/>
  <c r="J2887"/>
  <c r="G2887"/>
  <c r="F2887"/>
  <c r="C2887"/>
  <c r="K2886"/>
  <c r="J2886"/>
  <c r="G2886"/>
  <c r="F2886"/>
  <c r="C2886"/>
  <c r="K2885"/>
  <c r="J2885"/>
  <c r="G2885"/>
  <c r="F2885"/>
  <c r="C2885"/>
  <c r="K2884"/>
  <c r="J2884"/>
  <c r="G2884"/>
  <c r="F2884"/>
  <c r="C2884"/>
  <c r="K2883"/>
  <c r="J2883"/>
  <c r="G2883"/>
  <c r="F2883"/>
  <c r="C2883"/>
  <c r="K2882"/>
  <c r="J2882"/>
  <c r="G2882"/>
  <c r="F2882"/>
  <c r="C2882"/>
  <c r="K2881"/>
  <c r="J2881"/>
  <c r="G2881"/>
  <c r="F2881"/>
  <c r="C2881"/>
  <c r="K2880"/>
  <c r="J2880"/>
  <c r="G2880"/>
  <c r="F2880"/>
  <c r="C2880"/>
  <c r="K2879"/>
  <c r="J2879"/>
  <c r="G2879"/>
  <c r="F2879"/>
  <c r="C2879"/>
  <c r="K2878"/>
  <c r="J2878"/>
  <c r="G2878"/>
  <c r="F2878"/>
  <c r="C2878"/>
  <c r="K2877"/>
  <c r="J2877"/>
  <c r="G2877"/>
  <c r="F2877"/>
  <c r="C2877"/>
  <c r="K2876"/>
  <c r="J2876"/>
  <c r="G2876"/>
  <c r="F2876"/>
  <c r="C2876"/>
  <c r="K2875"/>
  <c r="J2875"/>
  <c r="G2875"/>
  <c r="F2875"/>
  <c r="C2875"/>
  <c r="K2874"/>
  <c r="J2874"/>
  <c r="G2874"/>
  <c r="F2874"/>
  <c r="C2874"/>
  <c r="K2873"/>
  <c r="J2873"/>
  <c r="G2873"/>
  <c r="F2873"/>
  <c r="C2873"/>
  <c r="K2872"/>
  <c r="J2872"/>
  <c r="G2872"/>
  <c r="F2872"/>
  <c r="C2872"/>
  <c r="K2871"/>
  <c r="J2871"/>
  <c r="G2871"/>
  <c r="F2871"/>
  <c r="C2871"/>
  <c r="K2870"/>
  <c r="J2870"/>
  <c r="G2870"/>
  <c r="F2870"/>
  <c r="C2870"/>
  <c r="K2869"/>
  <c r="J2869"/>
  <c r="G2869"/>
  <c r="F2869"/>
  <c r="C2869"/>
  <c r="K2868"/>
  <c r="J2868"/>
  <c r="G2868"/>
  <c r="F2868"/>
  <c r="C2868"/>
  <c r="K2867"/>
  <c r="J2867"/>
  <c r="G2867"/>
  <c r="F2867"/>
  <c r="C2867"/>
  <c r="K2866"/>
  <c r="J2866"/>
  <c r="G2866"/>
  <c r="F2866"/>
  <c r="C2866"/>
  <c r="K2865"/>
  <c r="J2865"/>
  <c r="G2865"/>
  <c r="F2865"/>
  <c r="C2865"/>
  <c r="K2864"/>
  <c r="J2864"/>
  <c r="G2864"/>
  <c r="F2864"/>
  <c r="C2864"/>
  <c r="K2863"/>
  <c r="J2863"/>
  <c r="G2863"/>
  <c r="F2863"/>
  <c r="C2863"/>
  <c r="K2862"/>
  <c r="J2862"/>
  <c r="G2862"/>
  <c r="F2862"/>
  <c r="C2862"/>
  <c r="K2861"/>
  <c r="J2861"/>
  <c r="G2861"/>
  <c r="F2861"/>
  <c r="C2861"/>
  <c r="K2860"/>
  <c r="J2860"/>
  <c r="G2860"/>
  <c r="F2860"/>
  <c r="C2860"/>
  <c r="K2859"/>
  <c r="J2859"/>
  <c r="G2859"/>
  <c r="F2859"/>
  <c r="C2859"/>
  <c r="K2858"/>
  <c r="J2858"/>
  <c r="G2858"/>
  <c r="F2858"/>
  <c r="C2858"/>
  <c r="K2857"/>
  <c r="J2857"/>
  <c r="G2857"/>
  <c r="F2857"/>
  <c r="C2857"/>
  <c r="K2856"/>
  <c r="J2856"/>
  <c r="G2856"/>
  <c r="F2856"/>
  <c r="C2856"/>
  <c r="K2855"/>
  <c r="J2855"/>
  <c r="G2855"/>
  <c r="F2855"/>
  <c r="C2855"/>
  <c r="K2854"/>
  <c r="J2854"/>
  <c r="G2854"/>
  <c r="F2854"/>
  <c r="C2854"/>
  <c r="K2853"/>
  <c r="J2853"/>
  <c r="G2853"/>
  <c r="F2853"/>
  <c r="C2853"/>
  <c r="K2852"/>
  <c r="J2852"/>
  <c r="G2852"/>
  <c r="F2852"/>
  <c r="C2852"/>
  <c r="K2851"/>
  <c r="J2851"/>
  <c r="G2851"/>
  <c r="F2851"/>
  <c r="C2851"/>
  <c r="K2850"/>
  <c r="J2850"/>
  <c r="G2850"/>
  <c r="F2850"/>
  <c r="C2850"/>
  <c r="K2849"/>
  <c r="J2849"/>
  <c r="G2849"/>
  <c r="F2849"/>
  <c r="C2849"/>
  <c r="K2848"/>
  <c r="J2848"/>
  <c r="G2848"/>
  <c r="F2848"/>
  <c r="C2848"/>
  <c r="K2847"/>
  <c r="J2847"/>
  <c r="G2847"/>
  <c r="F2847"/>
  <c r="C2847"/>
  <c r="K2846"/>
  <c r="J2846"/>
  <c r="G2846"/>
  <c r="F2846"/>
  <c r="C2846"/>
  <c r="K2845"/>
  <c r="J2845"/>
  <c r="G2845"/>
  <c r="F2845"/>
  <c r="C2845"/>
  <c r="K2844"/>
  <c r="J2844"/>
  <c r="G2844"/>
  <c r="F2844"/>
  <c r="C2844"/>
  <c r="K2843"/>
  <c r="J2843"/>
  <c r="G2843"/>
  <c r="F2843"/>
  <c r="C2843"/>
  <c r="K2842"/>
  <c r="J2842"/>
  <c r="G2842"/>
  <c r="F2842"/>
  <c r="C2842"/>
  <c r="K2841"/>
  <c r="J2841"/>
  <c r="G2841"/>
  <c r="F2841"/>
  <c r="C2841"/>
  <c r="K2840"/>
  <c r="J2840"/>
  <c r="G2840"/>
  <c r="F2840"/>
  <c r="C2840"/>
  <c r="K2839"/>
  <c r="J2839"/>
  <c r="G2839"/>
  <c r="F2839"/>
  <c r="C2839"/>
  <c r="K2838"/>
  <c r="J2838"/>
  <c r="G2838"/>
  <c r="F2838"/>
  <c r="C2838"/>
  <c r="K2837"/>
  <c r="J2837"/>
  <c r="G2837"/>
  <c r="F2837"/>
  <c r="C2837"/>
  <c r="K2836"/>
  <c r="J2836"/>
  <c r="G2836"/>
  <c r="F2836"/>
  <c r="C2836"/>
  <c r="K2835"/>
  <c r="J2835"/>
  <c r="G2835"/>
  <c r="F2835"/>
  <c r="C2835"/>
  <c r="K2834"/>
  <c r="J2834"/>
  <c r="G2834"/>
  <c r="F2834"/>
  <c r="C2834"/>
  <c r="K2833"/>
  <c r="J2833"/>
  <c r="G2833"/>
  <c r="F2833"/>
  <c r="C2833"/>
  <c r="K2832"/>
  <c r="J2832"/>
  <c r="G2832"/>
  <c r="F2832"/>
  <c r="C2832"/>
  <c r="K2831"/>
  <c r="J2831"/>
  <c r="G2831"/>
  <c r="F2831"/>
  <c r="C2831"/>
  <c r="K2830"/>
  <c r="J2830"/>
  <c r="G2830"/>
  <c r="F2830"/>
  <c r="C2830"/>
  <c r="K2829"/>
  <c r="J2829"/>
  <c r="G2829"/>
  <c r="F2829"/>
  <c r="C2829"/>
  <c r="K2828"/>
  <c r="J2828"/>
  <c r="G2828"/>
  <c r="F2828"/>
  <c r="C2828"/>
  <c r="K2827"/>
  <c r="J2827"/>
  <c r="G2827"/>
  <c r="F2827"/>
  <c r="C2827"/>
  <c r="K2826"/>
  <c r="J2826"/>
  <c r="G2826"/>
  <c r="F2826"/>
  <c r="C2826"/>
  <c r="K2825"/>
  <c r="J2825"/>
  <c r="G2825"/>
  <c r="F2825"/>
  <c r="C2825"/>
  <c r="K2824"/>
  <c r="J2824"/>
  <c r="G2824"/>
  <c r="F2824"/>
  <c r="C2824"/>
  <c r="K2823"/>
  <c r="J2823"/>
  <c r="G2823"/>
  <c r="F2823"/>
  <c r="C2823"/>
  <c r="K2822"/>
  <c r="J2822"/>
  <c r="G2822"/>
  <c r="F2822"/>
  <c r="C2822"/>
  <c r="K2821"/>
  <c r="J2821"/>
  <c r="G2821"/>
  <c r="F2821"/>
  <c r="C2821"/>
  <c r="K2820"/>
  <c r="J2820"/>
  <c r="G2820"/>
  <c r="F2820"/>
  <c r="C2820"/>
  <c r="K2819"/>
  <c r="J2819"/>
  <c r="G2819"/>
  <c r="F2819"/>
  <c r="C2819"/>
  <c r="K2818"/>
  <c r="J2818"/>
  <c r="G2818"/>
  <c r="F2818"/>
  <c r="C2818"/>
  <c r="K2817"/>
  <c r="J2817"/>
  <c r="G2817"/>
  <c r="F2817"/>
  <c r="C2817"/>
  <c r="K2816"/>
  <c r="J2816"/>
  <c r="G2816"/>
  <c r="F2816"/>
  <c r="C2816"/>
  <c r="K2815"/>
  <c r="J2815"/>
  <c r="G2815"/>
  <c r="F2815"/>
  <c r="C2815"/>
  <c r="K2814"/>
  <c r="J2814"/>
  <c r="G2814"/>
  <c r="F2814"/>
  <c r="C2814"/>
  <c r="K2813"/>
  <c r="J2813"/>
  <c r="G2813"/>
  <c r="F2813"/>
  <c r="C2813"/>
  <c r="K2812"/>
  <c r="J2812"/>
  <c r="G2812"/>
  <c r="F2812"/>
  <c r="C2812"/>
  <c r="K2811"/>
  <c r="J2811"/>
  <c r="G2811"/>
  <c r="F2811"/>
  <c r="C2811"/>
  <c r="K2810"/>
  <c r="J2810"/>
  <c r="G2810"/>
  <c r="F2810"/>
  <c r="C2810"/>
  <c r="K2809"/>
  <c r="J2809"/>
  <c r="G2809"/>
  <c r="F2809"/>
  <c r="C2809"/>
  <c r="K2808"/>
  <c r="J2808"/>
  <c r="G2808"/>
  <c r="F2808"/>
  <c r="C2808"/>
  <c r="K2807"/>
  <c r="J2807"/>
  <c r="G2807"/>
  <c r="F2807"/>
  <c r="C2807"/>
  <c r="K2806"/>
  <c r="J2806"/>
  <c r="G2806"/>
  <c r="F2806"/>
  <c r="C2806"/>
  <c r="K2805"/>
  <c r="J2805"/>
  <c r="G2805"/>
  <c r="F2805"/>
  <c r="C2805"/>
  <c r="K2804"/>
  <c r="J2804"/>
  <c r="G2804"/>
  <c r="F2804"/>
  <c r="C2804"/>
  <c r="K2803"/>
  <c r="J2803"/>
  <c r="G2803"/>
  <c r="F2803"/>
  <c r="C2803"/>
  <c r="K2802"/>
  <c r="J2802"/>
  <c r="G2802"/>
  <c r="F2802"/>
  <c r="C2802"/>
  <c r="K2801"/>
  <c r="J2801"/>
  <c r="G2801"/>
  <c r="F2801"/>
  <c r="C2801"/>
  <c r="K2800"/>
  <c r="J2800"/>
  <c r="G2800"/>
  <c r="F2800"/>
  <c r="C2800"/>
  <c r="K2799"/>
  <c r="J2799"/>
  <c r="G2799"/>
  <c r="F2799"/>
  <c r="C2799"/>
  <c r="K2798"/>
  <c r="J2798"/>
  <c r="G2798"/>
  <c r="F2798"/>
  <c r="C2798"/>
  <c r="K2797"/>
  <c r="J2797"/>
  <c r="G2797"/>
  <c r="F2797"/>
  <c r="C2797"/>
  <c r="K2796"/>
  <c r="J2796"/>
  <c r="G2796"/>
  <c r="F2796"/>
  <c r="C2796"/>
  <c r="K2795"/>
  <c r="J2795"/>
  <c r="G2795"/>
  <c r="F2795"/>
  <c r="C2795"/>
  <c r="K2794"/>
  <c r="J2794"/>
  <c r="G2794"/>
  <c r="F2794"/>
  <c r="C2794"/>
  <c r="K2793"/>
  <c r="J2793"/>
  <c r="G2793"/>
  <c r="F2793"/>
  <c r="C2793"/>
  <c r="K2792"/>
  <c r="J2792"/>
  <c r="G2792"/>
  <c r="F2792"/>
  <c r="C2792"/>
  <c r="K2791"/>
  <c r="J2791"/>
  <c r="G2791"/>
  <c r="F2791"/>
  <c r="C2791"/>
  <c r="K2790"/>
  <c r="J2790"/>
  <c r="G2790"/>
  <c r="F2790"/>
  <c r="C2790"/>
  <c r="K2789"/>
  <c r="J2789"/>
  <c r="G2789"/>
  <c r="F2789"/>
  <c r="C2789"/>
  <c r="K2788"/>
  <c r="J2788"/>
  <c r="G2788"/>
  <c r="F2788"/>
  <c r="C2788"/>
  <c r="K2787"/>
  <c r="J2787"/>
  <c r="G2787"/>
  <c r="F2787"/>
  <c r="C2787"/>
  <c r="K2786"/>
  <c r="J2786"/>
  <c r="G2786"/>
  <c r="F2786"/>
  <c r="C2786"/>
  <c r="K2785"/>
  <c r="J2785"/>
  <c r="G2785"/>
  <c r="F2785"/>
  <c r="C2785"/>
  <c r="K2784"/>
  <c r="J2784"/>
  <c r="G2784"/>
  <c r="F2784"/>
  <c r="C2784"/>
  <c r="K2783"/>
  <c r="J2783"/>
  <c r="G2783"/>
  <c r="F2783"/>
  <c r="C2783"/>
  <c r="K2782"/>
  <c r="J2782"/>
  <c r="G2782"/>
  <c r="F2782"/>
  <c r="C2782"/>
  <c r="K2781"/>
  <c r="J2781"/>
  <c r="G2781"/>
  <c r="F2781"/>
  <c r="C2781"/>
  <c r="K2780"/>
  <c r="J2780"/>
  <c r="G2780"/>
  <c r="F2780"/>
  <c r="C2780"/>
  <c r="K2779"/>
  <c r="J2779"/>
  <c r="G2779"/>
  <c r="F2779"/>
  <c r="C2779"/>
  <c r="K2778"/>
  <c r="J2778"/>
  <c r="G2778"/>
  <c r="F2778"/>
  <c r="C2778"/>
  <c r="K2777"/>
  <c r="J2777"/>
  <c r="G2777"/>
  <c r="F2777"/>
  <c r="C2777"/>
  <c r="K2776"/>
  <c r="J2776"/>
  <c r="G2776"/>
  <c r="F2776"/>
  <c r="C2776"/>
  <c r="K2775"/>
  <c r="J2775"/>
  <c r="G2775"/>
  <c r="F2775"/>
  <c r="C2775"/>
  <c r="K2774"/>
  <c r="J2774"/>
  <c r="G2774"/>
  <c r="F2774"/>
  <c r="C2774"/>
  <c r="K2773"/>
  <c r="J2773"/>
  <c r="G2773"/>
  <c r="F2773"/>
  <c r="C2773"/>
  <c r="K2772"/>
  <c r="J2772"/>
  <c r="G2772"/>
  <c r="F2772"/>
  <c r="C2772"/>
  <c r="K2771"/>
  <c r="J2771"/>
  <c r="G2771"/>
  <c r="F2771"/>
  <c r="C2771"/>
  <c r="K2770"/>
  <c r="J2770"/>
  <c r="G2770"/>
  <c r="F2770"/>
  <c r="C2770"/>
  <c r="K2769"/>
  <c r="J2769"/>
  <c r="G2769"/>
  <c r="F2769"/>
  <c r="C2769"/>
  <c r="K2768"/>
  <c r="J2768"/>
  <c r="G2768"/>
  <c r="F2768"/>
  <c r="C2768"/>
  <c r="K2767"/>
  <c r="J2767"/>
  <c r="G2767"/>
  <c r="F2767"/>
  <c r="C2767"/>
  <c r="K2766"/>
  <c r="J2766"/>
  <c r="G2766"/>
  <c r="F2766"/>
  <c r="C2766"/>
  <c r="K2765"/>
  <c r="J2765"/>
  <c r="G2765"/>
  <c r="F2765"/>
  <c r="C2765"/>
  <c r="K2764"/>
  <c r="J2764"/>
  <c r="G2764"/>
  <c r="F2764"/>
  <c r="C2764"/>
  <c r="K2763"/>
  <c r="J2763"/>
  <c r="G2763"/>
  <c r="F2763"/>
  <c r="C2763"/>
  <c r="K2762"/>
  <c r="J2762"/>
  <c r="G2762"/>
  <c r="F2762"/>
  <c r="C2762"/>
  <c r="K2761"/>
  <c r="J2761"/>
  <c r="G2761"/>
  <c r="F2761"/>
  <c r="C2761"/>
  <c r="K2760"/>
  <c r="J2760"/>
  <c r="G2760"/>
  <c r="F2760"/>
  <c r="C2760"/>
  <c r="K2759"/>
  <c r="J2759"/>
  <c r="G2759"/>
  <c r="F2759"/>
  <c r="C2759"/>
  <c r="K2758"/>
  <c r="J2758"/>
  <c r="G2758"/>
  <c r="F2758"/>
  <c r="C2758"/>
  <c r="K2757"/>
  <c r="J2757"/>
  <c r="G2757"/>
  <c r="F2757"/>
  <c r="C2757"/>
  <c r="K2756"/>
  <c r="J2756"/>
  <c r="G2756"/>
  <c r="F2756"/>
  <c r="C2756"/>
  <c r="K2755"/>
  <c r="J2755"/>
  <c r="G2755"/>
  <c r="F2755"/>
  <c r="C2755"/>
  <c r="K2754"/>
  <c r="J2754"/>
  <c r="G2754"/>
  <c r="F2754"/>
  <c r="C2754"/>
  <c r="K2753"/>
  <c r="J2753"/>
  <c r="G2753"/>
  <c r="F2753"/>
  <c r="C2753"/>
  <c r="K2752"/>
  <c r="J2752"/>
  <c r="G2752"/>
  <c r="F2752"/>
  <c r="C2752"/>
  <c r="K2751"/>
  <c r="J2751"/>
  <c r="G2751"/>
  <c r="F2751"/>
  <c r="C2751"/>
  <c r="K2750"/>
  <c r="J2750"/>
  <c r="G2750"/>
  <c r="F2750"/>
  <c r="C2750"/>
  <c r="K2749"/>
  <c r="J2749"/>
  <c r="G2749"/>
  <c r="F2749"/>
  <c r="C2749"/>
  <c r="K2748"/>
  <c r="J2748"/>
  <c r="G2748"/>
  <c r="F2748"/>
  <c r="C2748"/>
  <c r="K2747"/>
  <c r="J2747"/>
  <c r="G2747"/>
  <c r="F2747"/>
  <c r="C2747"/>
  <c r="K2746"/>
  <c r="J2746"/>
  <c r="G2746"/>
  <c r="F2746"/>
  <c r="C2746"/>
  <c r="K2745"/>
  <c r="J2745"/>
  <c r="G2745"/>
  <c r="F2745"/>
  <c r="C2745"/>
  <c r="K2744"/>
  <c r="J2744"/>
  <c r="G2744"/>
  <c r="F2744"/>
  <c r="C2744"/>
  <c r="K2743"/>
  <c r="J2743"/>
  <c r="G2743"/>
  <c r="F2743"/>
  <c r="C2743"/>
  <c r="K2742"/>
  <c r="J2742"/>
  <c r="G2742"/>
  <c r="F2742"/>
  <c r="C2742"/>
  <c r="K2741"/>
  <c r="J2741"/>
  <c r="G2741"/>
  <c r="F2741"/>
  <c r="C2741"/>
  <c r="K2740"/>
  <c r="J2740"/>
  <c r="G2740"/>
  <c r="F2740"/>
  <c r="C2740"/>
  <c r="K2739"/>
  <c r="J2739"/>
  <c r="G2739"/>
  <c r="F2739"/>
  <c r="C2739"/>
  <c r="K2738"/>
  <c r="J2738"/>
  <c r="G2738"/>
  <c r="F2738"/>
  <c r="C2738"/>
  <c r="K2737"/>
  <c r="J2737"/>
  <c r="G2737"/>
  <c r="F2737"/>
  <c r="C2737"/>
  <c r="K2736"/>
  <c r="J2736"/>
  <c r="G2736"/>
  <c r="F2736"/>
  <c r="C2736"/>
  <c r="K2735"/>
  <c r="J2735"/>
  <c r="G2735"/>
  <c r="F2735"/>
  <c r="C2735"/>
  <c r="K2734"/>
  <c r="J2734"/>
  <c r="G2734"/>
  <c r="F2734"/>
  <c r="C2734"/>
  <c r="K2733"/>
  <c r="J2733"/>
  <c r="G2733"/>
  <c r="F2733"/>
  <c r="C2733"/>
  <c r="K2732"/>
  <c r="J2732"/>
  <c r="G2732"/>
  <c r="F2732"/>
  <c r="C2732"/>
  <c r="K2731"/>
  <c r="J2731"/>
  <c r="G2731"/>
  <c r="F2731"/>
  <c r="C2731"/>
  <c r="K2730"/>
  <c r="J2730"/>
  <c r="G2730"/>
  <c r="F2730"/>
  <c r="C2730"/>
  <c r="K2729"/>
  <c r="J2729"/>
  <c r="G2729"/>
  <c r="F2729"/>
  <c r="C2729"/>
  <c r="K2728"/>
  <c r="J2728"/>
  <c r="G2728"/>
  <c r="F2728"/>
  <c r="C2728"/>
  <c r="K2727"/>
  <c r="J2727"/>
  <c r="G2727"/>
  <c r="F2727"/>
  <c r="C2727"/>
  <c r="K2726"/>
  <c r="J2726"/>
  <c r="G2726"/>
  <c r="F2726"/>
  <c r="C2726"/>
  <c r="K2725"/>
  <c r="J2725"/>
  <c r="G2725"/>
  <c r="F2725"/>
  <c r="C2725"/>
  <c r="K2724"/>
  <c r="J2724"/>
  <c r="G2724"/>
  <c r="F2724"/>
  <c r="C2724"/>
  <c r="K2723"/>
  <c r="J2723"/>
  <c r="G2723"/>
  <c r="F2723"/>
  <c r="C2723"/>
  <c r="K2722"/>
  <c r="J2722"/>
  <c r="G2722"/>
  <c r="F2722"/>
  <c r="C2722"/>
  <c r="K2721"/>
  <c r="J2721"/>
  <c r="G2721"/>
  <c r="F2721"/>
  <c r="C2721"/>
  <c r="K2720"/>
  <c r="J2720"/>
  <c r="G2720"/>
  <c r="F2720"/>
  <c r="C2720"/>
  <c r="K2719"/>
  <c r="J2719"/>
  <c r="G2719"/>
  <c r="F2719"/>
  <c r="C2719"/>
  <c r="K2718"/>
  <c r="J2718"/>
  <c r="G2718"/>
  <c r="F2718"/>
  <c r="C2718"/>
  <c r="K2717"/>
  <c r="J2717"/>
  <c r="G2717"/>
  <c r="F2717"/>
  <c r="C2717"/>
  <c r="K2716"/>
  <c r="J2716"/>
  <c r="G2716"/>
  <c r="F2716"/>
  <c r="C2716"/>
  <c r="K2715"/>
  <c r="J2715"/>
  <c r="G2715"/>
  <c r="F2715"/>
  <c r="C2715"/>
  <c r="K2714"/>
  <c r="J2714"/>
  <c r="G2714"/>
  <c r="F2714"/>
  <c r="C2714"/>
  <c r="K2713"/>
  <c r="J2713"/>
  <c r="G2713"/>
  <c r="F2713"/>
  <c r="C2713"/>
  <c r="K2712"/>
  <c r="J2712"/>
  <c r="G2712"/>
  <c r="F2712"/>
  <c r="C2712"/>
  <c r="K2711"/>
  <c r="J2711"/>
  <c r="G2711"/>
  <c r="F2711"/>
  <c r="C2711"/>
  <c r="K2710"/>
  <c r="J2710"/>
  <c r="G2710"/>
  <c r="F2710"/>
  <c r="C2710"/>
  <c r="K2709"/>
  <c r="J2709"/>
  <c r="G2709"/>
  <c r="F2709"/>
  <c r="C2709"/>
  <c r="K2708"/>
  <c r="J2708"/>
  <c r="G2708"/>
  <c r="F2708"/>
  <c r="C2708"/>
  <c r="K2707"/>
  <c r="J2707"/>
  <c r="G2707"/>
  <c r="F2707"/>
  <c r="C2707"/>
  <c r="K2706"/>
  <c r="J2706"/>
  <c r="G2706"/>
  <c r="F2706"/>
  <c r="C2706"/>
  <c r="K2705"/>
  <c r="J2705"/>
  <c r="G2705"/>
  <c r="F2705"/>
  <c r="C2705"/>
  <c r="K2704"/>
  <c r="J2704"/>
  <c r="G2704"/>
  <c r="F2704"/>
  <c r="C2704"/>
  <c r="K2703"/>
  <c r="J2703"/>
  <c r="G2703"/>
  <c r="F2703"/>
  <c r="C2703"/>
  <c r="K2702"/>
  <c r="G2702"/>
  <c r="F2702"/>
  <c r="C2702"/>
  <c r="K2701"/>
  <c r="J2701"/>
  <c r="G2701"/>
  <c r="F2701"/>
  <c r="C2701"/>
  <c r="K2700"/>
  <c r="J2700"/>
  <c r="G2700"/>
  <c r="F2700"/>
  <c r="C2700"/>
  <c r="K2699"/>
  <c r="J2699"/>
  <c r="G2699"/>
  <c r="F2699"/>
  <c r="C2699"/>
  <c r="K2698"/>
  <c r="J2698"/>
  <c r="G2698"/>
  <c r="F2698"/>
  <c r="C2698"/>
  <c r="K2697"/>
  <c r="J2697"/>
  <c r="G2697"/>
  <c r="F2697"/>
  <c r="C2697"/>
  <c r="K2696"/>
  <c r="J2696"/>
  <c r="G2696"/>
  <c r="F2696"/>
  <c r="C2696"/>
  <c r="K2695"/>
  <c r="J2695"/>
  <c r="G2695"/>
  <c r="F2695"/>
  <c r="C2695"/>
  <c r="K2694"/>
  <c r="J2694"/>
  <c r="G2694"/>
  <c r="F2694"/>
  <c r="C2694"/>
  <c r="K2693"/>
  <c r="J2693"/>
  <c r="G2693"/>
  <c r="F2693"/>
  <c r="C2693"/>
  <c r="K2692"/>
  <c r="J2692"/>
  <c r="G2692"/>
  <c r="F2692"/>
  <c r="C2692"/>
  <c r="K2691"/>
  <c r="J2691"/>
  <c r="G2691"/>
  <c r="F2691"/>
  <c r="C2691"/>
  <c r="K2690"/>
  <c r="J2690"/>
  <c r="G2690"/>
  <c r="F2690"/>
  <c r="C2690"/>
  <c r="K2689"/>
  <c r="J2689"/>
  <c r="G2689"/>
  <c r="F2689"/>
  <c r="C2689"/>
  <c r="K2688"/>
  <c r="J2688"/>
  <c r="G2688"/>
  <c r="F2688"/>
  <c r="C2688"/>
  <c r="K2687"/>
  <c r="J2687"/>
  <c r="G2687"/>
  <c r="F2687"/>
  <c r="C2687"/>
  <c r="K2686"/>
  <c r="J2686"/>
  <c r="G2686"/>
  <c r="F2686"/>
  <c r="C2686"/>
  <c r="K2685"/>
  <c r="J2685"/>
  <c r="G2685"/>
  <c r="F2685"/>
  <c r="C2685"/>
  <c r="K2684"/>
  <c r="G2684"/>
  <c r="F2684"/>
  <c r="C2684"/>
  <c r="K2683"/>
  <c r="J2683"/>
  <c r="G2683"/>
  <c r="F2683"/>
  <c r="C2683"/>
  <c r="K2682"/>
  <c r="J2682"/>
  <c r="G2682"/>
  <c r="F2682"/>
  <c r="C2682"/>
  <c r="K2681"/>
  <c r="J2681"/>
  <c r="G2681"/>
  <c r="F2681"/>
  <c r="C2681"/>
  <c r="K2680"/>
  <c r="J2680"/>
  <c r="G2680"/>
  <c r="F2680"/>
  <c r="C2680"/>
  <c r="K2679"/>
  <c r="J2679"/>
  <c r="G2679"/>
  <c r="F2679"/>
  <c r="C2679"/>
  <c r="K2678"/>
  <c r="J2678"/>
  <c r="G2678"/>
  <c r="F2678"/>
  <c r="C2678"/>
  <c r="K2677"/>
  <c r="J2677"/>
  <c r="G2677"/>
  <c r="F2677"/>
  <c r="C2677"/>
  <c r="K2676"/>
  <c r="J2676"/>
  <c r="G2676"/>
  <c r="F2676"/>
  <c r="C2676"/>
  <c r="K2675"/>
  <c r="J2675"/>
  <c r="G2675"/>
  <c r="F2675"/>
  <c r="C2675"/>
  <c r="K2674"/>
  <c r="J2674"/>
  <c r="G2674"/>
  <c r="F2674"/>
  <c r="C2674"/>
  <c r="K2673"/>
  <c r="J2673"/>
  <c r="G2673"/>
  <c r="F2673"/>
  <c r="C2673"/>
  <c r="K2672"/>
  <c r="J2672"/>
  <c r="G2672"/>
  <c r="F2672"/>
  <c r="C2672"/>
  <c r="K2671"/>
  <c r="J2671"/>
  <c r="G2671"/>
  <c r="F2671"/>
  <c r="C2671"/>
  <c r="K2670"/>
  <c r="J2670"/>
  <c r="G2670"/>
  <c r="F2670"/>
  <c r="C2670"/>
  <c r="K2669"/>
  <c r="J2669"/>
  <c r="G2669"/>
  <c r="F2669"/>
  <c r="C2669"/>
  <c r="K2668"/>
  <c r="J2668"/>
  <c r="G2668"/>
  <c r="F2668"/>
  <c r="C2668"/>
  <c r="K2667"/>
  <c r="J2667"/>
  <c r="G2667"/>
  <c r="F2667"/>
  <c r="C2667"/>
  <c r="K2666"/>
  <c r="J2666"/>
  <c r="G2666"/>
  <c r="F2666"/>
  <c r="C2666"/>
  <c r="K2665"/>
  <c r="J2665"/>
  <c r="G2665"/>
  <c r="F2665"/>
  <c r="C2665"/>
  <c r="K2664"/>
  <c r="J2664"/>
  <c r="G2664"/>
  <c r="F2664"/>
  <c r="C2664"/>
  <c r="K2663"/>
  <c r="J2663"/>
  <c r="G2663"/>
  <c r="F2663"/>
  <c r="C2663"/>
  <c r="K2662"/>
  <c r="J2662"/>
  <c r="G2662"/>
  <c r="F2662"/>
  <c r="C2662"/>
  <c r="K2661"/>
  <c r="J2661"/>
  <c r="G2661"/>
  <c r="F2661"/>
  <c r="C2661"/>
  <c r="K2660"/>
  <c r="J2660"/>
  <c r="G2660"/>
  <c r="F2660"/>
  <c r="C2660"/>
  <c r="K2659"/>
  <c r="J2659"/>
  <c r="G2659"/>
  <c r="F2659"/>
  <c r="C2659"/>
  <c r="K2658"/>
  <c r="J2658"/>
  <c r="G2658"/>
  <c r="F2658"/>
  <c r="C2658"/>
  <c r="K2657"/>
  <c r="J2657"/>
  <c r="G2657"/>
  <c r="F2657"/>
  <c r="C2657"/>
  <c r="K2656"/>
  <c r="J2656"/>
  <c r="G2656"/>
  <c r="F2656"/>
  <c r="C2656"/>
  <c r="K2655"/>
  <c r="J2655"/>
  <c r="G2655"/>
  <c r="F2655"/>
  <c r="C2655"/>
  <c r="K2654"/>
  <c r="J2654"/>
  <c r="G2654"/>
  <c r="F2654"/>
  <c r="C2654"/>
  <c r="K2653"/>
  <c r="J2653"/>
  <c r="G2653"/>
  <c r="F2653"/>
  <c r="C2653"/>
  <c r="K2652"/>
  <c r="J2652"/>
  <c r="G2652"/>
  <c r="F2652"/>
  <c r="C2652"/>
  <c r="K2651"/>
  <c r="J2651"/>
  <c r="G2651"/>
  <c r="F2651"/>
  <c r="C2651"/>
  <c r="K2650"/>
  <c r="J2650"/>
  <c r="G2650"/>
  <c r="F2650"/>
  <c r="C2650"/>
  <c r="K2649"/>
  <c r="J2649"/>
  <c r="G2649"/>
  <c r="F2649"/>
  <c r="C2649"/>
  <c r="K2648"/>
  <c r="J2648"/>
  <c r="G2648"/>
  <c r="F2648"/>
  <c r="C2648"/>
  <c r="K2647"/>
  <c r="J2647"/>
  <c r="G2647"/>
  <c r="F2647"/>
  <c r="C2647"/>
  <c r="K2646"/>
  <c r="J2646"/>
  <c r="G2646"/>
  <c r="F2646"/>
  <c r="C2646"/>
  <c r="K2645"/>
  <c r="J2645"/>
  <c r="G2645"/>
  <c r="F2645"/>
  <c r="C2645"/>
  <c r="K2644"/>
  <c r="J2644"/>
  <c r="G2644"/>
  <c r="F2644"/>
  <c r="C2644"/>
  <c r="K2643"/>
  <c r="J2643"/>
  <c r="G2643"/>
  <c r="F2643"/>
  <c r="C2643"/>
  <c r="K2642"/>
  <c r="J2642"/>
  <c r="G2642"/>
  <c r="F2642"/>
  <c r="C2642"/>
  <c r="K2641"/>
  <c r="J2641"/>
  <c r="G2641"/>
  <c r="F2641"/>
  <c r="C2641"/>
  <c r="K2640"/>
  <c r="J2640"/>
  <c r="G2640"/>
  <c r="F2640"/>
  <c r="C2640"/>
  <c r="K2639"/>
  <c r="J2639"/>
  <c r="G2639"/>
  <c r="F2639"/>
  <c r="C2639"/>
  <c r="K2638"/>
  <c r="J2638"/>
  <c r="G2638"/>
  <c r="F2638"/>
  <c r="C2638"/>
  <c r="K2637"/>
  <c r="J2637"/>
  <c r="G2637"/>
  <c r="F2637"/>
  <c r="C2637"/>
  <c r="K2636"/>
  <c r="J2636"/>
  <c r="G2636"/>
  <c r="F2636"/>
  <c r="C2636"/>
  <c r="K2635"/>
  <c r="J2635"/>
  <c r="G2635"/>
  <c r="F2635"/>
  <c r="C2635"/>
  <c r="K2634"/>
  <c r="J2634"/>
  <c r="G2634"/>
  <c r="F2634"/>
  <c r="C2634"/>
  <c r="K2633"/>
  <c r="J2633"/>
  <c r="G2633"/>
  <c r="F2633"/>
  <c r="C2633"/>
  <c r="K2632"/>
  <c r="J2632"/>
  <c r="G2632"/>
  <c r="F2632"/>
  <c r="C2632"/>
  <c r="K2631"/>
  <c r="J2631"/>
  <c r="G2631"/>
  <c r="F2631"/>
  <c r="C2631"/>
  <c r="K2630"/>
  <c r="J2630"/>
  <c r="G2630"/>
  <c r="F2630"/>
  <c r="C2630"/>
  <c r="K2629"/>
  <c r="J2629"/>
  <c r="G2629"/>
  <c r="F2629"/>
  <c r="C2629"/>
  <c r="K2628"/>
  <c r="J2628"/>
  <c r="G2628"/>
  <c r="F2628"/>
  <c r="C2628"/>
  <c r="K2627"/>
  <c r="J2627"/>
  <c r="G2627"/>
  <c r="F2627"/>
  <c r="C2627"/>
  <c r="K2626"/>
  <c r="J2626"/>
  <c r="G2626"/>
  <c r="F2626"/>
  <c r="C2626"/>
  <c r="K2625"/>
  <c r="J2625"/>
  <c r="G2625"/>
  <c r="F2625"/>
  <c r="C2625"/>
  <c r="K2624"/>
  <c r="J2624"/>
  <c r="G2624"/>
  <c r="F2624"/>
  <c r="C2624"/>
  <c r="K2623"/>
  <c r="J2623"/>
  <c r="G2623"/>
  <c r="F2623"/>
  <c r="C2623"/>
  <c r="K2622"/>
  <c r="J2622"/>
  <c r="G2622"/>
  <c r="F2622"/>
  <c r="C2622"/>
  <c r="K2621"/>
  <c r="J2621"/>
  <c r="G2621"/>
  <c r="F2621"/>
  <c r="C2621"/>
  <c r="K2620"/>
  <c r="J2620"/>
  <c r="G2620"/>
  <c r="F2620"/>
  <c r="C2620"/>
  <c r="K2619"/>
  <c r="J2619"/>
  <c r="G2619"/>
  <c r="F2619"/>
  <c r="C2619"/>
  <c r="K2618"/>
  <c r="J2618"/>
  <c r="G2618"/>
  <c r="F2618"/>
  <c r="C2618"/>
  <c r="K2617"/>
  <c r="J2617"/>
  <c r="G2617"/>
  <c r="F2617"/>
  <c r="C2617"/>
  <c r="K2616"/>
  <c r="J2616"/>
  <c r="G2616"/>
  <c r="F2616"/>
  <c r="C2616"/>
  <c r="K2615"/>
  <c r="J2615"/>
  <c r="G2615"/>
  <c r="F2615"/>
  <c r="C2615"/>
  <c r="K2614"/>
  <c r="J2614"/>
  <c r="G2614"/>
  <c r="F2614"/>
  <c r="C2614"/>
  <c r="K2613"/>
  <c r="J2613"/>
  <c r="G2613"/>
  <c r="F2613"/>
  <c r="C2613"/>
  <c r="K2612"/>
  <c r="J2612"/>
  <c r="G2612"/>
  <c r="F2612"/>
  <c r="C2612"/>
  <c r="K2611"/>
  <c r="J2611"/>
  <c r="G2611"/>
  <c r="F2611"/>
  <c r="C2611"/>
  <c r="K2610"/>
  <c r="J2610"/>
  <c r="G2610"/>
  <c r="F2610"/>
  <c r="C2610"/>
  <c r="K2609"/>
  <c r="J2609"/>
  <c r="G2609"/>
  <c r="F2609"/>
  <c r="C2609"/>
  <c r="K2608"/>
  <c r="J2608"/>
  <c r="G2608"/>
  <c r="F2608"/>
  <c r="C2608"/>
  <c r="K2607"/>
  <c r="J2607"/>
  <c r="G2607"/>
  <c r="F2607"/>
  <c r="C2607"/>
  <c r="K2606"/>
  <c r="J2606"/>
  <c r="G2606"/>
  <c r="F2606"/>
  <c r="C2606"/>
  <c r="K2605"/>
  <c r="J2605"/>
  <c r="G2605"/>
  <c r="F2605"/>
  <c r="C2605"/>
  <c r="K2604"/>
  <c r="J2604"/>
  <c r="G2604"/>
  <c r="F2604"/>
  <c r="C2604"/>
  <c r="K2603"/>
  <c r="J2603"/>
  <c r="G2603"/>
  <c r="F2603"/>
  <c r="C2603"/>
  <c r="K2602"/>
  <c r="J2602"/>
  <c r="G2602"/>
  <c r="F2602"/>
  <c r="C2602"/>
  <c r="K2601"/>
  <c r="J2601"/>
  <c r="G2601"/>
  <c r="F2601"/>
  <c r="C2601"/>
  <c r="K2600"/>
  <c r="J2600"/>
  <c r="G2600"/>
  <c r="F2600"/>
  <c r="C2600"/>
  <c r="K2599"/>
  <c r="J2599"/>
  <c r="G2599"/>
  <c r="F2599"/>
  <c r="C2599"/>
  <c r="K2598"/>
  <c r="J2598"/>
  <c r="G2598"/>
  <c r="F2598"/>
  <c r="C2598"/>
  <c r="K2597"/>
  <c r="J2597"/>
  <c r="G2597"/>
  <c r="F2597"/>
  <c r="C2597"/>
  <c r="K2596"/>
  <c r="J2596"/>
  <c r="G2596"/>
  <c r="F2596"/>
  <c r="C2596"/>
  <c r="K2595"/>
  <c r="J2595"/>
  <c r="G2595"/>
  <c r="F2595"/>
  <c r="C2595"/>
  <c r="K2594"/>
  <c r="J2594"/>
  <c r="G2594"/>
  <c r="F2594"/>
  <c r="C2594"/>
  <c r="K2593"/>
  <c r="J2593"/>
  <c r="G2593"/>
  <c r="F2593"/>
  <c r="C2593"/>
  <c r="K2592"/>
  <c r="J2592"/>
  <c r="G2592"/>
  <c r="F2592"/>
  <c r="C2592"/>
  <c r="K2591"/>
  <c r="J2591"/>
  <c r="G2591"/>
  <c r="F2591"/>
  <c r="C2591"/>
  <c r="K2590"/>
  <c r="J2590"/>
  <c r="G2590"/>
  <c r="F2590"/>
  <c r="C2590"/>
  <c r="K2589"/>
  <c r="J2589"/>
  <c r="G2589"/>
  <c r="F2589"/>
  <c r="C2589"/>
  <c r="K2588"/>
  <c r="J2588"/>
  <c r="G2588"/>
  <c r="F2588"/>
  <c r="C2588"/>
  <c r="K2587"/>
  <c r="J2587"/>
  <c r="G2587"/>
  <c r="F2587"/>
  <c r="C2587"/>
  <c r="K2586"/>
  <c r="J2586"/>
  <c r="G2586"/>
  <c r="F2586"/>
  <c r="C2586"/>
  <c r="K2585"/>
  <c r="J2585"/>
  <c r="G2585"/>
  <c r="F2585"/>
  <c r="C2585"/>
  <c r="K2584"/>
  <c r="J2584"/>
  <c r="G2584"/>
  <c r="F2584"/>
  <c r="C2584"/>
  <c r="K2583"/>
  <c r="J2583"/>
  <c r="G2583"/>
  <c r="F2583"/>
  <c r="C2583"/>
  <c r="K2582"/>
  <c r="J2582"/>
  <c r="G2582"/>
  <c r="F2582"/>
  <c r="C2582"/>
  <c r="K2581"/>
  <c r="J2581"/>
  <c r="G2581"/>
  <c r="F2581"/>
  <c r="C2581"/>
  <c r="K2580"/>
  <c r="J2580"/>
  <c r="G2580"/>
  <c r="F2580"/>
  <c r="C2580"/>
  <c r="K2579"/>
  <c r="J2579"/>
  <c r="G2579"/>
  <c r="F2579"/>
  <c r="C2579"/>
  <c r="K2578"/>
  <c r="J2578"/>
  <c r="G2578"/>
  <c r="F2578"/>
  <c r="C2578"/>
  <c r="K2577"/>
  <c r="J2577"/>
  <c r="G2577"/>
  <c r="F2577"/>
  <c r="C2577"/>
  <c r="K2576"/>
  <c r="J2576"/>
  <c r="G2576"/>
  <c r="F2576"/>
  <c r="C2576"/>
  <c r="K2575"/>
  <c r="J2575"/>
  <c r="G2575"/>
  <c r="F2575"/>
  <c r="C2575"/>
  <c r="K2574"/>
  <c r="J2574"/>
  <c r="G2574"/>
  <c r="F2574"/>
  <c r="C2574"/>
  <c r="K2573"/>
  <c r="J2573"/>
  <c r="G2573"/>
  <c r="F2573"/>
  <c r="C2573"/>
  <c r="K2572"/>
  <c r="J2572"/>
  <c r="G2572"/>
  <c r="F2572"/>
  <c r="C2572"/>
  <c r="K2571"/>
  <c r="J2571"/>
  <c r="G2571"/>
  <c r="F2571"/>
  <c r="C2571"/>
  <c r="K2570"/>
  <c r="J2570"/>
  <c r="G2570"/>
  <c r="F2570"/>
  <c r="C2570"/>
  <c r="K2569"/>
  <c r="J2569"/>
  <c r="G2569"/>
  <c r="F2569"/>
  <c r="C2569"/>
  <c r="K2568"/>
  <c r="J2568"/>
  <c r="G2568"/>
  <c r="F2568"/>
  <c r="C2568"/>
  <c r="K2567"/>
  <c r="J2567"/>
  <c r="G2567"/>
  <c r="F2567"/>
  <c r="C2567"/>
  <c r="K2566"/>
  <c r="J2566"/>
  <c r="G2566"/>
  <c r="F2566"/>
  <c r="C2566"/>
  <c r="K2565"/>
  <c r="J2565"/>
  <c r="G2565"/>
  <c r="F2565"/>
  <c r="C2565"/>
  <c r="K2564"/>
  <c r="J2564"/>
  <c r="G2564"/>
  <c r="F2564"/>
  <c r="C2564"/>
  <c r="K2563"/>
  <c r="J2563"/>
  <c r="G2563"/>
  <c r="F2563"/>
  <c r="C2563"/>
  <c r="K2562"/>
  <c r="J2562"/>
  <c r="G2562"/>
  <c r="F2562"/>
  <c r="C2562"/>
  <c r="K2561"/>
  <c r="J2561"/>
  <c r="G2561"/>
  <c r="F2561"/>
  <c r="C2561"/>
  <c r="K2560"/>
  <c r="J2560"/>
  <c r="G2560"/>
  <c r="F2560"/>
  <c r="C2560"/>
  <c r="K2559"/>
  <c r="J2559"/>
  <c r="G2559"/>
  <c r="F2559"/>
  <c r="C2559"/>
  <c r="K2558"/>
  <c r="J2558"/>
  <c r="G2558"/>
  <c r="F2558"/>
  <c r="C2558"/>
  <c r="K2557"/>
  <c r="J2557"/>
  <c r="G2557"/>
  <c r="F2557"/>
  <c r="C2557"/>
  <c r="K2556"/>
  <c r="J2556"/>
  <c r="G2556"/>
  <c r="F2556"/>
  <c r="C2556"/>
  <c r="K2555"/>
  <c r="J2555"/>
  <c r="G2555"/>
  <c r="F2555"/>
  <c r="C2555"/>
  <c r="K2554"/>
  <c r="J2554"/>
  <c r="G2554"/>
  <c r="F2554"/>
  <c r="C2554"/>
  <c r="K2553"/>
  <c r="J2553"/>
  <c r="G2553"/>
  <c r="F2553"/>
  <c r="C2553"/>
  <c r="K2552"/>
  <c r="J2552"/>
  <c r="G2552"/>
  <c r="F2552"/>
  <c r="C2552"/>
  <c r="K2551"/>
  <c r="J2551"/>
  <c r="G2551"/>
  <c r="F2551"/>
  <c r="C2551"/>
  <c r="K2550"/>
  <c r="J2550"/>
  <c r="G2550"/>
  <c r="F2550"/>
  <c r="C2550"/>
  <c r="K2549"/>
  <c r="J2549"/>
  <c r="G2549"/>
  <c r="F2549"/>
  <c r="C2549"/>
  <c r="K2548"/>
  <c r="J2548"/>
  <c r="G2548"/>
  <c r="F2548"/>
  <c r="C2548"/>
  <c r="K2547"/>
  <c r="J2547"/>
  <c r="G2547"/>
  <c r="F2547"/>
  <c r="C2547"/>
  <c r="K2546"/>
  <c r="J2546"/>
  <c r="G2546"/>
  <c r="F2546"/>
  <c r="C2546"/>
  <c r="K2545"/>
  <c r="J2545"/>
  <c r="G2545"/>
  <c r="F2545"/>
  <c r="C2545"/>
  <c r="K2544"/>
  <c r="J2544"/>
  <c r="G2544"/>
  <c r="F2544"/>
  <c r="C2544"/>
  <c r="K2543"/>
  <c r="J2543"/>
  <c r="G2543"/>
  <c r="F2543"/>
  <c r="C2543"/>
  <c r="K2542"/>
  <c r="J2542"/>
  <c r="G2542"/>
  <c r="F2542"/>
  <c r="C2542"/>
  <c r="K2541"/>
  <c r="J2541"/>
  <c r="G2541"/>
  <c r="F2541"/>
  <c r="C2541"/>
  <c r="K2540"/>
  <c r="J2540"/>
  <c r="G2540"/>
  <c r="F2540"/>
  <c r="C2540"/>
  <c r="K2539"/>
  <c r="J2539"/>
  <c r="G2539"/>
  <c r="F2539"/>
  <c r="C2539"/>
  <c r="K2538"/>
  <c r="J2538"/>
  <c r="G2538"/>
  <c r="F2538"/>
  <c r="C2538"/>
  <c r="K2537"/>
  <c r="J2537"/>
  <c r="G2537"/>
  <c r="F2537"/>
  <c r="C2537"/>
  <c r="K2536"/>
  <c r="J2536"/>
  <c r="G2536"/>
  <c r="F2536"/>
  <c r="C2536"/>
  <c r="K2535"/>
  <c r="J2535"/>
  <c r="G2535"/>
  <c r="F2535"/>
  <c r="C2535"/>
  <c r="K2534"/>
  <c r="J2534"/>
  <c r="G2534"/>
  <c r="F2534"/>
  <c r="C2534"/>
  <c r="K2533"/>
  <c r="J2533"/>
  <c r="G2533"/>
  <c r="F2533"/>
  <c r="C2533"/>
  <c r="K2532"/>
  <c r="J2532"/>
  <c r="G2532"/>
  <c r="F2532"/>
  <c r="C2532"/>
  <c r="K2531"/>
  <c r="J2531"/>
  <c r="G2531"/>
  <c r="F2531"/>
  <c r="C2531"/>
  <c r="K2530"/>
  <c r="J2530"/>
  <c r="G2530"/>
  <c r="F2530"/>
  <c r="C2530"/>
  <c r="K2529"/>
  <c r="J2529"/>
  <c r="G2529"/>
  <c r="F2529"/>
  <c r="C2529"/>
  <c r="K2528"/>
  <c r="J2528"/>
  <c r="G2528"/>
  <c r="F2528"/>
  <c r="C2528"/>
  <c r="K2527"/>
  <c r="J2527"/>
  <c r="G2527"/>
  <c r="F2527"/>
  <c r="C2527"/>
  <c r="K2526"/>
  <c r="J2526"/>
  <c r="G2526"/>
  <c r="F2526"/>
  <c r="C2526"/>
  <c r="K2525"/>
  <c r="J2525"/>
  <c r="G2525"/>
  <c r="F2525"/>
  <c r="C2525"/>
  <c r="K2524"/>
  <c r="J2524"/>
  <c r="G2524"/>
  <c r="F2524"/>
  <c r="C2524"/>
  <c r="K2523"/>
  <c r="J2523"/>
  <c r="G2523"/>
  <c r="F2523"/>
  <c r="C2523"/>
  <c r="K2522"/>
  <c r="J2522"/>
  <c r="G2522"/>
  <c r="F2522"/>
  <c r="C2522"/>
  <c r="K2521"/>
  <c r="J2521"/>
  <c r="G2521"/>
  <c r="F2521"/>
  <c r="C2521"/>
  <c r="K2520"/>
  <c r="J2520"/>
  <c r="G2520"/>
  <c r="F2520"/>
  <c r="C2520"/>
  <c r="K2519"/>
  <c r="J2519"/>
  <c r="G2519"/>
  <c r="F2519"/>
  <c r="C2519"/>
  <c r="K2518"/>
  <c r="J2518"/>
  <c r="G2518"/>
  <c r="F2518"/>
  <c r="C2518"/>
  <c r="K2517"/>
  <c r="J2517"/>
  <c r="G2517"/>
  <c r="F2517"/>
  <c r="C2517"/>
  <c r="K2516"/>
  <c r="J2516"/>
  <c r="G2516"/>
  <c r="F2516"/>
  <c r="C2516"/>
  <c r="K2515"/>
  <c r="J2515"/>
  <c r="G2515"/>
  <c r="F2515"/>
  <c r="C2515"/>
  <c r="K2514"/>
  <c r="J2514"/>
  <c r="G2514"/>
  <c r="F2514"/>
  <c r="C2514"/>
  <c r="K2513"/>
  <c r="J2513"/>
  <c r="G2513"/>
  <c r="F2513"/>
  <c r="C2513"/>
  <c r="K2512"/>
  <c r="J2512"/>
  <c r="G2512"/>
  <c r="F2512"/>
  <c r="C2512"/>
  <c r="K2511"/>
  <c r="J2511"/>
  <c r="G2511"/>
  <c r="F2511"/>
  <c r="C2511"/>
  <c r="K2510"/>
  <c r="J2510"/>
  <c r="G2510"/>
  <c r="F2510"/>
  <c r="C2510"/>
  <c r="K2509"/>
  <c r="J2509"/>
  <c r="G2509"/>
  <c r="F2509"/>
  <c r="C2509"/>
  <c r="K2508"/>
  <c r="J2508"/>
  <c r="G2508"/>
  <c r="F2508"/>
  <c r="C2508"/>
  <c r="K2507"/>
  <c r="J2507"/>
  <c r="G2507"/>
  <c r="F2507"/>
  <c r="C2507"/>
  <c r="K2506"/>
  <c r="J2506"/>
  <c r="G2506"/>
  <c r="F2506"/>
  <c r="C2506"/>
  <c r="K2505"/>
  <c r="J2505"/>
  <c r="G2505"/>
  <c r="F2505"/>
  <c r="C2505"/>
  <c r="K2504"/>
  <c r="J2504"/>
  <c r="G2504"/>
  <c r="F2504"/>
  <c r="C2504"/>
  <c r="K2503"/>
  <c r="J2503"/>
  <c r="G2503"/>
  <c r="F2503"/>
  <c r="C2503"/>
  <c r="K2502"/>
  <c r="J2502"/>
  <c r="G2502"/>
  <c r="F2502"/>
  <c r="C2502"/>
  <c r="K2501"/>
  <c r="J2501"/>
  <c r="G2501"/>
  <c r="F2501"/>
  <c r="C2501"/>
  <c r="K2500"/>
  <c r="J2500"/>
  <c r="G2500"/>
  <c r="F2500"/>
  <c r="C2500"/>
  <c r="K2499"/>
  <c r="J2499"/>
  <c r="G2499"/>
  <c r="F2499"/>
  <c r="C2499"/>
  <c r="K2498"/>
  <c r="J2498"/>
  <c r="G2498"/>
  <c r="F2498"/>
  <c r="C2498"/>
  <c r="K2497"/>
  <c r="J2497"/>
  <c r="G2497"/>
  <c r="F2497"/>
  <c r="C2497"/>
  <c r="K2496"/>
  <c r="J2496"/>
  <c r="G2496"/>
  <c r="F2496"/>
  <c r="C2496"/>
  <c r="K2495"/>
  <c r="J2495"/>
  <c r="G2495"/>
  <c r="F2495"/>
  <c r="C2495"/>
  <c r="K2494"/>
  <c r="J2494"/>
  <c r="G2494"/>
  <c r="F2494"/>
  <c r="C2494"/>
  <c r="K2493"/>
  <c r="J2493"/>
  <c r="G2493"/>
  <c r="F2493"/>
  <c r="C2493"/>
  <c r="K2492"/>
  <c r="J2492"/>
  <c r="G2492"/>
  <c r="F2492"/>
  <c r="C2492"/>
  <c r="K2491"/>
  <c r="J2491"/>
  <c r="G2491"/>
  <c r="F2491"/>
  <c r="C2491"/>
  <c r="K2490"/>
  <c r="J2490"/>
  <c r="G2490"/>
  <c r="F2490"/>
  <c r="C2490"/>
  <c r="K2489"/>
  <c r="J2489"/>
  <c r="G2489"/>
  <c r="F2489"/>
  <c r="C2489"/>
  <c r="K2488"/>
  <c r="J2488"/>
  <c r="G2488"/>
  <c r="F2488"/>
  <c r="C2488"/>
  <c r="K2487"/>
  <c r="J2487"/>
  <c r="G2487"/>
  <c r="F2487"/>
  <c r="C2487"/>
  <c r="K2486"/>
  <c r="J2486"/>
  <c r="G2486"/>
  <c r="F2486"/>
  <c r="C2486"/>
  <c r="K2485"/>
  <c r="J2485"/>
  <c r="G2485"/>
  <c r="F2485"/>
  <c r="C2485"/>
  <c r="K2484"/>
  <c r="J2484"/>
  <c r="G2484"/>
  <c r="F2484"/>
  <c r="C2484"/>
  <c r="K2483"/>
  <c r="J2483"/>
  <c r="G2483"/>
  <c r="F2483"/>
  <c r="C2483"/>
  <c r="K2482"/>
  <c r="J2482"/>
  <c r="G2482"/>
  <c r="F2482"/>
  <c r="C2482"/>
  <c r="K2481"/>
  <c r="J2481"/>
  <c r="G2481"/>
  <c r="F2481"/>
  <c r="C2481"/>
  <c r="K2480"/>
  <c r="J2480"/>
  <c r="G2480"/>
  <c r="F2480"/>
  <c r="C2480"/>
  <c r="K2479"/>
  <c r="J2479"/>
  <c r="G2479"/>
  <c r="F2479"/>
  <c r="C2479"/>
  <c r="K2478"/>
  <c r="J2478"/>
  <c r="G2478"/>
  <c r="F2478"/>
  <c r="C2478"/>
  <c r="K2477"/>
  <c r="J2477"/>
  <c r="G2477"/>
  <c r="F2477"/>
  <c r="C2477"/>
  <c r="K2476"/>
  <c r="J2476"/>
  <c r="G2476"/>
  <c r="F2476"/>
  <c r="C2476"/>
  <c r="K2475"/>
  <c r="J2475"/>
  <c r="G2475"/>
  <c r="F2475"/>
  <c r="C2475"/>
  <c r="K2474"/>
  <c r="J2474"/>
  <c r="G2474"/>
  <c r="F2474"/>
  <c r="C2474"/>
  <c r="K2473"/>
  <c r="J2473"/>
  <c r="G2473"/>
  <c r="F2473"/>
  <c r="C2473"/>
  <c r="K2472"/>
  <c r="J2472"/>
  <c r="G2472"/>
  <c r="F2472"/>
  <c r="C2472"/>
  <c r="K2471"/>
  <c r="J2471"/>
  <c r="G2471"/>
  <c r="F2471"/>
  <c r="C2471"/>
  <c r="K2470"/>
  <c r="J2470"/>
  <c r="G2470"/>
  <c r="F2470"/>
  <c r="C2470"/>
  <c r="K2469"/>
  <c r="J2469"/>
  <c r="G2469"/>
  <c r="F2469"/>
  <c r="C2469"/>
  <c r="K2468"/>
  <c r="J2468"/>
  <c r="G2468"/>
  <c r="F2468"/>
  <c r="C2468"/>
  <c r="K2467"/>
  <c r="J2467"/>
  <c r="G2467"/>
  <c r="F2467"/>
  <c r="C2467"/>
  <c r="K2466"/>
  <c r="J2466"/>
  <c r="G2466"/>
  <c r="F2466"/>
  <c r="C2466"/>
  <c r="K2465"/>
  <c r="J2465"/>
  <c r="G2465"/>
  <c r="F2465"/>
  <c r="C2465"/>
  <c r="K2464"/>
  <c r="J2464"/>
  <c r="G2464"/>
  <c r="F2464"/>
  <c r="C2464"/>
  <c r="K2463"/>
  <c r="J2463"/>
  <c r="G2463"/>
  <c r="F2463"/>
  <c r="C2463"/>
  <c r="K2462"/>
  <c r="J2462"/>
  <c r="G2462"/>
  <c r="F2462"/>
  <c r="C2462"/>
  <c r="K2461"/>
  <c r="J2461"/>
  <c r="G2461"/>
  <c r="F2461"/>
  <c r="C2461"/>
  <c r="K2460"/>
  <c r="J2460"/>
  <c r="G2460"/>
  <c r="F2460"/>
  <c r="C2460"/>
  <c r="K2459"/>
  <c r="J2459"/>
  <c r="G2459"/>
  <c r="F2459"/>
  <c r="C2459"/>
  <c r="K2458"/>
  <c r="J2458"/>
  <c r="G2458"/>
  <c r="F2458"/>
  <c r="C2458"/>
  <c r="K2457"/>
  <c r="J2457"/>
  <c r="G2457"/>
  <c r="F2457"/>
  <c r="C2457"/>
  <c r="K2456"/>
  <c r="J2456"/>
  <c r="G2456"/>
  <c r="F2456"/>
  <c r="C2456"/>
  <c r="K2455"/>
  <c r="J2455"/>
  <c r="G2455"/>
  <c r="F2455"/>
  <c r="C2455"/>
  <c r="K2454"/>
  <c r="J2454"/>
  <c r="G2454"/>
  <c r="F2454"/>
  <c r="C2454"/>
  <c r="K2453"/>
  <c r="J2453"/>
  <c r="G2453"/>
  <c r="F2453"/>
  <c r="C2453"/>
  <c r="K2452"/>
  <c r="J2452"/>
  <c r="G2452"/>
  <c r="F2452"/>
  <c r="C2452"/>
  <c r="K2451"/>
  <c r="J2451"/>
  <c r="G2451"/>
  <c r="F2451"/>
  <c r="C2451"/>
  <c r="K2450"/>
  <c r="J2450"/>
  <c r="G2450"/>
  <c r="F2450"/>
  <c r="C2450"/>
  <c r="K2449"/>
  <c r="J2449"/>
  <c r="G2449"/>
  <c r="F2449"/>
  <c r="C2449"/>
  <c r="K2448"/>
  <c r="J2448"/>
  <c r="G2448"/>
  <c r="F2448"/>
  <c r="C2448"/>
  <c r="K2447"/>
  <c r="J2447"/>
  <c r="G2447"/>
  <c r="F2447"/>
  <c r="C2447"/>
  <c r="K2446"/>
  <c r="J2446"/>
  <c r="G2446"/>
  <c r="F2446"/>
  <c r="C2446"/>
  <c r="K2445"/>
  <c r="J2445"/>
  <c r="G2445"/>
  <c r="F2445"/>
  <c r="C2445"/>
  <c r="K2444"/>
  <c r="J2444"/>
  <c r="G2444"/>
  <c r="F2444"/>
  <c r="C2444"/>
  <c r="K2443"/>
  <c r="J2443"/>
  <c r="G2443"/>
  <c r="F2443"/>
  <c r="C2443"/>
  <c r="K2442"/>
  <c r="J2442"/>
  <c r="G2442"/>
  <c r="F2442"/>
  <c r="C2442"/>
  <c r="K2441"/>
  <c r="J2441"/>
  <c r="G2441"/>
  <c r="F2441"/>
  <c r="C2441"/>
  <c r="K2440"/>
  <c r="J2440"/>
  <c r="G2440"/>
  <c r="F2440"/>
  <c r="C2440"/>
  <c r="K2439"/>
  <c r="J2439"/>
  <c r="G2439"/>
  <c r="F2439"/>
  <c r="C2439"/>
  <c r="K2438"/>
  <c r="J2438"/>
  <c r="G2438"/>
  <c r="F2438"/>
  <c r="C2438"/>
  <c r="K2437"/>
  <c r="J2437"/>
  <c r="G2437"/>
  <c r="F2437"/>
  <c r="C2437"/>
  <c r="K2436"/>
  <c r="J2436"/>
  <c r="G2436"/>
  <c r="F2436"/>
  <c r="C2436"/>
  <c r="K2435"/>
  <c r="J2435"/>
  <c r="G2435"/>
  <c r="F2435"/>
  <c r="C2435"/>
  <c r="K2434"/>
  <c r="J2434"/>
  <c r="G2434"/>
  <c r="F2434"/>
  <c r="C2434"/>
  <c r="K2433"/>
  <c r="J2433"/>
  <c r="G2433"/>
  <c r="F2433"/>
  <c r="C2433"/>
  <c r="K2432"/>
  <c r="J2432"/>
  <c r="G2432"/>
  <c r="F2432"/>
  <c r="C2432"/>
  <c r="K2431"/>
  <c r="J2431"/>
  <c r="G2431"/>
  <c r="F2431"/>
  <c r="C2431"/>
  <c r="K2430"/>
  <c r="J2430"/>
  <c r="G2430"/>
  <c r="F2430"/>
  <c r="C2430"/>
  <c r="K2429"/>
  <c r="J2429"/>
  <c r="G2429"/>
  <c r="F2429"/>
  <c r="C2429"/>
  <c r="K2428"/>
  <c r="J2428"/>
  <c r="G2428"/>
  <c r="F2428"/>
  <c r="C2428"/>
  <c r="K2427"/>
  <c r="J2427"/>
  <c r="G2427"/>
  <c r="F2427"/>
  <c r="C2427"/>
  <c r="K2426"/>
  <c r="J2426"/>
  <c r="G2426"/>
  <c r="F2426"/>
  <c r="C2426"/>
  <c r="K2425"/>
  <c r="J2425"/>
  <c r="G2425"/>
  <c r="F2425"/>
  <c r="C2425"/>
  <c r="K2424"/>
  <c r="J2424"/>
  <c r="G2424"/>
  <c r="F2424"/>
  <c r="C2424"/>
  <c r="K2423"/>
  <c r="J2423"/>
  <c r="G2423"/>
  <c r="F2423"/>
  <c r="C2423"/>
  <c r="K2422"/>
  <c r="J2422"/>
  <c r="G2422"/>
  <c r="F2422"/>
  <c r="C2422"/>
  <c r="K2421"/>
  <c r="J2421"/>
  <c r="G2421"/>
  <c r="F2421"/>
  <c r="C2421"/>
  <c r="K2420"/>
  <c r="J2420"/>
  <c r="G2420"/>
  <c r="F2420"/>
  <c r="C2420"/>
  <c r="K2419"/>
  <c r="J2419"/>
  <c r="G2419"/>
  <c r="F2419"/>
  <c r="C2419"/>
  <c r="K2418"/>
  <c r="J2418"/>
  <c r="G2418"/>
  <c r="F2418"/>
  <c r="C2418"/>
  <c r="K2417"/>
  <c r="J2417"/>
  <c r="G2417"/>
  <c r="F2417"/>
  <c r="C2417"/>
  <c r="K2416"/>
  <c r="J2416"/>
  <c r="G2416"/>
  <c r="F2416"/>
  <c r="C2416"/>
  <c r="K2415"/>
  <c r="J2415"/>
  <c r="G2415"/>
  <c r="F2415"/>
  <c r="C2415"/>
  <c r="K2414"/>
  <c r="J2414"/>
  <c r="G2414"/>
  <c r="F2414"/>
  <c r="C2414"/>
  <c r="K2413"/>
  <c r="J2413"/>
  <c r="G2413"/>
  <c r="F2413"/>
  <c r="C2413"/>
  <c r="K2412"/>
  <c r="J2412"/>
  <c r="G2412"/>
  <c r="F2412"/>
  <c r="C2412"/>
  <c r="K2411"/>
  <c r="G2411"/>
  <c r="F2411"/>
  <c r="C2411"/>
  <c r="K2410"/>
  <c r="J2410"/>
  <c r="G2410"/>
  <c r="F2410"/>
  <c r="C2410"/>
  <c r="K2409"/>
  <c r="J2409"/>
  <c r="G2409"/>
  <c r="F2409"/>
  <c r="C2409"/>
  <c r="K2408"/>
  <c r="J2408"/>
  <c r="G2408"/>
  <c r="F2408"/>
  <c r="C2408"/>
  <c r="K2407"/>
  <c r="J2407"/>
  <c r="G2407"/>
  <c r="F2407"/>
  <c r="C2407"/>
  <c r="K2406"/>
  <c r="J2406"/>
  <c r="G2406"/>
  <c r="F2406"/>
  <c r="C2406"/>
  <c r="K2405"/>
  <c r="J2405"/>
  <c r="G2405"/>
  <c r="F2405"/>
  <c r="C2405"/>
  <c r="K2404"/>
  <c r="J2404"/>
  <c r="G2404"/>
  <c r="F2404"/>
  <c r="C2404"/>
  <c r="K2403"/>
  <c r="J2403"/>
  <c r="G2403"/>
  <c r="F2403"/>
  <c r="C2403"/>
  <c r="K2402"/>
  <c r="J2402"/>
  <c r="G2402"/>
  <c r="F2402"/>
  <c r="C2402"/>
  <c r="K2401"/>
  <c r="J2401"/>
  <c r="G2401"/>
  <c r="F2401"/>
  <c r="C2401"/>
  <c r="K2400"/>
  <c r="J2400"/>
  <c r="G2400"/>
  <c r="F2400"/>
  <c r="C2400"/>
  <c r="K2399"/>
  <c r="J2399"/>
  <c r="G2399"/>
  <c r="F2399"/>
  <c r="C2399"/>
  <c r="K2398"/>
  <c r="J2398"/>
  <c r="G2398"/>
  <c r="F2398"/>
  <c r="C2398"/>
  <c r="K2397"/>
  <c r="J2397"/>
  <c r="G2397"/>
  <c r="F2397"/>
  <c r="C2397"/>
  <c r="K2396"/>
  <c r="J2396"/>
  <c r="G2396"/>
  <c r="F2396"/>
  <c r="C2396"/>
  <c r="K2395"/>
  <c r="J2395"/>
  <c r="G2395"/>
  <c r="F2395"/>
  <c r="C2395"/>
  <c r="K2394"/>
  <c r="J2394"/>
  <c r="G2394"/>
  <c r="F2394"/>
  <c r="C2394"/>
  <c r="K2393"/>
  <c r="J2393"/>
  <c r="G2393"/>
  <c r="F2393"/>
  <c r="C2393"/>
  <c r="K2392"/>
  <c r="J2392"/>
  <c r="G2392"/>
  <c r="F2392"/>
  <c r="C2392"/>
  <c r="K2391"/>
  <c r="J2391"/>
  <c r="G2391"/>
  <c r="F2391"/>
  <c r="C2391"/>
  <c r="K2390"/>
  <c r="J2390"/>
  <c r="G2390"/>
  <c r="F2390"/>
  <c r="C2390"/>
  <c r="K2389"/>
  <c r="J2389"/>
  <c r="G2389"/>
  <c r="F2389"/>
  <c r="C2389"/>
  <c r="K2388"/>
  <c r="J2388"/>
  <c r="G2388"/>
  <c r="F2388"/>
  <c r="C2388"/>
  <c r="K2387"/>
  <c r="J2387"/>
  <c r="G2387"/>
  <c r="F2387"/>
  <c r="C2387"/>
  <c r="K2386"/>
  <c r="J2386"/>
  <c r="G2386"/>
  <c r="F2386"/>
  <c r="C2386"/>
  <c r="K2385"/>
  <c r="J2385"/>
  <c r="G2385"/>
  <c r="F2385"/>
  <c r="C2385"/>
  <c r="K2384"/>
  <c r="J2384"/>
  <c r="G2384"/>
  <c r="F2384"/>
  <c r="C2384"/>
  <c r="K2383"/>
  <c r="J2383"/>
  <c r="G2383"/>
  <c r="F2383"/>
  <c r="C2383"/>
  <c r="K2382"/>
  <c r="J2382"/>
  <c r="G2382"/>
  <c r="F2382"/>
  <c r="C2382"/>
  <c r="K2381"/>
  <c r="J2381"/>
  <c r="G2381"/>
  <c r="F2381"/>
  <c r="C2381"/>
  <c r="K2380"/>
  <c r="J2380"/>
  <c r="G2380"/>
  <c r="F2380"/>
  <c r="C2380"/>
  <c r="K2379"/>
  <c r="J2379"/>
  <c r="G2379"/>
  <c r="F2379"/>
  <c r="C2379"/>
  <c r="K2378"/>
  <c r="J2378"/>
  <c r="G2378"/>
  <c r="F2378"/>
  <c r="C2378"/>
  <c r="K2377"/>
  <c r="J2377"/>
  <c r="G2377"/>
  <c r="F2377"/>
  <c r="C2377"/>
  <c r="K2376"/>
  <c r="J2376"/>
  <c r="G2376"/>
  <c r="F2376"/>
  <c r="C2376"/>
  <c r="K2375"/>
  <c r="J2375"/>
  <c r="G2375"/>
  <c r="F2375"/>
  <c r="C2375"/>
  <c r="K2374"/>
  <c r="J2374"/>
  <c r="G2374"/>
  <c r="F2374"/>
  <c r="C2374"/>
  <c r="K2373"/>
  <c r="J2373"/>
  <c r="G2373"/>
  <c r="F2373"/>
  <c r="C2373"/>
  <c r="K2372"/>
  <c r="J2372"/>
  <c r="G2372"/>
  <c r="F2372"/>
  <c r="C2372"/>
  <c r="K2371"/>
  <c r="J2371"/>
  <c r="G2371"/>
  <c r="F2371"/>
  <c r="C2371"/>
  <c r="K2370"/>
  <c r="J2370"/>
  <c r="G2370"/>
  <c r="F2370"/>
  <c r="C2370"/>
  <c r="K2369"/>
  <c r="J2369"/>
  <c r="G2369"/>
  <c r="F2369"/>
  <c r="C2369"/>
  <c r="K2368"/>
  <c r="J2368"/>
  <c r="G2368"/>
  <c r="F2368"/>
  <c r="C2368"/>
  <c r="K2367"/>
  <c r="J2367"/>
  <c r="G2367"/>
  <c r="F2367"/>
  <c r="C2367"/>
  <c r="K2366"/>
  <c r="J2366"/>
  <c r="G2366"/>
  <c r="F2366"/>
  <c r="C2366"/>
  <c r="K2365"/>
  <c r="J2365"/>
  <c r="G2365"/>
  <c r="F2365"/>
  <c r="C2365"/>
  <c r="K2364"/>
  <c r="J2364"/>
  <c r="G2364"/>
  <c r="F2364"/>
  <c r="C2364"/>
  <c r="K2363"/>
  <c r="J2363"/>
  <c r="G2363"/>
  <c r="F2363"/>
  <c r="C2363"/>
  <c r="K2362"/>
  <c r="J2362"/>
  <c r="G2362"/>
  <c r="F2362"/>
  <c r="C2362"/>
  <c r="K2361"/>
  <c r="J2361"/>
  <c r="G2361"/>
  <c r="F2361"/>
  <c r="C2361"/>
  <c r="K2360"/>
  <c r="J2360"/>
  <c r="G2360"/>
  <c r="F2360"/>
  <c r="C2360"/>
  <c r="K2359"/>
  <c r="J2359"/>
  <c r="G2359"/>
  <c r="F2359"/>
  <c r="C2359"/>
  <c r="K2358"/>
  <c r="J2358"/>
  <c r="G2358"/>
  <c r="F2358"/>
  <c r="C2358"/>
  <c r="K2357"/>
  <c r="J2357"/>
  <c r="G2357"/>
  <c r="F2357"/>
  <c r="C2357"/>
  <c r="K2356"/>
  <c r="J2356"/>
  <c r="G2356"/>
  <c r="F2356"/>
  <c r="C2356"/>
  <c r="K2355"/>
  <c r="J2355"/>
  <c r="G2355"/>
  <c r="F2355"/>
  <c r="C2355"/>
  <c r="K2354"/>
  <c r="J2354"/>
  <c r="G2354"/>
  <c r="F2354"/>
  <c r="C2354"/>
  <c r="K2353"/>
  <c r="J2353"/>
  <c r="G2353"/>
  <c r="F2353"/>
  <c r="C2353"/>
  <c r="K2352"/>
  <c r="J2352"/>
  <c r="G2352"/>
  <c r="F2352"/>
  <c r="C2352"/>
  <c r="K2351"/>
  <c r="J2351"/>
  <c r="G2351"/>
  <c r="F2351"/>
  <c r="C2351"/>
  <c r="K2350"/>
  <c r="J2350"/>
  <c r="G2350"/>
  <c r="F2350"/>
  <c r="C2350"/>
  <c r="K2349"/>
  <c r="J2349"/>
  <c r="G2349"/>
  <c r="F2349"/>
  <c r="C2349"/>
  <c r="K2348"/>
  <c r="J2348"/>
  <c r="G2348"/>
  <c r="F2348"/>
  <c r="C2348"/>
  <c r="K2347"/>
  <c r="J2347"/>
  <c r="G2347"/>
  <c r="F2347"/>
  <c r="C2347"/>
  <c r="K2346"/>
  <c r="J2346"/>
  <c r="G2346"/>
  <c r="F2346"/>
  <c r="C2346"/>
  <c r="K2345"/>
  <c r="J2345"/>
  <c r="G2345"/>
  <c r="F2345"/>
  <c r="C2345"/>
  <c r="K2344"/>
  <c r="J2344"/>
  <c r="G2344"/>
  <c r="F2344"/>
  <c r="C2344"/>
  <c r="K2343"/>
  <c r="J2343"/>
  <c r="G2343"/>
  <c r="F2343"/>
  <c r="C2343"/>
  <c r="K2342"/>
  <c r="J2342"/>
  <c r="G2342"/>
  <c r="F2342"/>
  <c r="C2342"/>
  <c r="K2341"/>
  <c r="J2341"/>
  <c r="G2341"/>
  <c r="F2341"/>
  <c r="C2341"/>
  <c r="K2340"/>
  <c r="J2340"/>
  <c r="G2340"/>
  <c r="F2340"/>
  <c r="C2340"/>
  <c r="K2339"/>
  <c r="J2339"/>
  <c r="G2339"/>
  <c r="F2339"/>
  <c r="C2339"/>
  <c r="K2338"/>
  <c r="J2338"/>
  <c r="G2338"/>
  <c r="F2338"/>
  <c r="C2338"/>
  <c r="K2337"/>
  <c r="J2337"/>
  <c r="G2337"/>
  <c r="F2337"/>
  <c r="C2337"/>
  <c r="K2336"/>
  <c r="J2336"/>
  <c r="G2336"/>
  <c r="F2336"/>
  <c r="C2336"/>
  <c r="K2335"/>
  <c r="J2335"/>
  <c r="G2335"/>
  <c r="F2335"/>
  <c r="C2335"/>
  <c r="K2334"/>
  <c r="J2334"/>
  <c r="G2334"/>
  <c r="F2334"/>
  <c r="C2334"/>
  <c r="K2333"/>
  <c r="J2333"/>
  <c r="G2333"/>
  <c r="F2333"/>
  <c r="C2333"/>
  <c r="K2332"/>
  <c r="J2332"/>
  <c r="G2332"/>
  <c r="F2332"/>
  <c r="C2332"/>
  <c r="K2331"/>
  <c r="J2331"/>
  <c r="G2331"/>
  <c r="F2331"/>
  <c r="C2331"/>
  <c r="K2330"/>
  <c r="J2330"/>
  <c r="G2330"/>
  <c r="F2330"/>
  <c r="C2330"/>
  <c r="K2329"/>
  <c r="J2329"/>
  <c r="G2329"/>
  <c r="F2329"/>
  <c r="C2329"/>
  <c r="K2328"/>
  <c r="J2328"/>
  <c r="G2328"/>
  <c r="F2328"/>
  <c r="C2328"/>
  <c r="K2327"/>
  <c r="J2327"/>
  <c r="G2327"/>
  <c r="F2327"/>
  <c r="C2327"/>
  <c r="K2326"/>
  <c r="J2326"/>
  <c r="G2326"/>
  <c r="F2326"/>
  <c r="C2326"/>
  <c r="K2325"/>
  <c r="J2325"/>
  <c r="G2325"/>
  <c r="F2325"/>
  <c r="C2325"/>
  <c r="K2324"/>
  <c r="J2324"/>
  <c r="G2324"/>
  <c r="F2324"/>
  <c r="C2324"/>
  <c r="K2323"/>
  <c r="J2323"/>
  <c r="G2323"/>
  <c r="F2323"/>
  <c r="C2323"/>
  <c r="K2322"/>
  <c r="J2322"/>
  <c r="G2322"/>
  <c r="F2322"/>
  <c r="C2322"/>
  <c r="K2321"/>
  <c r="J2321"/>
  <c r="G2321"/>
  <c r="F2321"/>
  <c r="C2321"/>
  <c r="K2320"/>
  <c r="J2320"/>
  <c r="G2320"/>
  <c r="F2320"/>
  <c r="C2320"/>
  <c r="K2319"/>
  <c r="J2319"/>
  <c r="G2319"/>
  <c r="F2319"/>
  <c r="C2319"/>
  <c r="K2318"/>
  <c r="J2318"/>
  <c r="G2318"/>
  <c r="F2318"/>
  <c r="C2318"/>
  <c r="K2317"/>
  <c r="J2317"/>
  <c r="G2317"/>
  <c r="F2317"/>
  <c r="C2317"/>
  <c r="K2316"/>
  <c r="J2316"/>
  <c r="G2316"/>
  <c r="F2316"/>
  <c r="C2316"/>
  <c r="K2315"/>
  <c r="J2315"/>
  <c r="G2315"/>
  <c r="F2315"/>
  <c r="C2315"/>
  <c r="K2314"/>
  <c r="J2314"/>
  <c r="G2314"/>
  <c r="F2314"/>
  <c r="C2314"/>
  <c r="K2313"/>
  <c r="J2313"/>
  <c r="G2313"/>
  <c r="F2313"/>
  <c r="C2313"/>
  <c r="K2312"/>
  <c r="J2312"/>
  <c r="G2312"/>
  <c r="F2312"/>
  <c r="C2312"/>
  <c r="K2311"/>
  <c r="J2311"/>
  <c r="G2311"/>
  <c r="F2311"/>
  <c r="C2311"/>
  <c r="K2310"/>
  <c r="J2310"/>
  <c r="G2310"/>
  <c r="F2310"/>
  <c r="C2310"/>
  <c r="K2309"/>
  <c r="J2309"/>
  <c r="G2309"/>
  <c r="F2309"/>
  <c r="C2309"/>
  <c r="K2308"/>
  <c r="J2308"/>
  <c r="G2308"/>
  <c r="F2308"/>
  <c r="C2308"/>
  <c r="K2307"/>
  <c r="J2307"/>
  <c r="G2307"/>
  <c r="F2307"/>
  <c r="C2307"/>
  <c r="K2306"/>
  <c r="J2306"/>
  <c r="G2306"/>
  <c r="F2306"/>
  <c r="C2306"/>
  <c r="K2305"/>
  <c r="J2305"/>
  <c r="G2305"/>
  <c r="F2305"/>
  <c r="C2305"/>
  <c r="K2304"/>
  <c r="J2304"/>
  <c r="G2304"/>
  <c r="F2304"/>
  <c r="C2304"/>
  <c r="K2303"/>
  <c r="J2303"/>
  <c r="G2303"/>
  <c r="F2303"/>
  <c r="C2303"/>
  <c r="K2302"/>
  <c r="J2302"/>
  <c r="G2302"/>
  <c r="F2302"/>
  <c r="C2302"/>
  <c r="K2301"/>
  <c r="J2301"/>
  <c r="G2301"/>
  <c r="F2301"/>
  <c r="C2301"/>
  <c r="K2300"/>
  <c r="J2300"/>
  <c r="G2300"/>
  <c r="F2300"/>
  <c r="C2300"/>
  <c r="K2299"/>
  <c r="J2299"/>
  <c r="G2299"/>
  <c r="F2299"/>
  <c r="C2299"/>
  <c r="K2298"/>
  <c r="J2298"/>
  <c r="G2298"/>
  <c r="F2298"/>
  <c r="C2298"/>
  <c r="K2297"/>
  <c r="J2297"/>
  <c r="G2297"/>
  <c r="F2297"/>
  <c r="C2297"/>
  <c r="K2296"/>
  <c r="J2296"/>
  <c r="G2296"/>
  <c r="F2296"/>
  <c r="C2296"/>
  <c r="K2295"/>
  <c r="J2295"/>
  <c r="G2295"/>
  <c r="F2295"/>
  <c r="C2295"/>
  <c r="K2294"/>
  <c r="J2294"/>
  <c r="G2294"/>
  <c r="F2294"/>
  <c r="C2294"/>
  <c r="K2293"/>
  <c r="J2293"/>
  <c r="G2293"/>
  <c r="F2293"/>
  <c r="C2293"/>
  <c r="K2292"/>
  <c r="J2292"/>
  <c r="G2292"/>
  <c r="F2292"/>
  <c r="C2292"/>
  <c r="K2291"/>
  <c r="J2291"/>
  <c r="G2291"/>
  <c r="F2291"/>
  <c r="C2291"/>
  <c r="K2290"/>
  <c r="J2290"/>
  <c r="G2290"/>
  <c r="F2290"/>
  <c r="C2290"/>
  <c r="K2289"/>
  <c r="G2289"/>
  <c r="F2289"/>
  <c r="C2289"/>
  <c r="K2288"/>
  <c r="J2288"/>
  <c r="G2288"/>
  <c r="F2288"/>
  <c r="C2288"/>
  <c r="K2287"/>
  <c r="J2287"/>
  <c r="G2287"/>
  <c r="F2287"/>
  <c r="C2287"/>
  <c r="K2286"/>
  <c r="J2286"/>
  <c r="G2286"/>
  <c r="F2286"/>
  <c r="C2286"/>
  <c r="K2285"/>
  <c r="J2285"/>
  <c r="G2285"/>
  <c r="F2285"/>
  <c r="C2285"/>
  <c r="K2284"/>
  <c r="J2284"/>
  <c r="G2284"/>
  <c r="F2284"/>
  <c r="C2284"/>
  <c r="K2283"/>
  <c r="J2283"/>
  <c r="G2283"/>
  <c r="F2283"/>
  <c r="C2283"/>
  <c r="K2282"/>
  <c r="J2282"/>
  <c r="G2282"/>
  <c r="F2282"/>
  <c r="C2282"/>
  <c r="K2281"/>
  <c r="J2281"/>
  <c r="G2281"/>
  <c r="F2281"/>
  <c r="C2281"/>
  <c r="K2280"/>
  <c r="J2280"/>
  <c r="G2280"/>
  <c r="F2280"/>
  <c r="C2280"/>
  <c r="K2279"/>
  <c r="J2279"/>
  <c r="G2279"/>
  <c r="F2279"/>
  <c r="C2279"/>
  <c r="K2278"/>
  <c r="J2278"/>
  <c r="G2278"/>
  <c r="F2278"/>
  <c r="C2278"/>
  <c r="K2277"/>
  <c r="J2277"/>
  <c r="G2277"/>
  <c r="F2277"/>
  <c r="C2277"/>
  <c r="K2276"/>
  <c r="J2276"/>
  <c r="G2276"/>
  <c r="F2276"/>
  <c r="C2276"/>
  <c r="K2275"/>
  <c r="J2275"/>
  <c r="G2275"/>
  <c r="F2275"/>
  <c r="C2275"/>
  <c r="K2274"/>
  <c r="J2274"/>
  <c r="G2274"/>
  <c r="F2274"/>
  <c r="C2274"/>
  <c r="K2273"/>
  <c r="J2273"/>
  <c r="G2273"/>
  <c r="F2273"/>
  <c r="C2273"/>
  <c r="K2272"/>
  <c r="J2272"/>
  <c r="G2272"/>
  <c r="F2272"/>
  <c r="C2272"/>
  <c r="K2271"/>
  <c r="J2271"/>
  <c r="G2271"/>
  <c r="F2271"/>
  <c r="C2271"/>
  <c r="K2270"/>
  <c r="J2270"/>
  <c r="G2270"/>
  <c r="F2270"/>
  <c r="C2270"/>
  <c r="K2269"/>
  <c r="J2269"/>
  <c r="G2269"/>
  <c r="F2269"/>
  <c r="C2269"/>
  <c r="K2268"/>
  <c r="J2268"/>
  <c r="G2268"/>
  <c r="F2268"/>
  <c r="C2268"/>
  <c r="K2267"/>
  <c r="J2267"/>
  <c r="G2267"/>
  <c r="F2267"/>
  <c r="C2267"/>
  <c r="K2266"/>
  <c r="G2266"/>
  <c r="F2266"/>
  <c r="C2266"/>
  <c r="K2265"/>
  <c r="J2265"/>
  <c r="G2265"/>
  <c r="F2265"/>
  <c r="C2265"/>
  <c r="K2264"/>
  <c r="J2264"/>
  <c r="G2264"/>
  <c r="F2264"/>
  <c r="C2264"/>
  <c r="K2263"/>
  <c r="J2263"/>
  <c r="G2263"/>
  <c r="F2263"/>
  <c r="C2263"/>
  <c r="K2262"/>
  <c r="J2262"/>
  <c r="G2262"/>
  <c r="F2262"/>
  <c r="C2262"/>
  <c r="K2261"/>
  <c r="J2261"/>
  <c r="G2261"/>
  <c r="F2261"/>
  <c r="C2261"/>
  <c r="K2260"/>
  <c r="J2260"/>
  <c r="G2260"/>
  <c r="F2260"/>
  <c r="C2260"/>
  <c r="K2259"/>
  <c r="J2259"/>
  <c r="G2259"/>
  <c r="F2259"/>
  <c r="C2259"/>
  <c r="K2258"/>
  <c r="J2258"/>
  <c r="G2258"/>
  <c r="F2258"/>
  <c r="C2258"/>
  <c r="K2257"/>
  <c r="J2257"/>
  <c r="G2257"/>
  <c r="F2257"/>
  <c r="C2257"/>
  <c r="K2256"/>
  <c r="J2256"/>
  <c r="G2256"/>
  <c r="F2256"/>
  <c r="C2256"/>
  <c r="K2255"/>
  <c r="J2255"/>
  <c r="G2255"/>
  <c r="F2255"/>
  <c r="C2255"/>
  <c r="K2254"/>
  <c r="J2254"/>
  <c r="G2254"/>
  <c r="F2254"/>
  <c r="C2254"/>
  <c r="K2253"/>
  <c r="J2253"/>
  <c r="G2253"/>
  <c r="F2253"/>
  <c r="C2253"/>
  <c r="K2252"/>
  <c r="J2252"/>
  <c r="G2252"/>
  <c r="F2252"/>
  <c r="C2252"/>
  <c r="K2251"/>
  <c r="J2251"/>
  <c r="G2251"/>
  <c r="F2251"/>
  <c r="C2251"/>
  <c r="K2250"/>
  <c r="J2250"/>
  <c r="G2250"/>
  <c r="F2250"/>
  <c r="C2250"/>
  <c r="K2249"/>
  <c r="J2249"/>
  <c r="G2249"/>
  <c r="F2249"/>
  <c r="C2249"/>
  <c r="K2248"/>
  <c r="J2248"/>
  <c r="G2248"/>
  <c r="F2248"/>
  <c r="C2248"/>
  <c r="K2247"/>
  <c r="J2247"/>
  <c r="G2247"/>
  <c r="F2247"/>
  <c r="C2247"/>
  <c r="K2246"/>
  <c r="J2246"/>
  <c r="G2246"/>
  <c r="F2246"/>
  <c r="C2246"/>
  <c r="K2245"/>
  <c r="J2245"/>
  <c r="G2245"/>
  <c r="F2245"/>
  <c r="C2245"/>
  <c r="K2244"/>
  <c r="J2244"/>
  <c r="G2244"/>
  <c r="F2244"/>
  <c r="C2244"/>
  <c r="K2243"/>
  <c r="J2243"/>
  <c r="G2243"/>
  <c r="F2243"/>
  <c r="C2243"/>
  <c r="K2242"/>
  <c r="J2242"/>
  <c r="G2242"/>
  <c r="F2242"/>
  <c r="C2242"/>
  <c r="K2241"/>
  <c r="J2241"/>
  <c r="G2241"/>
  <c r="F2241"/>
  <c r="C2241"/>
  <c r="K2240"/>
  <c r="J2240"/>
  <c r="G2240"/>
  <c r="F2240"/>
  <c r="C2240"/>
  <c r="K2239"/>
  <c r="J2239"/>
  <c r="G2239"/>
  <c r="F2239"/>
  <c r="C2239"/>
  <c r="K2238"/>
  <c r="J2238"/>
  <c r="G2238"/>
  <c r="F2238"/>
  <c r="C2238"/>
  <c r="K2237"/>
  <c r="J2237"/>
  <c r="G2237"/>
  <c r="F2237"/>
  <c r="C2237"/>
  <c r="K2236"/>
  <c r="J2236"/>
  <c r="G2236"/>
  <c r="F2236"/>
  <c r="C2236"/>
  <c r="K2235"/>
  <c r="J2235"/>
  <c r="G2235"/>
  <c r="F2235"/>
  <c r="C2235"/>
  <c r="K2234"/>
  <c r="J2234"/>
  <c r="G2234"/>
  <c r="F2234"/>
  <c r="C2234"/>
  <c r="K2233"/>
  <c r="J2233"/>
  <c r="G2233"/>
  <c r="F2233"/>
  <c r="C2233"/>
  <c r="K2232"/>
  <c r="J2232"/>
  <c r="G2232"/>
  <c r="F2232"/>
  <c r="C2232"/>
  <c r="K2231"/>
  <c r="J2231"/>
  <c r="G2231"/>
  <c r="F2231"/>
  <c r="C2231"/>
  <c r="K2230"/>
  <c r="J2230"/>
  <c r="G2230"/>
  <c r="F2230"/>
  <c r="C2230"/>
  <c r="K2229"/>
  <c r="J2229"/>
  <c r="G2229"/>
  <c r="F2229"/>
  <c r="C2229"/>
  <c r="K2228"/>
  <c r="J2228"/>
  <c r="G2228"/>
  <c r="F2228"/>
  <c r="C2228"/>
  <c r="K2227"/>
  <c r="J2227"/>
  <c r="G2227"/>
  <c r="F2227"/>
  <c r="C2227"/>
  <c r="K2226"/>
  <c r="J2226"/>
  <c r="G2226"/>
  <c r="F2226"/>
  <c r="C2226"/>
  <c r="K2225"/>
  <c r="J2225"/>
  <c r="G2225"/>
  <c r="F2225"/>
  <c r="C2225"/>
  <c r="K2224"/>
  <c r="J2224"/>
  <c r="G2224"/>
  <c r="F2224"/>
  <c r="C2224"/>
  <c r="K2223"/>
  <c r="J2223"/>
  <c r="G2223"/>
  <c r="F2223"/>
  <c r="C2223"/>
  <c r="K2222"/>
  <c r="J2222"/>
  <c r="G2222"/>
  <c r="F2222"/>
  <c r="C2222"/>
  <c r="K2221"/>
  <c r="J2221"/>
  <c r="G2221"/>
  <c r="F2221"/>
  <c r="C2221"/>
  <c r="K2220"/>
  <c r="J2220"/>
  <c r="G2220"/>
  <c r="F2220"/>
  <c r="C2220"/>
  <c r="K2219"/>
  <c r="G2219"/>
  <c r="F2219"/>
  <c r="C2219"/>
  <c r="K2218"/>
  <c r="J2218"/>
  <c r="G2218"/>
  <c r="F2218"/>
  <c r="C2218"/>
  <c r="K2217"/>
  <c r="J2217"/>
  <c r="G2217"/>
  <c r="F2217"/>
  <c r="C2217"/>
  <c r="K2216"/>
  <c r="J2216"/>
  <c r="G2216"/>
  <c r="F2216"/>
  <c r="C2216"/>
  <c r="K2215"/>
  <c r="J2215"/>
  <c r="G2215"/>
  <c r="F2215"/>
  <c r="C2215"/>
  <c r="K2214"/>
  <c r="J2214"/>
  <c r="G2214"/>
  <c r="F2214"/>
  <c r="C2214"/>
  <c r="K2213"/>
  <c r="J2213"/>
  <c r="G2213"/>
  <c r="F2213"/>
  <c r="C2213"/>
  <c r="K2212"/>
  <c r="J2212"/>
  <c r="G2212"/>
  <c r="F2212"/>
  <c r="C2212"/>
  <c r="K2211"/>
  <c r="J2211"/>
  <c r="G2211"/>
  <c r="F2211"/>
  <c r="C2211"/>
  <c r="K2210"/>
  <c r="J2210"/>
  <c r="G2210"/>
  <c r="F2210"/>
  <c r="C2210"/>
  <c r="K2209"/>
  <c r="J2209"/>
  <c r="G2209"/>
  <c r="F2209"/>
  <c r="C2209"/>
  <c r="K2208"/>
  <c r="J2208"/>
  <c r="G2208"/>
  <c r="F2208"/>
  <c r="C2208"/>
  <c r="K2207"/>
  <c r="J2207"/>
  <c r="G2207"/>
  <c r="F2207"/>
  <c r="C2207"/>
  <c r="K2206"/>
  <c r="J2206"/>
  <c r="G2206"/>
  <c r="F2206"/>
  <c r="C2206"/>
  <c r="K2205"/>
  <c r="J2205"/>
  <c r="G2205"/>
  <c r="F2205"/>
  <c r="C2205"/>
  <c r="K2204"/>
  <c r="J2204"/>
  <c r="G2204"/>
  <c r="F2204"/>
  <c r="C2204"/>
  <c r="K2203"/>
  <c r="J2203"/>
  <c r="G2203"/>
  <c r="F2203"/>
  <c r="C2203"/>
  <c r="K2202"/>
  <c r="J2202"/>
  <c r="G2202"/>
  <c r="F2202"/>
  <c r="C2202"/>
  <c r="K2201"/>
  <c r="J2201"/>
  <c r="G2201"/>
  <c r="F2201"/>
  <c r="C2201"/>
  <c r="K2200"/>
  <c r="J2200"/>
  <c r="G2200"/>
  <c r="F2200"/>
  <c r="C2200"/>
  <c r="K2199"/>
  <c r="J2199"/>
  <c r="G2199"/>
  <c r="F2199"/>
  <c r="C2199"/>
  <c r="K2198"/>
  <c r="J2198"/>
  <c r="G2198"/>
  <c r="F2198"/>
  <c r="C2198"/>
  <c r="K2197"/>
  <c r="J2197"/>
  <c r="G2197"/>
  <c r="F2197"/>
  <c r="C2197"/>
  <c r="K2196"/>
  <c r="J2196"/>
  <c r="G2196"/>
  <c r="F2196"/>
  <c r="C2196"/>
  <c r="K2195"/>
  <c r="J2195"/>
  <c r="G2195"/>
  <c r="F2195"/>
  <c r="C2195"/>
  <c r="K2194"/>
  <c r="J2194"/>
  <c r="G2194"/>
  <c r="F2194"/>
  <c r="C2194"/>
  <c r="K2193"/>
  <c r="J2193"/>
  <c r="G2193"/>
  <c r="F2193"/>
  <c r="C2193"/>
  <c r="K2192"/>
  <c r="J2192"/>
  <c r="G2192"/>
  <c r="F2192"/>
  <c r="C2192"/>
  <c r="K2191"/>
  <c r="J2191"/>
  <c r="G2191"/>
  <c r="F2191"/>
  <c r="C2191"/>
  <c r="K2190"/>
  <c r="J2190"/>
  <c r="G2190"/>
  <c r="F2190"/>
  <c r="C2190"/>
  <c r="K2189"/>
  <c r="J2189"/>
  <c r="G2189"/>
  <c r="F2189"/>
  <c r="C2189"/>
  <c r="K2188"/>
  <c r="J2188"/>
  <c r="G2188"/>
  <c r="F2188"/>
  <c r="C2188"/>
  <c r="K2187"/>
  <c r="J2187"/>
  <c r="G2187"/>
  <c r="F2187"/>
  <c r="C2187"/>
  <c r="K2186"/>
  <c r="J2186"/>
  <c r="G2186"/>
  <c r="F2186"/>
  <c r="C2186"/>
  <c r="K2185"/>
  <c r="J2185"/>
  <c r="G2185"/>
  <c r="F2185"/>
  <c r="C2185"/>
  <c r="K2184"/>
  <c r="J2184"/>
  <c r="G2184"/>
  <c r="F2184"/>
  <c r="C2184"/>
  <c r="K2183"/>
  <c r="J2183"/>
  <c r="G2183"/>
  <c r="F2183"/>
  <c r="C2183"/>
  <c r="K2182"/>
  <c r="J2182"/>
  <c r="G2182"/>
  <c r="F2182"/>
  <c r="C2182"/>
  <c r="K2181"/>
  <c r="J2181"/>
  <c r="G2181"/>
  <c r="F2181"/>
  <c r="C2181"/>
  <c r="K2180"/>
  <c r="J2180"/>
  <c r="G2180"/>
  <c r="F2180"/>
  <c r="C2180"/>
  <c r="K2179"/>
  <c r="J2179"/>
  <c r="G2179"/>
  <c r="F2179"/>
  <c r="C2179"/>
  <c r="K2178"/>
  <c r="J2178"/>
  <c r="G2178"/>
  <c r="F2178"/>
  <c r="C2178"/>
  <c r="K2177"/>
  <c r="J2177"/>
  <c r="G2177"/>
  <c r="F2177"/>
  <c r="C2177"/>
  <c r="K2176"/>
  <c r="J2176"/>
  <c r="G2176"/>
  <c r="F2176"/>
  <c r="C2176"/>
  <c r="K2175"/>
  <c r="J2175"/>
  <c r="G2175"/>
  <c r="F2175"/>
  <c r="C2175"/>
  <c r="K2174"/>
  <c r="J2174"/>
  <c r="G2174"/>
  <c r="F2174"/>
  <c r="C2174"/>
  <c r="K2173"/>
  <c r="J2173"/>
  <c r="G2173"/>
  <c r="F2173"/>
  <c r="C2173"/>
  <c r="K2172"/>
  <c r="J2172"/>
  <c r="G2172"/>
  <c r="F2172"/>
  <c r="C2172"/>
  <c r="K2171"/>
  <c r="J2171"/>
  <c r="G2171"/>
  <c r="F2171"/>
  <c r="C2171"/>
  <c r="K2170"/>
  <c r="J2170"/>
  <c r="G2170"/>
  <c r="F2170"/>
  <c r="C2170"/>
  <c r="K2169"/>
  <c r="J2169"/>
  <c r="G2169"/>
  <c r="F2169"/>
  <c r="C2169"/>
  <c r="K2168"/>
  <c r="J2168"/>
  <c r="G2168"/>
  <c r="F2168"/>
  <c r="C2168"/>
  <c r="K2167"/>
  <c r="J2167"/>
  <c r="G2167"/>
  <c r="F2167"/>
  <c r="C2167"/>
  <c r="K2166"/>
  <c r="J2166"/>
  <c r="G2166"/>
  <c r="F2166"/>
  <c r="C2166"/>
  <c r="K2165"/>
  <c r="J2165"/>
  <c r="G2165"/>
  <c r="F2165"/>
  <c r="C2165"/>
  <c r="K2164"/>
  <c r="J2164"/>
  <c r="G2164"/>
  <c r="F2164"/>
  <c r="C2164"/>
  <c r="K2163"/>
  <c r="J2163"/>
  <c r="G2163"/>
  <c r="F2163"/>
  <c r="C2163"/>
  <c r="K2162"/>
  <c r="J2162"/>
  <c r="G2162"/>
  <c r="F2162"/>
  <c r="C2162"/>
  <c r="K2161"/>
  <c r="J2161"/>
  <c r="G2161"/>
  <c r="F2161"/>
  <c r="C2161"/>
  <c r="K2160"/>
  <c r="J2160"/>
  <c r="G2160"/>
  <c r="F2160"/>
  <c r="C2160"/>
  <c r="K2159"/>
  <c r="J2159"/>
  <c r="G2159"/>
  <c r="F2159"/>
  <c r="C2159"/>
  <c r="K2158"/>
  <c r="J2158"/>
  <c r="G2158"/>
  <c r="F2158"/>
  <c r="C2158"/>
  <c r="K2157"/>
  <c r="J2157"/>
  <c r="G2157"/>
  <c r="F2157"/>
  <c r="C2157"/>
  <c r="K2156"/>
  <c r="J2156"/>
  <c r="G2156"/>
  <c r="F2156"/>
  <c r="C2156"/>
  <c r="K2155"/>
  <c r="J2155"/>
  <c r="G2155"/>
  <c r="F2155"/>
  <c r="C2155"/>
  <c r="K2154"/>
  <c r="J2154"/>
  <c r="G2154"/>
  <c r="F2154"/>
  <c r="C2154"/>
  <c r="K2153"/>
  <c r="J2153"/>
  <c r="G2153"/>
  <c r="F2153"/>
  <c r="C2153"/>
  <c r="K2152"/>
  <c r="J2152"/>
  <c r="G2152"/>
  <c r="F2152"/>
  <c r="C2152"/>
  <c r="K2151"/>
  <c r="J2151"/>
  <c r="G2151"/>
  <c r="F2151"/>
  <c r="C2151"/>
  <c r="K2150"/>
  <c r="J2150"/>
  <c r="G2150"/>
  <c r="F2150"/>
  <c r="C2150"/>
  <c r="K2149"/>
  <c r="J2149"/>
  <c r="G2149"/>
  <c r="F2149"/>
  <c r="C2149"/>
  <c r="K2148"/>
  <c r="J2148"/>
  <c r="G2148"/>
  <c r="F2148"/>
  <c r="C2148"/>
  <c r="K2147"/>
  <c r="J2147"/>
  <c r="G2147"/>
  <c r="F2147"/>
  <c r="C2147"/>
  <c r="K2146"/>
  <c r="J2146"/>
  <c r="G2146"/>
  <c r="F2146"/>
  <c r="C2146"/>
  <c r="K2145"/>
  <c r="J2145"/>
  <c r="G2145"/>
  <c r="F2145"/>
  <c r="C2145"/>
  <c r="K2144"/>
  <c r="J2144"/>
  <c r="G2144"/>
  <c r="F2144"/>
  <c r="C2144"/>
  <c r="K2143"/>
  <c r="J2143"/>
  <c r="G2143"/>
  <c r="F2143"/>
  <c r="C2143"/>
  <c r="K2142"/>
  <c r="J2142"/>
  <c r="G2142"/>
  <c r="F2142"/>
  <c r="C2142"/>
  <c r="K2141"/>
  <c r="J2141"/>
  <c r="G2141"/>
  <c r="F2141"/>
  <c r="C2141"/>
  <c r="K2140"/>
  <c r="J2140"/>
  <c r="G2140"/>
  <c r="F2140"/>
  <c r="C2140"/>
  <c r="K2139"/>
  <c r="J2139"/>
  <c r="G2139"/>
  <c r="F2139"/>
  <c r="C2139"/>
  <c r="K2138"/>
  <c r="J2138"/>
  <c r="G2138"/>
  <c r="F2138"/>
  <c r="C2138"/>
  <c r="K2137"/>
  <c r="J2137"/>
  <c r="G2137"/>
  <c r="F2137"/>
  <c r="C2137"/>
  <c r="K2136"/>
  <c r="J2136"/>
  <c r="G2136"/>
  <c r="F2136"/>
  <c r="C2136"/>
  <c r="K2135"/>
  <c r="J2135"/>
  <c r="G2135"/>
  <c r="F2135"/>
  <c r="C2135"/>
  <c r="K2134"/>
  <c r="J2134"/>
  <c r="G2134"/>
  <c r="F2134"/>
  <c r="C2134"/>
  <c r="K2133"/>
  <c r="J2133"/>
  <c r="G2133"/>
  <c r="F2133"/>
  <c r="C2133"/>
  <c r="K2132"/>
  <c r="J2132"/>
  <c r="G2132"/>
  <c r="F2132"/>
  <c r="C2132"/>
  <c r="K2131"/>
  <c r="J2131"/>
  <c r="G2131"/>
  <c r="F2131"/>
  <c r="C2131"/>
  <c r="K2130"/>
  <c r="J2130"/>
  <c r="G2130"/>
  <c r="F2130"/>
  <c r="C2130"/>
  <c r="K2129"/>
  <c r="J2129"/>
  <c r="G2129"/>
  <c r="F2129"/>
  <c r="C2129"/>
  <c r="K2128"/>
  <c r="J2128"/>
  <c r="G2128"/>
  <c r="F2128"/>
  <c r="C2128"/>
  <c r="K2127"/>
  <c r="J2127"/>
  <c r="G2127"/>
  <c r="F2127"/>
  <c r="C2127"/>
  <c r="K2126"/>
  <c r="J2126"/>
  <c r="G2126"/>
  <c r="F2126"/>
  <c r="C2126"/>
  <c r="K2125"/>
  <c r="J2125"/>
  <c r="G2125"/>
  <c r="F2125"/>
  <c r="C2125"/>
  <c r="K2124"/>
  <c r="J2124"/>
  <c r="G2124"/>
  <c r="F2124"/>
  <c r="C2124"/>
  <c r="K2123"/>
  <c r="J2123"/>
  <c r="G2123"/>
  <c r="F2123"/>
  <c r="C2123"/>
  <c r="K2122"/>
  <c r="J2122"/>
  <c r="G2122"/>
  <c r="F2122"/>
  <c r="C2122"/>
  <c r="K2121"/>
  <c r="J2121"/>
  <c r="G2121"/>
  <c r="F2121"/>
  <c r="C2121"/>
  <c r="K2120"/>
  <c r="J2120"/>
  <c r="G2120"/>
  <c r="F2120"/>
  <c r="C2120"/>
  <c r="K2119"/>
  <c r="J2119"/>
  <c r="G2119"/>
  <c r="F2119"/>
  <c r="C2119"/>
  <c r="K2118"/>
  <c r="J2118"/>
  <c r="G2118"/>
  <c r="F2118"/>
  <c r="C2118"/>
  <c r="K2117"/>
  <c r="J2117"/>
  <c r="G2117"/>
  <c r="F2117"/>
  <c r="C2117"/>
  <c r="K2116"/>
  <c r="J2116"/>
  <c r="G2116"/>
  <c r="F2116"/>
  <c r="C2116"/>
  <c r="K2115"/>
  <c r="J2115"/>
  <c r="G2115"/>
  <c r="F2115"/>
  <c r="C2115"/>
  <c r="K2114"/>
  <c r="J2114"/>
  <c r="G2114"/>
  <c r="F2114"/>
  <c r="C2114"/>
  <c r="K2113"/>
  <c r="J2113"/>
  <c r="G2113"/>
  <c r="F2113"/>
  <c r="C2113"/>
  <c r="K2112"/>
  <c r="J2112"/>
  <c r="G2112"/>
  <c r="F2112"/>
  <c r="C2112"/>
  <c r="K2111"/>
  <c r="J2111"/>
  <c r="G2111"/>
  <c r="F2111"/>
  <c r="C2111"/>
  <c r="K2110"/>
  <c r="J2110"/>
  <c r="G2110"/>
  <c r="F2110"/>
  <c r="C2110"/>
  <c r="K2109"/>
  <c r="J2109"/>
  <c r="G2109"/>
  <c r="F2109"/>
  <c r="C2109"/>
  <c r="K2108"/>
  <c r="J2108"/>
  <c r="G2108"/>
  <c r="F2108"/>
  <c r="C2108"/>
  <c r="K2107"/>
  <c r="J2107"/>
  <c r="G2107"/>
  <c r="F2107"/>
  <c r="C2107"/>
  <c r="K2106"/>
  <c r="J2106"/>
  <c r="G2106"/>
  <c r="F2106"/>
  <c r="C2106"/>
  <c r="K2105"/>
  <c r="J2105"/>
  <c r="G2105"/>
  <c r="F2105"/>
  <c r="C2105"/>
  <c r="K2104"/>
  <c r="J2104"/>
  <c r="G2104"/>
  <c r="F2104"/>
  <c r="C2104"/>
  <c r="K2103"/>
  <c r="J2103"/>
  <c r="G2103"/>
  <c r="F2103"/>
  <c r="C2103"/>
  <c r="K2102"/>
  <c r="J2102"/>
  <c r="G2102"/>
  <c r="F2102"/>
  <c r="C2102"/>
  <c r="K2101"/>
  <c r="J2101"/>
  <c r="G2101"/>
  <c r="F2101"/>
  <c r="C2101"/>
  <c r="K2100"/>
  <c r="J2100"/>
  <c r="G2100"/>
  <c r="F2100"/>
  <c r="C2100"/>
  <c r="K2099"/>
  <c r="J2099"/>
  <c r="G2099"/>
  <c r="F2099"/>
  <c r="C2099"/>
  <c r="K2098"/>
  <c r="J2098"/>
  <c r="G2098"/>
  <c r="F2098"/>
  <c r="C2098"/>
  <c r="K2097"/>
  <c r="J2097"/>
  <c r="G2097"/>
  <c r="F2097"/>
  <c r="C2097"/>
  <c r="K2096"/>
  <c r="J2096"/>
  <c r="G2096"/>
  <c r="F2096"/>
  <c r="C2096"/>
  <c r="K2095"/>
  <c r="J2095"/>
  <c r="G2095"/>
  <c r="F2095"/>
  <c r="C2095"/>
  <c r="K2094"/>
  <c r="J2094"/>
  <c r="G2094"/>
  <c r="F2094"/>
  <c r="C2094"/>
  <c r="K2093"/>
  <c r="J2093"/>
  <c r="G2093"/>
  <c r="F2093"/>
  <c r="C2093"/>
  <c r="K2092"/>
  <c r="J2092"/>
  <c r="G2092"/>
  <c r="F2092"/>
  <c r="C2092"/>
  <c r="K2091"/>
  <c r="J2091"/>
  <c r="G2091"/>
  <c r="F2091"/>
  <c r="C2091"/>
  <c r="K2090"/>
  <c r="J2090"/>
  <c r="G2090"/>
  <c r="F2090"/>
  <c r="C2090"/>
  <c r="K2089"/>
  <c r="J2089"/>
  <c r="G2089"/>
  <c r="F2089"/>
  <c r="C2089"/>
  <c r="K2088"/>
  <c r="J2088"/>
  <c r="G2088"/>
  <c r="F2088"/>
  <c r="C2088"/>
  <c r="K2087"/>
  <c r="J2087"/>
  <c r="G2087"/>
  <c r="F2087"/>
  <c r="C2087"/>
  <c r="K2086"/>
  <c r="G2086"/>
  <c r="F2086"/>
  <c r="C2086"/>
  <c r="K2085"/>
  <c r="J2085"/>
  <c r="G2085"/>
  <c r="F2085"/>
  <c r="C2085"/>
  <c r="K2084"/>
  <c r="J2084"/>
  <c r="G2084"/>
  <c r="F2084"/>
  <c r="C2084"/>
  <c r="K2083"/>
  <c r="J2083"/>
  <c r="G2083"/>
  <c r="F2083"/>
  <c r="C2083"/>
  <c r="K2082"/>
  <c r="J2082"/>
  <c r="G2082"/>
  <c r="F2082"/>
  <c r="C2082"/>
  <c r="K2081"/>
  <c r="J2081"/>
  <c r="G2081"/>
  <c r="F2081"/>
  <c r="C2081"/>
  <c r="K2080"/>
  <c r="J2080"/>
  <c r="G2080"/>
  <c r="F2080"/>
  <c r="C2080"/>
  <c r="K2079"/>
  <c r="J2079"/>
  <c r="G2079"/>
  <c r="F2079"/>
  <c r="C2079"/>
  <c r="K2078"/>
  <c r="J2078"/>
  <c r="G2078"/>
  <c r="F2078"/>
  <c r="C2078"/>
  <c r="K2077"/>
  <c r="J2077"/>
  <c r="G2077"/>
  <c r="F2077"/>
  <c r="C2077"/>
  <c r="K2076"/>
  <c r="J2076"/>
  <c r="G2076"/>
  <c r="F2076"/>
  <c r="C2076"/>
  <c r="K2075"/>
  <c r="J2075"/>
  <c r="G2075"/>
  <c r="F2075"/>
  <c r="C2075"/>
  <c r="K2074"/>
  <c r="J2074"/>
  <c r="G2074"/>
  <c r="F2074"/>
  <c r="C2074"/>
  <c r="K2073"/>
  <c r="J2073"/>
  <c r="G2073"/>
  <c r="F2073"/>
  <c r="C2073"/>
  <c r="K2072"/>
  <c r="J2072"/>
  <c r="G2072"/>
  <c r="F2072"/>
  <c r="C2072"/>
  <c r="K2071"/>
  <c r="J2071"/>
  <c r="G2071"/>
  <c r="F2071"/>
  <c r="C2071"/>
  <c r="K2070"/>
  <c r="J2070"/>
  <c r="G2070"/>
  <c r="F2070"/>
  <c r="C2070"/>
  <c r="K2069"/>
  <c r="J2069"/>
  <c r="G2069"/>
  <c r="F2069"/>
  <c r="C2069"/>
  <c r="K2068"/>
  <c r="J2068"/>
  <c r="G2068"/>
  <c r="F2068"/>
  <c r="C2068"/>
  <c r="K2067"/>
  <c r="J2067"/>
  <c r="G2067"/>
  <c r="F2067"/>
  <c r="C2067"/>
  <c r="K2066"/>
  <c r="J2066"/>
  <c r="G2066"/>
  <c r="F2066"/>
  <c r="C2066"/>
  <c r="K2065"/>
  <c r="J2065"/>
  <c r="G2065"/>
  <c r="F2065"/>
  <c r="C2065"/>
  <c r="K2064"/>
  <c r="J2064"/>
  <c r="G2064"/>
  <c r="F2064"/>
  <c r="C2064"/>
  <c r="K2063"/>
  <c r="J2063"/>
  <c r="G2063"/>
  <c r="F2063"/>
  <c r="C2063"/>
  <c r="K2062"/>
  <c r="J2062"/>
  <c r="G2062"/>
  <c r="F2062"/>
  <c r="C2062"/>
  <c r="K2061"/>
  <c r="J2061"/>
  <c r="G2061"/>
  <c r="F2061"/>
  <c r="C2061"/>
  <c r="K2060"/>
  <c r="J2060"/>
  <c r="G2060"/>
  <c r="F2060"/>
  <c r="C2060"/>
  <c r="K2059"/>
  <c r="J2059"/>
  <c r="G2059"/>
  <c r="F2059"/>
  <c r="C2059"/>
  <c r="K2058"/>
  <c r="J2058"/>
  <c r="G2058"/>
  <c r="F2058"/>
  <c r="C2058"/>
  <c r="K2057"/>
  <c r="J2057"/>
  <c r="G2057"/>
  <c r="F2057"/>
  <c r="C2057"/>
  <c r="K2056"/>
  <c r="J2056"/>
  <c r="G2056"/>
  <c r="F2056"/>
  <c r="C2056"/>
  <c r="K2055"/>
  <c r="J2055"/>
  <c r="G2055"/>
  <c r="F2055"/>
  <c r="C2055"/>
  <c r="K2054"/>
  <c r="J2054"/>
  <c r="G2054"/>
  <c r="F2054"/>
  <c r="C2054"/>
  <c r="K2053"/>
  <c r="J2053"/>
  <c r="G2053"/>
  <c r="F2053"/>
  <c r="C2053"/>
  <c r="K2052"/>
  <c r="J2052"/>
  <c r="G2052"/>
  <c r="F2052"/>
  <c r="C2052"/>
  <c r="K2051"/>
  <c r="J2051"/>
  <c r="G2051"/>
  <c r="F2051"/>
  <c r="C2051"/>
  <c r="K2050"/>
  <c r="J2050"/>
  <c r="G2050"/>
  <c r="F2050"/>
  <c r="C2050"/>
  <c r="K2049"/>
  <c r="J2049"/>
  <c r="G2049"/>
  <c r="F2049"/>
  <c r="C2049"/>
  <c r="K2048"/>
  <c r="J2048"/>
  <c r="G2048"/>
  <c r="F2048"/>
  <c r="C2048"/>
  <c r="K2047"/>
  <c r="J2047"/>
  <c r="G2047"/>
  <c r="F2047"/>
  <c r="C2047"/>
  <c r="K2046"/>
  <c r="J2046"/>
  <c r="G2046"/>
  <c r="F2046"/>
  <c r="C2046"/>
  <c r="K2045"/>
  <c r="J2045"/>
  <c r="G2045"/>
  <c r="F2045"/>
  <c r="C2045"/>
  <c r="K2044"/>
  <c r="J2044"/>
  <c r="G2044"/>
  <c r="F2044"/>
  <c r="C2044"/>
  <c r="K2043"/>
  <c r="J2043"/>
  <c r="G2043"/>
  <c r="F2043"/>
  <c r="C2043"/>
  <c r="K2042"/>
  <c r="J2042"/>
  <c r="G2042"/>
  <c r="F2042"/>
  <c r="C2042"/>
  <c r="K2041"/>
  <c r="J2041"/>
  <c r="G2041"/>
  <c r="F2041"/>
  <c r="C2041"/>
  <c r="K2040"/>
  <c r="J2040"/>
  <c r="G2040"/>
  <c r="F2040"/>
  <c r="C2040"/>
  <c r="K2039"/>
  <c r="J2039"/>
  <c r="G2039"/>
  <c r="F2039"/>
  <c r="C2039"/>
  <c r="K2038"/>
  <c r="J2038"/>
  <c r="G2038"/>
  <c r="F2038"/>
  <c r="C2038"/>
  <c r="K2037"/>
  <c r="J2037"/>
  <c r="G2037"/>
  <c r="F2037"/>
  <c r="C2037"/>
  <c r="K2036"/>
  <c r="J2036"/>
  <c r="G2036"/>
  <c r="F2036"/>
  <c r="C2036"/>
  <c r="K2035"/>
  <c r="J2035"/>
  <c r="G2035"/>
  <c r="F2035"/>
  <c r="C2035"/>
  <c r="K2034"/>
  <c r="J2034"/>
  <c r="G2034"/>
  <c r="F2034"/>
  <c r="C2034"/>
  <c r="K2033"/>
  <c r="J2033"/>
  <c r="G2033"/>
  <c r="F2033"/>
  <c r="C2033"/>
  <c r="K2032"/>
  <c r="J2032"/>
  <c r="G2032"/>
  <c r="F2032"/>
  <c r="C2032"/>
  <c r="K2031"/>
  <c r="J2031"/>
  <c r="G2031"/>
  <c r="F2031"/>
  <c r="C2031"/>
  <c r="K2030"/>
  <c r="J2030"/>
  <c r="G2030"/>
  <c r="F2030"/>
  <c r="C2030"/>
  <c r="K2029"/>
  <c r="G2029"/>
  <c r="F2029"/>
  <c r="C2029"/>
  <c r="K2028"/>
  <c r="J2028"/>
  <c r="G2028"/>
  <c r="F2028"/>
  <c r="C2028"/>
  <c r="K2027"/>
  <c r="J2027"/>
  <c r="G2027"/>
  <c r="F2027"/>
  <c r="C2027"/>
  <c r="K2026"/>
  <c r="J2026"/>
  <c r="G2026"/>
  <c r="F2026"/>
  <c r="C2026"/>
  <c r="K2025"/>
  <c r="J2025"/>
  <c r="G2025"/>
  <c r="F2025"/>
  <c r="C2025"/>
  <c r="K2024"/>
  <c r="J2024"/>
  <c r="G2024"/>
  <c r="F2024"/>
  <c r="C2024"/>
  <c r="K2023"/>
  <c r="J2023"/>
  <c r="G2023"/>
  <c r="F2023"/>
  <c r="C2023"/>
  <c r="K2022"/>
  <c r="J2022"/>
  <c r="G2022"/>
  <c r="F2022"/>
  <c r="C2022"/>
  <c r="K2021"/>
  <c r="J2021"/>
  <c r="G2021"/>
  <c r="F2021"/>
  <c r="C2021"/>
  <c r="K2020"/>
  <c r="J2020"/>
  <c r="G2020"/>
  <c r="F2020"/>
  <c r="C2020"/>
  <c r="K2019"/>
  <c r="J2019"/>
  <c r="G2019"/>
  <c r="F2019"/>
  <c r="C2019"/>
  <c r="K2018"/>
  <c r="J2018"/>
  <c r="G2018"/>
  <c r="F2018"/>
  <c r="C2018"/>
  <c r="K2017"/>
  <c r="J2017"/>
  <c r="G2017"/>
  <c r="F2017"/>
  <c r="C2017"/>
  <c r="K2016"/>
  <c r="J2016"/>
  <c r="G2016"/>
  <c r="F2016"/>
  <c r="C2016"/>
  <c r="K2015"/>
  <c r="J2015"/>
  <c r="G2015"/>
  <c r="F2015"/>
  <c r="C2015"/>
  <c r="K2014"/>
  <c r="J2014"/>
  <c r="G2014"/>
  <c r="F2014"/>
  <c r="C2014"/>
  <c r="K2013"/>
  <c r="J2013"/>
  <c r="G2013"/>
  <c r="F2013"/>
  <c r="C2013"/>
  <c r="K2012"/>
  <c r="J2012"/>
  <c r="G2012"/>
  <c r="F2012"/>
  <c r="C2012"/>
  <c r="K2011"/>
  <c r="J2011"/>
  <c r="G2011"/>
  <c r="F2011"/>
  <c r="C2011"/>
  <c r="K2010"/>
  <c r="J2010"/>
  <c r="G2010"/>
  <c r="F2010"/>
  <c r="C2010"/>
  <c r="K2009"/>
  <c r="J2009"/>
  <c r="G2009"/>
  <c r="F2009"/>
  <c r="C2009"/>
  <c r="K2008"/>
  <c r="J2008"/>
  <c r="G2008"/>
  <c r="F2008"/>
  <c r="C2008"/>
  <c r="K2007"/>
  <c r="J2007"/>
  <c r="G2007"/>
  <c r="F2007"/>
  <c r="C2007"/>
  <c r="K2006"/>
  <c r="J2006"/>
  <c r="G2006"/>
  <c r="F2006"/>
  <c r="C2006"/>
  <c r="K2005"/>
  <c r="J2005"/>
  <c r="G2005"/>
  <c r="F2005"/>
  <c r="C2005"/>
  <c r="K2004"/>
  <c r="J2004"/>
  <c r="G2004"/>
  <c r="F2004"/>
  <c r="C2004"/>
  <c r="K2003"/>
  <c r="J2003"/>
  <c r="G2003"/>
  <c r="F2003"/>
  <c r="C2003"/>
  <c r="K2002"/>
  <c r="J2002"/>
  <c r="G2002"/>
  <c r="F2002"/>
  <c r="C2002"/>
  <c r="K2001"/>
  <c r="J2001"/>
  <c r="G2001"/>
  <c r="F2001"/>
  <c r="C2001"/>
  <c r="K2000"/>
  <c r="J2000"/>
  <c r="G2000"/>
  <c r="F2000"/>
  <c r="C2000"/>
  <c r="K1999"/>
  <c r="J1999"/>
  <c r="G1999"/>
  <c r="F1999"/>
  <c r="C1999"/>
  <c r="K1998"/>
  <c r="J1998"/>
  <c r="G1998"/>
  <c r="F1998"/>
  <c r="C1998"/>
  <c r="K1997"/>
  <c r="J1997"/>
  <c r="G1997"/>
  <c r="F1997"/>
  <c r="C1997"/>
  <c r="K1996"/>
  <c r="J1996"/>
  <c r="G1996"/>
  <c r="F1996"/>
  <c r="C1996"/>
  <c r="K1995"/>
  <c r="J1995"/>
  <c r="G1995"/>
  <c r="F1995"/>
  <c r="C1995"/>
  <c r="K1994"/>
  <c r="J1994"/>
  <c r="G1994"/>
  <c r="F1994"/>
  <c r="C1994"/>
  <c r="K1993"/>
  <c r="J1993"/>
  <c r="G1993"/>
  <c r="F1993"/>
  <c r="C1993"/>
  <c r="K1992"/>
  <c r="J1992"/>
  <c r="G1992"/>
  <c r="F1992"/>
  <c r="C1992"/>
  <c r="K1991"/>
  <c r="J1991"/>
  <c r="G1991"/>
  <c r="F1991"/>
  <c r="C1991"/>
  <c r="K1990"/>
  <c r="J1990"/>
  <c r="G1990"/>
  <c r="F1990"/>
  <c r="C1990"/>
  <c r="K1989"/>
  <c r="J1989"/>
  <c r="G1989"/>
  <c r="F1989"/>
  <c r="C1989"/>
  <c r="K1988"/>
  <c r="J1988"/>
  <c r="G1988"/>
  <c r="F1988"/>
  <c r="C1988"/>
  <c r="K1987"/>
  <c r="J1987"/>
  <c r="G1987"/>
  <c r="F1987"/>
  <c r="C1987"/>
  <c r="K1986"/>
  <c r="J1986"/>
  <c r="G1986"/>
  <c r="F1986"/>
  <c r="C1986"/>
  <c r="K1985"/>
  <c r="J1985"/>
  <c r="G1985"/>
  <c r="F1985"/>
  <c r="C1985"/>
  <c r="K1984"/>
  <c r="J1984"/>
  <c r="G1984"/>
  <c r="F1984"/>
  <c r="C1984"/>
  <c r="K1983"/>
  <c r="J1983"/>
  <c r="G1983"/>
  <c r="F1983"/>
  <c r="C1983"/>
  <c r="K1982"/>
  <c r="J1982"/>
  <c r="G1982"/>
  <c r="F1982"/>
  <c r="C1982"/>
  <c r="K1981"/>
  <c r="J1981"/>
  <c r="G1981"/>
  <c r="F1981"/>
  <c r="C1981"/>
  <c r="K1980"/>
  <c r="J1980"/>
  <c r="G1980"/>
  <c r="F1980"/>
  <c r="C1980"/>
  <c r="K1979"/>
  <c r="J1979"/>
  <c r="G1979"/>
  <c r="F1979"/>
  <c r="C1979"/>
  <c r="K1978"/>
  <c r="J1978"/>
  <c r="G1978"/>
  <c r="F1978"/>
  <c r="C1978"/>
  <c r="K1977"/>
  <c r="J1977"/>
  <c r="G1977"/>
  <c r="F1977"/>
  <c r="C1977"/>
  <c r="K1976"/>
  <c r="J1976"/>
  <c r="G1976"/>
  <c r="F1976"/>
  <c r="C1976"/>
  <c r="K1975"/>
  <c r="J1975"/>
  <c r="G1975"/>
  <c r="F1975"/>
  <c r="C1975"/>
  <c r="K1974"/>
  <c r="J1974"/>
  <c r="G1974"/>
  <c r="F1974"/>
  <c r="C1974"/>
  <c r="K1973"/>
  <c r="J1973"/>
  <c r="G1973"/>
  <c r="F1973"/>
  <c r="C1973"/>
  <c r="K1972"/>
  <c r="J1972"/>
  <c r="G1972"/>
  <c r="F1972"/>
  <c r="C1972"/>
  <c r="K1971"/>
  <c r="J1971"/>
  <c r="G1971"/>
  <c r="F1971"/>
  <c r="C1971"/>
  <c r="K1970"/>
  <c r="J1970"/>
  <c r="G1970"/>
  <c r="F1970"/>
  <c r="C1970"/>
  <c r="K1969"/>
  <c r="J1969"/>
  <c r="G1969"/>
  <c r="F1969"/>
  <c r="C1969"/>
  <c r="K1968"/>
  <c r="J1968"/>
  <c r="G1968"/>
  <c r="F1968"/>
  <c r="C1968"/>
  <c r="K1967"/>
  <c r="J1967"/>
  <c r="G1967"/>
  <c r="F1967"/>
  <c r="C1967"/>
  <c r="K1966"/>
  <c r="J1966"/>
  <c r="G1966"/>
  <c r="F1966"/>
  <c r="C1966"/>
  <c r="K1965"/>
  <c r="J1965"/>
  <c r="G1965"/>
  <c r="F1965"/>
  <c r="C1965"/>
  <c r="K1964"/>
  <c r="J1964"/>
  <c r="G1964"/>
  <c r="F1964"/>
  <c r="C1964"/>
  <c r="K1963"/>
  <c r="J1963"/>
  <c r="G1963"/>
  <c r="F1963"/>
  <c r="C1963"/>
  <c r="K1962"/>
  <c r="J1962"/>
  <c r="G1962"/>
  <c r="F1962"/>
  <c r="C1962"/>
  <c r="K1961"/>
  <c r="J1961"/>
  <c r="G1961"/>
  <c r="F1961"/>
  <c r="C1961"/>
  <c r="K1960"/>
  <c r="J1960"/>
  <c r="G1960"/>
  <c r="F1960"/>
  <c r="C1960"/>
  <c r="K1959"/>
  <c r="J1959"/>
  <c r="G1959"/>
  <c r="F1959"/>
  <c r="C1959"/>
  <c r="K1958"/>
  <c r="J1958"/>
  <c r="G1958"/>
  <c r="F1958"/>
  <c r="C1958"/>
  <c r="K1957"/>
  <c r="J1957"/>
  <c r="G1957"/>
  <c r="F1957"/>
  <c r="C1957"/>
  <c r="K1956"/>
  <c r="J1956"/>
  <c r="G1956"/>
  <c r="F1956"/>
  <c r="C1956"/>
  <c r="K1955"/>
  <c r="J1955"/>
  <c r="G1955"/>
  <c r="F1955"/>
  <c r="C1955"/>
  <c r="K1954"/>
  <c r="J1954"/>
  <c r="G1954"/>
  <c r="F1954"/>
  <c r="C1954"/>
  <c r="K1953"/>
  <c r="J1953"/>
  <c r="G1953"/>
  <c r="F1953"/>
  <c r="C1953"/>
  <c r="K1952"/>
  <c r="J1952"/>
  <c r="G1952"/>
  <c r="F1952"/>
  <c r="C1952"/>
  <c r="K1951"/>
  <c r="J1951"/>
  <c r="G1951"/>
  <c r="F1951"/>
  <c r="C1951"/>
  <c r="K1950"/>
  <c r="J1950"/>
  <c r="G1950"/>
  <c r="F1950"/>
  <c r="C1950"/>
  <c r="K1949"/>
  <c r="J1949"/>
  <c r="G1949"/>
  <c r="F1949"/>
  <c r="C1949"/>
  <c r="K1948"/>
  <c r="J1948"/>
  <c r="G1948"/>
  <c r="F1948"/>
  <c r="C1948"/>
  <c r="K1947"/>
  <c r="J1947"/>
  <c r="G1947"/>
  <c r="F1947"/>
  <c r="C1947"/>
  <c r="K1946"/>
  <c r="G1946"/>
  <c r="F1946"/>
  <c r="C1946"/>
  <c r="K1945"/>
  <c r="J1945"/>
  <c r="G1945"/>
  <c r="F1945"/>
  <c r="C1945"/>
  <c r="K1944"/>
  <c r="J1944"/>
  <c r="G1944"/>
  <c r="F1944"/>
  <c r="C1944"/>
  <c r="K1943"/>
  <c r="J1943"/>
  <c r="G1943"/>
  <c r="F1943"/>
  <c r="C1943"/>
  <c r="K1942"/>
  <c r="J1942"/>
  <c r="G1942"/>
  <c r="F1942"/>
  <c r="C1942"/>
  <c r="K1941"/>
  <c r="J1941"/>
  <c r="G1941"/>
  <c r="F1941"/>
  <c r="C1941"/>
  <c r="K1940"/>
  <c r="J1940"/>
  <c r="G1940"/>
  <c r="F1940"/>
  <c r="C1940"/>
  <c r="K1939"/>
  <c r="J1939"/>
  <c r="G1939"/>
  <c r="F1939"/>
  <c r="C1939"/>
  <c r="K1938"/>
  <c r="J1938"/>
  <c r="G1938"/>
  <c r="F1938"/>
  <c r="C1938"/>
  <c r="K1937"/>
  <c r="J1937"/>
  <c r="G1937"/>
  <c r="F1937"/>
  <c r="C1937"/>
  <c r="K1936"/>
  <c r="J1936"/>
  <c r="G1936"/>
  <c r="F1936"/>
  <c r="C1936"/>
  <c r="K1935"/>
  <c r="J1935"/>
  <c r="G1935"/>
  <c r="F1935"/>
  <c r="C1935"/>
  <c r="K1934"/>
  <c r="J1934"/>
  <c r="G1934"/>
  <c r="F1934"/>
  <c r="C1934"/>
  <c r="K1933"/>
  <c r="J1933"/>
  <c r="G1933"/>
  <c r="F1933"/>
  <c r="C1933"/>
  <c r="K1932"/>
  <c r="J1932"/>
  <c r="G1932"/>
  <c r="F1932"/>
  <c r="C1932"/>
  <c r="K1931"/>
  <c r="J1931"/>
  <c r="G1931"/>
  <c r="F1931"/>
  <c r="C1931"/>
  <c r="K1930"/>
  <c r="J1930"/>
  <c r="G1930"/>
  <c r="F1930"/>
  <c r="C1930"/>
  <c r="K1929"/>
  <c r="J1929"/>
  <c r="G1929"/>
  <c r="F1929"/>
  <c r="C1929"/>
  <c r="K1928"/>
  <c r="J1928"/>
  <c r="G1928"/>
  <c r="F1928"/>
  <c r="C1928"/>
  <c r="K1927"/>
  <c r="J1927"/>
  <c r="G1927"/>
  <c r="F1927"/>
  <c r="C1927"/>
  <c r="K1926"/>
  <c r="J1926"/>
  <c r="G1926"/>
  <c r="F1926"/>
  <c r="C1926"/>
  <c r="K1925"/>
  <c r="J1925"/>
  <c r="G1925"/>
  <c r="F1925"/>
  <c r="C1925"/>
  <c r="K1924"/>
  <c r="J1924"/>
  <c r="G1924"/>
  <c r="F1924"/>
  <c r="C1924"/>
  <c r="K1923"/>
  <c r="J1923"/>
  <c r="G1923"/>
  <c r="F1923"/>
  <c r="C1923"/>
  <c r="K1922"/>
  <c r="J1922"/>
  <c r="G1922"/>
  <c r="F1922"/>
  <c r="C1922"/>
  <c r="K1921"/>
  <c r="J1921"/>
  <c r="G1921"/>
  <c r="F1921"/>
  <c r="C1921"/>
  <c r="K1920"/>
  <c r="J1920"/>
  <c r="G1920"/>
  <c r="F1920"/>
  <c r="C1920"/>
  <c r="K1919"/>
  <c r="J1919"/>
  <c r="G1919"/>
  <c r="F1919"/>
  <c r="C1919"/>
  <c r="K1918"/>
  <c r="J1918"/>
  <c r="G1918"/>
  <c r="F1918"/>
  <c r="C1918"/>
  <c r="K1917"/>
  <c r="J1917"/>
  <c r="G1917"/>
  <c r="F1917"/>
  <c r="C1917"/>
  <c r="K1916"/>
  <c r="J1916"/>
  <c r="G1916"/>
  <c r="F1916"/>
  <c r="C1916"/>
  <c r="K1915"/>
  <c r="J1915"/>
  <c r="G1915"/>
  <c r="F1915"/>
  <c r="C1915"/>
  <c r="K1914"/>
  <c r="J1914"/>
  <c r="G1914"/>
  <c r="F1914"/>
  <c r="C1914"/>
  <c r="K1913"/>
  <c r="J1913"/>
  <c r="G1913"/>
  <c r="F1913"/>
  <c r="C1913"/>
  <c r="K1912"/>
  <c r="J1912"/>
  <c r="G1912"/>
  <c r="F1912"/>
  <c r="C1912"/>
  <c r="K1911"/>
  <c r="J1911"/>
  <c r="G1911"/>
  <c r="F1911"/>
  <c r="C1911"/>
  <c r="K1910"/>
  <c r="J1910"/>
  <c r="G1910"/>
  <c r="F1910"/>
  <c r="C1910"/>
  <c r="K1909"/>
  <c r="J1909"/>
  <c r="G1909"/>
  <c r="F1909"/>
  <c r="C1909"/>
  <c r="K1908"/>
  <c r="J1908"/>
  <c r="G1908"/>
  <c r="F1908"/>
  <c r="C1908"/>
  <c r="K1907"/>
  <c r="J1907"/>
  <c r="G1907"/>
  <c r="F1907"/>
  <c r="C1907"/>
  <c r="K1906"/>
  <c r="J1906"/>
  <c r="G1906"/>
  <c r="F1906"/>
  <c r="C1906"/>
  <c r="K1905"/>
  <c r="J1905"/>
  <c r="G1905"/>
  <c r="F1905"/>
  <c r="C1905"/>
  <c r="K1904"/>
  <c r="J1904"/>
  <c r="G1904"/>
  <c r="F1904"/>
  <c r="C1904"/>
  <c r="K1903"/>
  <c r="J1903"/>
  <c r="G1903"/>
  <c r="F1903"/>
  <c r="C1903"/>
  <c r="K1902"/>
  <c r="J1902"/>
  <c r="G1902"/>
  <c r="F1902"/>
  <c r="C1902"/>
  <c r="K1901"/>
  <c r="J1901"/>
  <c r="G1901"/>
  <c r="F1901"/>
  <c r="C1901"/>
  <c r="K1900"/>
  <c r="J1900"/>
  <c r="G1900"/>
  <c r="F1900"/>
  <c r="C1900"/>
  <c r="K1899"/>
  <c r="J1899"/>
  <c r="G1899"/>
  <c r="F1899"/>
  <c r="C1899"/>
  <c r="K1898"/>
  <c r="J1898"/>
  <c r="G1898"/>
  <c r="F1898"/>
  <c r="C1898"/>
  <c r="K1897"/>
  <c r="J1897"/>
  <c r="G1897"/>
  <c r="F1897"/>
  <c r="C1897"/>
  <c r="K1896"/>
  <c r="J1896"/>
  <c r="G1896"/>
  <c r="F1896"/>
  <c r="C1896"/>
  <c r="K1895"/>
  <c r="J1895"/>
  <c r="G1895"/>
  <c r="F1895"/>
  <c r="C1895"/>
  <c r="K1894"/>
  <c r="J1894"/>
  <c r="G1894"/>
  <c r="F1894"/>
  <c r="C1894"/>
  <c r="K1893"/>
  <c r="J1893"/>
  <c r="G1893"/>
  <c r="F1893"/>
  <c r="C1893"/>
  <c r="K1892"/>
  <c r="J1892"/>
  <c r="G1892"/>
  <c r="F1892"/>
  <c r="C1892"/>
  <c r="K1891"/>
  <c r="J1891"/>
  <c r="G1891"/>
  <c r="F1891"/>
  <c r="C1891"/>
  <c r="K1890"/>
  <c r="J1890"/>
  <c r="G1890"/>
  <c r="F1890"/>
  <c r="C1890"/>
  <c r="K1889"/>
  <c r="J1889"/>
  <c r="G1889"/>
  <c r="F1889"/>
  <c r="C1889"/>
  <c r="K1888"/>
  <c r="J1888"/>
  <c r="G1888"/>
  <c r="F1888"/>
  <c r="C1888"/>
  <c r="K1887"/>
  <c r="J1887"/>
  <c r="G1887"/>
  <c r="F1887"/>
  <c r="C1887"/>
  <c r="K1886"/>
  <c r="J1886"/>
  <c r="G1886"/>
  <c r="F1886"/>
  <c r="C1886"/>
  <c r="K1885"/>
  <c r="J1885"/>
  <c r="G1885"/>
  <c r="F1885"/>
  <c r="C1885"/>
  <c r="K1884"/>
  <c r="J1884"/>
  <c r="G1884"/>
  <c r="F1884"/>
  <c r="C1884"/>
  <c r="K1883"/>
  <c r="J1883"/>
  <c r="G1883"/>
  <c r="F1883"/>
  <c r="C1883"/>
  <c r="K1882"/>
  <c r="J1882"/>
  <c r="G1882"/>
  <c r="F1882"/>
  <c r="C1882"/>
  <c r="K1881"/>
  <c r="J1881"/>
  <c r="G1881"/>
  <c r="F1881"/>
  <c r="C1881"/>
  <c r="K1880"/>
  <c r="J1880"/>
  <c r="G1880"/>
  <c r="F1880"/>
  <c r="C1880"/>
  <c r="K1879"/>
  <c r="J1879"/>
  <c r="G1879"/>
  <c r="F1879"/>
  <c r="C1879"/>
  <c r="K1878"/>
  <c r="J1878"/>
  <c r="G1878"/>
  <c r="F1878"/>
  <c r="C1878"/>
  <c r="K1877"/>
  <c r="J1877"/>
  <c r="G1877"/>
  <c r="F1877"/>
  <c r="C1877"/>
  <c r="K1876"/>
  <c r="J1876"/>
  <c r="G1876"/>
  <c r="F1876"/>
  <c r="C1876"/>
  <c r="K1875"/>
  <c r="J1875"/>
  <c r="G1875"/>
  <c r="F1875"/>
  <c r="C1875"/>
  <c r="K1874"/>
  <c r="J1874"/>
  <c r="G1874"/>
  <c r="F1874"/>
  <c r="C1874"/>
  <c r="K1873"/>
  <c r="J1873"/>
  <c r="G1873"/>
  <c r="F1873"/>
  <c r="C1873"/>
  <c r="K1872"/>
  <c r="J1872"/>
  <c r="G1872"/>
  <c r="F1872"/>
  <c r="C1872"/>
  <c r="K1871"/>
  <c r="J1871"/>
  <c r="G1871"/>
  <c r="F1871"/>
  <c r="C1871"/>
  <c r="K1870"/>
  <c r="J1870"/>
  <c r="G1870"/>
  <c r="F1870"/>
  <c r="C1870"/>
  <c r="K1869"/>
  <c r="J1869"/>
  <c r="G1869"/>
  <c r="F1869"/>
  <c r="C1869"/>
  <c r="K1868"/>
  <c r="J1868"/>
  <c r="G1868"/>
  <c r="F1868"/>
  <c r="C1868"/>
  <c r="K1867"/>
  <c r="J1867"/>
  <c r="G1867"/>
  <c r="F1867"/>
  <c r="C1867"/>
  <c r="K1866"/>
  <c r="J1866"/>
  <c r="G1866"/>
  <c r="F1866"/>
  <c r="C1866"/>
  <c r="K1865"/>
  <c r="J1865"/>
  <c r="G1865"/>
  <c r="F1865"/>
  <c r="C1865"/>
  <c r="K1864"/>
  <c r="J1864"/>
  <c r="G1864"/>
  <c r="F1864"/>
  <c r="C1864"/>
  <c r="K1863"/>
  <c r="J1863"/>
  <c r="G1863"/>
  <c r="F1863"/>
  <c r="C1863"/>
  <c r="K1862"/>
  <c r="J1862"/>
  <c r="G1862"/>
  <c r="F1862"/>
  <c r="C1862"/>
  <c r="K1861"/>
  <c r="J1861"/>
  <c r="G1861"/>
  <c r="F1861"/>
  <c r="C1861"/>
  <c r="K1860"/>
  <c r="J1860"/>
  <c r="G1860"/>
  <c r="F1860"/>
  <c r="C1860"/>
  <c r="K1859"/>
  <c r="J1859"/>
  <c r="G1859"/>
  <c r="F1859"/>
  <c r="C1859"/>
  <c r="K1858"/>
  <c r="J1858"/>
  <c r="G1858"/>
  <c r="F1858"/>
  <c r="C1858"/>
  <c r="K1857"/>
  <c r="J1857"/>
  <c r="G1857"/>
  <c r="F1857"/>
  <c r="C1857"/>
  <c r="K1856"/>
  <c r="J1856"/>
  <c r="G1856"/>
  <c r="F1856"/>
  <c r="C1856"/>
  <c r="K1855"/>
  <c r="J1855"/>
  <c r="G1855"/>
  <c r="F1855"/>
  <c r="C1855"/>
  <c r="K1854"/>
  <c r="G1854"/>
  <c r="F1854"/>
  <c r="C1854"/>
  <c r="K1853"/>
  <c r="G1853"/>
  <c r="F1853"/>
  <c r="C1853"/>
  <c r="K1852"/>
  <c r="J1852"/>
  <c r="G1852"/>
  <c r="F1852"/>
  <c r="C1852"/>
  <c r="K1851"/>
  <c r="J1851"/>
  <c r="G1851"/>
  <c r="F1851"/>
  <c r="C1851"/>
  <c r="K1850"/>
  <c r="J1850"/>
  <c r="G1850"/>
  <c r="F1850"/>
  <c r="C1850"/>
  <c r="K1849"/>
  <c r="J1849"/>
  <c r="G1849"/>
  <c r="F1849"/>
  <c r="C1849"/>
  <c r="K1848"/>
  <c r="J1848"/>
  <c r="G1848"/>
  <c r="F1848"/>
  <c r="C1848"/>
  <c r="K1847"/>
  <c r="J1847"/>
  <c r="G1847"/>
  <c r="F1847"/>
  <c r="C1847"/>
  <c r="K1846"/>
  <c r="J1846"/>
  <c r="G1846"/>
  <c r="F1846"/>
  <c r="C1846"/>
  <c r="K1845"/>
  <c r="J1845"/>
  <c r="G1845"/>
  <c r="F1845"/>
  <c r="C1845"/>
  <c r="K1844"/>
  <c r="J1844"/>
  <c r="G1844"/>
  <c r="F1844"/>
  <c r="C1844"/>
  <c r="K1843"/>
  <c r="J1843"/>
  <c r="G1843"/>
  <c r="F1843"/>
  <c r="C1843"/>
  <c r="K1842"/>
  <c r="J1842"/>
  <c r="G1842"/>
  <c r="F1842"/>
  <c r="C1842"/>
  <c r="K1841"/>
  <c r="J1841"/>
  <c r="G1841"/>
  <c r="F1841"/>
  <c r="C1841"/>
  <c r="K1840"/>
  <c r="J1840"/>
  <c r="G1840"/>
  <c r="F1840"/>
  <c r="C1840"/>
  <c r="K1839"/>
  <c r="J1839"/>
  <c r="G1839"/>
  <c r="F1839"/>
  <c r="C1839"/>
  <c r="K1838"/>
  <c r="J1838"/>
  <c r="G1838"/>
  <c r="F1838"/>
  <c r="C1838"/>
  <c r="K1837"/>
  <c r="J1837"/>
  <c r="G1837"/>
  <c r="F1837"/>
  <c r="C1837"/>
  <c r="K1836"/>
  <c r="J1836"/>
  <c r="G1836"/>
  <c r="F1836"/>
  <c r="C1836"/>
  <c r="K1835"/>
  <c r="J1835"/>
  <c r="G1835"/>
  <c r="F1835"/>
  <c r="C1835"/>
  <c r="K1834"/>
  <c r="J1834"/>
  <c r="G1834"/>
  <c r="F1834"/>
  <c r="C1834"/>
  <c r="K1833"/>
  <c r="J1833"/>
  <c r="G1833"/>
  <c r="F1833"/>
  <c r="C1833"/>
  <c r="K1832"/>
  <c r="J1832"/>
  <c r="G1832"/>
  <c r="F1832"/>
  <c r="C1832"/>
  <c r="K1831"/>
  <c r="J1831"/>
  <c r="G1831"/>
  <c r="F1831"/>
  <c r="C1831"/>
  <c r="K1830"/>
  <c r="J1830"/>
  <c r="G1830"/>
  <c r="F1830"/>
  <c r="C1830"/>
  <c r="K1829"/>
  <c r="J1829"/>
  <c r="G1829"/>
  <c r="F1829"/>
  <c r="C1829"/>
  <c r="K1828"/>
  <c r="J1828"/>
  <c r="G1828"/>
  <c r="F1828"/>
  <c r="C1828"/>
  <c r="K1827"/>
  <c r="J1827"/>
  <c r="G1827"/>
  <c r="F1827"/>
  <c r="C1827"/>
  <c r="K1826"/>
  <c r="J1826"/>
  <c r="G1826"/>
  <c r="F1826"/>
  <c r="C1826"/>
  <c r="K1825"/>
  <c r="J1825"/>
  <c r="G1825"/>
  <c r="F1825"/>
  <c r="C1825"/>
  <c r="K1824"/>
  <c r="J1824"/>
  <c r="G1824"/>
  <c r="F1824"/>
  <c r="C1824"/>
  <c r="K1823"/>
  <c r="J1823"/>
  <c r="G1823"/>
  <c r="F1823"/>
  <c r="C1823"/>
  <c r="K1822"/>
  <c r="J1822"/>
  <c r="G1822"/>
  <c r="F1822"/>
  <c r="C1822"/>
  <c r="K1821"/>
  <c r="J1821"/>
  <c r="G1821"/>
  <c r="F1821"/>
  <c r="C1821"/>
  <c r="K1820"/>
  <c r="J1820"/>
  <c r="G1820"/>
  <c r="F1820"/>
  <c r="C1820"/>
  <c r="K1819"/>
  <c r="J1819"/>
  <c r="G1819"/>
  <c r="F1819"/>
  <c r="C1819"/>
  <c r="K1818"/>
  <c r="J1818"/>
  <c r="G1818"/>
  <c r="F1818"/>
  <c r="C1818"/>
  <c r="K1817"/>
  <c r="J1817"/>
  <c r="G1817"/>
  <c r="F1817"/>
  <c r="C1817"/>
  <c r="K1816"/>
  <c r="J1816"/>
  <c r="G1816"/>
  <c r="F1816"/>
  <c r="C1816"/>
  <c r="K1815"/>
  <c r="J1815"/>
  <c r="G1815"/>
  <c r="F1815"/>
  <c r="C1815"/>
  <c r="K1814"/>
  <c r="J1814"/>
  <c r="G1814"/>
  <c r="F1814"/>
  <c r="C1814"/>
  <c r="K1813"/>
  <c r="J1813"/>
  <c r="G1813"/>
  <c r="F1813"/>
  <c r="C1813"/>
  <c r="K1812"/>
  <c r="J1812"/>
  <c r="G1812"/>
  <c r="F1812"/>
  <c r="C1812"/>
  <c r="K1811"/>
  <c r="J1811"/>
  <c r="G1811"/>
  <c r="F1811"/>
  <c r="C1811"/>
  <c r="K1810"/>
  <c r="J1810"/>
  <c r="G1810"/>
  <c r="F1810"/>
  <c r="C1810"/>
  <c r="K1809"/>
  <c r="J1809"/>
  <c r="G1809"/>
  <c r="F1809"/>
  <c r="C1809"/>
  <c r="K1808"/>
  <c r="J1808"/>
  <c r="G1808"/>
  <c r="F1808"/>
  <c r="C1808"/>
  <c r="K1807"/>
  <c r="J1807"/>
  <c r="G1807"/>
  <c r="F1807"/>
  <c r="C1807"/>
  <c r="K1806"/>
  <c r="J1806"/>
  <c r="G1806"/>
  <c r="F1806"/>
  <c r="C1806"/>
  <c r="K1805"/>
  <c r="J1805"/>
  <c r="G1805"/>
  <c r="F1805"/>
  <c r="C1805"/>
  <c r="K1804"/>
  <c r="J1804"/>
  <c r="G1804"/>
  <c r="F1804"/>
  <c r="C1804"/>
  <c r="K1803"/>
  <c r="J1803"/>
  <c r="G1803"/>
  <c r="F1803"/>
  <c r="C1803"/>
  <c r="K1802"/>
  <c r="J1802"/>
  <c r="G1802"/>
  <c r="F1802"/>
  <c r="C1802"/>
  <c r="K1801"/>
  <c r="J1801"/>
  <c r="G1801"/>
  <c r="F1801"/>
  <c r="C1801"/>
  <c r="K1800"/>
  <c r="J1800"/>
  <c r="G1800"/>
  <c r="F1800"/>
  <c r="C1800"/>
  <c r="K1799"/>
  <c r="J1799"/>
  <c r="G1799"/>
  <c r="F1799"/>
  <c r="C1799"/>
  <c r="K1798"/>
  <c r="J1798"/>
  <c r="G1798"/>
  <c r="F1798"/>
  <c r="C1798"/>
  <c r="K1797"/>
  <c r="J1797"/>
  <c r="G1797"/>
  <c r="F1797"/>
  <c r="C1797"/>
  <c r="K1796"/>
  <c r="J1796"/>
  <c r="G1796"/>
  <c r="F1796"/>
  <c r="C1796"/>
  <c r="K1795"/>
  <c r="J1795"/>
  <c r="G1795"/>
  <c r="F1795"/>
  <c r="C1795"/>
  <c r="K1794"/>
  <c r="J1794"/>
  <c r="G1794"/>
  <c r="F1794"/>
  <c r="C1794"/>
  <c r="K1793"/>
  <c r="J1793"/>
  <c r="G1793"/>
  <c r="F1793"/>
  <c r="C1793"/>
  <c r="K1792"/>
  <c r="J1792"/>
  <c r="G1792"/>
  <c r="F1792"/>
  <c r="C1792"/>
  <c r="K1791"/>
  <c r="J1791"/>
  <c r="G1791"/>
  <c r="F1791"/>
  <c r="C1791"/>
  <c r="K1790"/>
  <c r="J1790"/>
  <c r="G1790"/>
  <c r="F1790"/>
  <c r="C1790"/>
  <c r="K1789"/>
  <c r="J1789"/>
  <c r="G1789"/>
  <c r="F1789"/>
  <c r="C1789"/>
  <c r="K1788"/>
  <c r="J1788"/>
  <c r="G1788"/>
  <c r="F1788"/>
  <c r="C1788"/>
  <c r="K1787"/>
  <c r="J1787"/>
  <c r="G1787"/>
  <c r="F1787"/>
  <c r="C1787"/>
  <c r="K1786"/>
  <c r="J1786"/>
  <c r="G1786"/>
  <c r="F1786"/>
  <c r="C1786"/>
  <c r="K1785"/>
  <c r="J1785"/>
  <c r="G1785"/>
  <c r="F1785"/>
  <c r="C1785"/>
  <c r="K1784"/>
  <c r="J1784"/>
  <c r="G1784"/>
  <c r="F1784"/>
  <c r="C1784"/>
  <c r="K1783"/>
  <c r="J1783"/>
  <c r="G1783"/>
  <c r="F1783"/>
  <c r="C1783"/>
  <c r="K1782"/>
  <c r="J1782"/>
  <c r="G1782"/>
  <c r="F1782"/>
  <c r="C1782"/>
  <c r="K1781"/>
  <c r="J1781"/>
  <c r="G1781"/>
  <c r="F1781"/>
  <c r="C1781"/>
  <c r="K1780"/>
  <c r="J1780"/>
  <c r="G1780"/>
  <c r="F1780"/>
  <c r="C1780"/>
  <c r="K1779"/>
  <c r="J1779"/>
  <c r="G1779"/>
  <c r="F1779"/>
  <c r="C1779"/>
  <c r="K1778"/>
  <c r="J1778"/>
  <c r="G1778"/>
  <c r="F1778"/>
  <c r="C1778"/>
  <c r="K1777"/>
  <c r="J1777"/>
  <c r="G1777"/>
  <c r="F1777"/>
  <c r="C1777"/>
  <c r="K1776"/>
  <c r="J1776"/>
  <c r="G1776"/>
  <c r="F1776"/>
  <c r="C1776"/>
  <c r="K1775"/>
  <c r="J1775"/>
  <c r="G1775"/>
  <c r="F1775"/>
  <c r="C1775"/>
  <c r="K1774"/>
  <c r="J1774"/>
  <c r="G1774"/>
  <c r="F1774"/>
  <c r="C1774"/>
  <c r="K1773"/>
  <c r="J1773"/>
  <c r="G1773"/>
  <c r="F1773"/>
  <c r="C1773"/>
  <c r="K1772"/>
  <c r="J1772"/>
  <c r="G1772"/>
  <c r="F1772"/>
  <c r="C1772"/>
  <c r="K1771"/>
  <c r="J1771"/>
  <c r="G1771"/>
  <c r="F1771"/>
  <c r="C1771"/>
  <c r="K1770"/>
  <c r="J1770"/>
  <c r="G1770"/>
  <c r="F1770"/>
  <c r="C1770"/>
  <c r="K1769"/>
  <c r="J1769"/>
  <c r="G1769"/>
  <c r="F1769"/>
  <c r="C1769"/>
  <c r="K1768"/>
  <c r="J1768"/>
  <c r="G1768"/>
  <c r="F1768"/>
  <c r="C1768"/>
  <c r="K1767"/>
  <c r="J1767"/>
  <c r="G1767"/>
  <c r="F1767"/>
  <c r="C1767"/>
  <c r="K1766"/>
  <c r="J1766"/>
  <c r="G1766"/>
  <c r="F1766"/>
  <c r="C1766"/>
  <c r="K1765"/>
  <c r="J1765"/>
  <c r="G1765"/>
  <c r="F1765"/>
  <c r="C1765"/>
  <c r="K1764"/>
  <c r="J1764"/>
  <c r="G1764"/>
  <c r="F1764"/>
  <c r="C1764"/>
  <c r="K1763"/>
  <c r="J1763"/>
  <c r="G1763"/>
  <c r="F1763"/>
  <c r="C1763"/>
  <c r="K1762"/>
  <c r="J1762"/>
  <c r="G1762"/>
  <c r="F1762"/>
  <c r="C1762"/>
  <c r="K1761"/>
  <c r="J1761"/>
  <c r="G1761"/>
  <c r="F1761"/>
  <c r="C1761"/>
  <c r="K1760"/>
  <c r="J1760"/>
  <c r="G1760"/>
  <c r="F1760"/>
  <c r="C1760"/>
  <c r="K1759"/>
  <c r="J1759"/>
  <c r="G1759"/>
  <c r="F1759"/>
  <c r="C1759"/>
  <c r="K1758"/>
  <c r="J1758"/>
  <c r="G1758"/>
  <c r="F1758"/>
  <c r="C1758"/>
  <c r="K1757"/>
  <c r="J1757"/>
  <c r="G1757"/>
  <c r="F1757"/>
  <c r="C1757"/>
  <c r="K1756"/>
  <c r="J1756"/>
  <c r="G1756"/>
  <c r="F1756"/>
  <c r="C1756"/>
  <c r="K1755"/>
  <c r="J1755"/>
  <c r="G1755"/>
  <c r="F1755"/>
  <c r="C1755"/>
  <c r="K1754"/>
  <c r="J1754"/>
  <c r="G1754"/>
  <c r="F1754"/>
  <c r="C1754"/>
  <c r="K1753"/>
  <c r="J1753"/>
  <c r="G1753"/>
  <c r="F1753"/>
  <c r="C1753"/>
  <c r="K1752"/>
  <c r="J1752"/>
  <c r="G1752"/>
  <c r="F1752"/>
  <c r="C1752"/>
  <c r="K1751"/>
  <c r="J1751"/>
  <c r="G1751"/>
  <c r="F1751"/>
  <c r="C1751"/>
  <c r="K1750"/>
  <c r="J1750"/>
  <c r="G1750"/>
  <c r="F1750"/>
  <c r="C1750"/>
  <c r="K1749"/>
  <c r="J1749"/>
  <c r="G1749"/>
  <c r="F1749"/>
  <c r="C1749"/>
  <c r="K1748"/>
  <c r="J1748"/>
  <c r="G1748"/>
  <c r="F1748"/>
  <c r="C1748"/>
  <c r="K1747"/>
  <c r="J1747"/>
  <c r="G1747"/>
  <c r="F1747"/>
  <c r="C1747"/>
  <c r="K1746"/>
  <c r="J1746"/>
  <c r="G1746"/>
  <c r="F1746"/>
  <c r="C1746"/>
  <c r="K1745"/>
  <c r="J1745"/>
  <c r="G1745"/>
  <c r="F1745"/>
  <c r="C1745"/>
  <c r="K1744"/>
  <c r="J1744"/>
  <c r="G1744"/>
  <c r="F1744"/>
  <c r="C1744"/>
  <c r="K1743"/>
  <c r="J1743"/>
  <c r="G1743"/>
  <c r="F1743"/>
  <c r="C1743"/>
  <c r="K1742"/>
  <c r="J1742"/>
  <c r="G1742"/>
  <c r="F1742"/>
  <c r="C1742"/>
  <c r="K1741"/>
  <c r="J1741"/>
  <c r="G1741"/>
  <c r="F1741"/>
  <c r="C1741"/>
  <c r="K1740"/>
  <c r="J1740"/>
  <c r="G1740"/>
  <c r="F1740"/>
  <c r="C1740"/>
  <c r="K1739"/>
  <c r="J1739"/>
  <c r="G1739"/>
  <c r="F1739"/>
  <c r="C1739"/>
  <c r="K1738"/>
  <c r="J1738"/>
  <c r="G1738"/>
  <c r="F1738"/>
  <c r="C1738"/>
  <c r="K1737"/>
  <c r="J1737"/>
  <c r="G1737"/>
  <c r="F1737"/>
  <c r="C1737"/>
  <c r="K1736"/>
  <c r="J1736"/>
  <c r="G1736"/>
  <c r="F1736"/>
  <c r="C1736"/>
  <c r="K1735"/>
  <c r="J1735"/>
  <c r="G1735"/>
  <c r="F1735"/>
  <c r="C1735"/>
  <c r="K1734"/>
  <c r="J1734"/>
  <c r="G1734"/>
  <c r="F1734"/>
  <c r="C1734"/>
  <c r="K1733"/>
  <c r="J1733"/>
  <c r="G1733"/>
  <c r="F1733"/>
  <c r="C1733"/>
  <c r="K1732"/>
  <c r="J1732"/>
  <c r="G1732"/>
  <c r="F1732"/>
  <c r="C1732"/>
  <c r="K1731"/>
  <c r="J1731"/>
  <c r="G1731"/>
  <c r="F1731"/>
  <c r="C1731"/>
  <c r="K1730"/>
  <c r="J1730"/>
  <c r="G1730"/>
  <c r="F1730"/>
  <c r="C1730"/>
  <c r="K1729"/>
  <c r="J1729"/>
  <c r="G1729"/>
  <c r="F1729"/>
  <c r="C1729"/>
  <c r="K1728"/>
  <c r="J1728"/>
  <c r="G1728"/>
  <c r="F1728"/>
  <c r="C1728"/>
  <c r="K1727"/>
  <c r="J1727"/>
  <c r="G1727"/>
  <c r="F1727"/>
  <c r="C1727"/>
  <c r="K1726"/>
  <c r="J1726"/>
  <c r="G1726"/>
  <c r="F1726"/>
  <c r="C1726"/>
  <c r="K1725"/>
  <c r="J1725"/>
  <c r="G1725"/>
  <c r="F1725"/>
  <c r="C1725"/>
  <c r="K1724"/>
  <c r="J1724"/>
  <c r="G1724"/>
  <c r="F1724"/>
  <c r="C1724"/>
  <c r="K1723"/>
  <c r="J1723"/>
  <c r="G1723"/>
  <c r="F1723"/>
  <c r="C1723"/>
  <c r="K1722"/>
  <c r="J1722"/>
  <c r="G1722"/>
  <c r="F1722"/>
  <c r="C1722"/>
  <c r="K1721"/>
  <c r="J1721"/>
  <c r="G1721"/>
  <c r="F1721"/>
  <c r="C1721"/>
  <c r="K1720"/>
  <c r="J1720"/>
  <c r="G1720"/>
  <c r="F1720"/>
  <c r="C1720"/>
  <c r="K1719"/>
  <c r="J1719"/>
  <c r="G1719"/>
  <c r="F1719"/>
  <c r="C1719"/>
  <c r="K1718"/>
  <c r="J1718"/>
  <c r="G1718"/>
  <c r="F1718"/>
  <c r="C1718"/>
  <c r="K1717"/>
  <c r="J1717"/>
  <c r="G1717"/>
  <c r="F1717"/>
  <c r="C1717"/>
  <c r="K1716"/>
  <c r="J1716"/>
  <c r="G1716"/>
  <c r="F1716"/>
  <c r="C1716"/>
  <c r="K1715"/>
  <c r="J1715"/>
  <c r="G1715"/>
  <c r="F1715"/>
  <c r="C1715"/>
  <c r="K1714"/>
  <c r="J1714"/>
  <c r="G1714"/>
  <c r="F1714"/>
  <c r="C1714"/>
  <c r="K1713"/>
  <c r="J1713"/>
  <c r="G1713"/>
  <c r="F1713"/>
  <c r="C1713"/>
  <c r="K1712"/>
  <c r="J1712"/>
  <c r="G1712"/>
  <c r="F1712"/>
  <c r="C1712"/>
  <c r="K1711"/>
  <c r="J1711"/>
  <c r="G1711"/>
  <c r="F1711"/>
  <c r="C1711"/>
  <c r="K1710"/>
  <c r="J1710"/>
  <c r="G1710"/>
  <c r="F1710"/>
  <c r="C1710"/>
  <c r="K1709"/>
  <c r="J1709"/>
  <c r="G1709"/>
  <c r="F1709"/>
  <c r="C1709"/>
  <c r="K1708"/>
  <c r="J1708"/>
  <c r="G1708"/>
  <c r="F1708"/>
  <c r="C1708"/>
  <c r="K1707"/>
  <c r="J1707"/>
  <c r="G1707"/>
  <c r="F1707"/>
  <c r="C1707"/>
  <c r="K1706"/>
  <c r="J1706"/>
  <c r="G1706"/>
  <c r="F1706"/>
  <c r="C1706"/>
  <c r="K1705"/>
  <c r="J1705"/>
  <c r="G1705"/>
  <c r="F1705"/>
  <c r="C1705"/>
  <c r="K1704"/>
  <c r="J1704"/>
  <c r="G1704"/>
  <c r="F1704"/>
  <c r="C1704"/>
  <c r="K1703"/>
  <c r="J1703"/>
  <c r="G1703"/>
  <c r="F1703"/>
  <c r="C1703"/>
  <c r="K1702"/>
  <c r="J1702"/>
  <c r="G1702"/>
  <c r="F1702"/>
  <c r="C1702"/>
  <c r="K1701"/>
  <c r="J1701"/>
  <c r="G1701"/>
  <c r="F1701"/>
  <c r="C1701"/>
  <c r="K1700"/>
  <c r="J1700"/>
  <c r="G1700"/>
  <c r="F1700"/>
  <c r="C1700"/>
  <c r="K1699"/>
  <c r="J1699"/>
  <c r="G1699"/>
  <c r="F1699"/>
  <c r="C1699"/>
  <c r="K1698"/>
  <c r="J1698"/>
  <c r="G1698"/>
  <c r="F1698"/>
  <c r="C1698"/>
  <c r="K1697"/>
  <c r="J1697"/>
  <c r="G1697"/>
  <c r="F1697"/>
  <c r="C1697"/>
  <c r="K1696"/>
  <c r="J1696"/>
  <c r="G1696"/>
  <c r="F1696"/>
  <c r="C1696"/>
  <c r="K1695"/>
  <c r="J1695"/>
  <c r="G1695"/>
  <c r="F1695"/>
  <c r="C1695"/>
  <c r="K1694"/>
  <c r="J1694"/>
  <c r="G1694"/>
  <c r="F1694"/>
  <c r="C1694"/>
  <c r="K1693"/>
  <c r="J1693"/>
  <c r="G1693"/>
  <c r="F1693"/>
  <c r="C1693"/>
  <c r="K1692"/>
  <c r="J1692"/>
  <c r="G1692"/>
  <c r="F1692"/>
  <c r="C1692"/>
  <c r="K1691"/>
  <c r="J1691"/>
  <c r="G1691"/>
  <c r="F1691"/>
  <c r="C1691"/>
  <c r="K1690"/>
  <c r="J1690"/>
  <c r="G1690"/>
  <c r="F1690"/>
  <c r="C1690"/>
  <c r="K1689"/>
  <c r="J1689"/>
  <c r="G1689"/>
  <c r="F1689"/>
  <c r="C1689"/>
  <c r="K1688"/>
  <c r="J1688"/>
  <c r="G1688"/>
  <c r="F1688"/>
  <c r="C1688"/>
  <c r="K1687"/>
  <c r="J1687"/>
  <c r="G1687"/>
  <c r="F1687"/>
  <c r="C1687"/>
  <c r="K1686"/>
  <c r="J1686"/>
  <c r="G1686"/>
  <c r="F1686"/>
  <c r="C1686"/>
  <c r="K1685"/>
  <c r="J1685"/>
  <c r="G1685"/>
  <c r="F1685"/>
  <c r="C1685"/>
  <c r="K1684"/>
  <c r="J1684"/>
  <c r="G1684"/>
  <c r="F1684"/>
  <c r="C1684"/>
  <c r="K1683"/>
  <c r="J1683"/>
  <c r="G1683"/>
  <c r="F1683"/>
  <c r="C1683"/>
  <c r="K1682"/>
  <c r="J1682"/>
  <c r="G1682"/>
  <c r="F1682"/>
  <c r="C1682"/>
  <c r="K1681"/>
  <c r="J1681"/>
  <c r="G1681"/>
  <c r="F1681"/>
  <c r="C1681"/>
  <c r="K1680"/>
  <c r="J1680"/>
  <c r="G1680"/>
  <c r="F1680"/>
  <c r="C1680"/>
  <c r="K1679"/>
  <c r="J1679"/>
  <c r="G1679"/>
  <c r="F1679"/>
  <c r="C1679"/>
  <c r="K1678"/>
  <c r="J1678"/>
  <c r="G1678"/>
  <c r="F1678"/>
  <c r="C1678"/>
  <c r="K1677"/>
  <c r="J1677"/>
  <c r="G1677"/>
  <c r="F1677"/>
  <c r="C1677"/>
  <c r="K1676"/>
  <c r="J1676"/>
  <c r="G1676"/>
  <c r="F1676"/>
  <c r="C1676"/>
  <c r="K1675"/>
  <c r="J1675"/>
  <c r="G1675"/>
  <c r="F1675"/>
  <c r="C1675"/>
  <c r="K1674"/>
  <c r="J1674"/>
  <c r="G1674"/>
  <c r="F1674"/>
  <c r="C1674"/>
  <c r="K1673"/>
  <c r="J1673"/>
  <c r="G1673"/>
  <c r="F1673"/>
  <c r="C1673"/>
  <c r="K1672"/>
  <c r="J1672"/>
  <c r="G1672"/>
  <c r="F1672"/>
  <c r="C1672"/>
  <c r="K1671"/>
  <c r="J1671"/>
  <c r="G1671"/>
  <c r="F1671"/>
  <c r="C1671"/>
  <c r="K1670"/>
  <c r="J1670"/>
  <c r="G1670"/>
  <c r="F1670"/>
  <c r="C1670"/>
  <c r="K1669"/>
  <c r="J1669"/>
  <c r="G1669"/>
  <c r="F1669"/>
  <c r="C1669"/>
  <c r="K1668"/>
  <c r="J1668"/>
  <c r="G1668"/>
  <c r="F1668"/>
  <c r="C1668"/>
  <c r="K1667"/>
  <c r="J1667"/>
  <c r="G1667"/>
  <c r="F1667"/>
  <c r="C1667"/>
  <c r="K1666"/>
  <c r="J1666"/>
  <c r="G1666"/>
  <c r="F1666"/>
  <c r="C1666"/>
  <c r="K1665"/>
  <c r="J1665"/>
  <c r="G1665"/>
  <c r="F1665"/>
  <c r="C1665"/>
  <c r="K1664"/>
  <c r="J1664"/>
  <c r="G1664"/>
  <c r="F1664"/>
  <c r="C1664"/>
  <c r="K1663"/>
  <c r="J1663"/>
  <c r="G1663"/>
  <c r="F1663"/>
  <c r="C1663"/>
  <c r="K1662"/>
  <c r="J1662"/>
  <c r="G1662"/>
  <c r="F1662"/>
  <c r="C1662"/>
  <c r="K1661"/>
  <c r="J1661"/>
  <c r="G1661"/>
  <c r="F1661"/>
  <c r="C1661"/>
  <c r="K1660"/>
  <c r="J1660"/>
  <c r="G1660"/>
  <c r="F1660"/>
  <c r="C1660"/>
  <c r="K1659"/>
  <c r="J1659"/>
  <c r="G1659"/>
  <c r="F1659"/>
  <c r="C1659"/>
  <c r="K1658"/>
  <c r="J1658"/>
  <c r="G1658"/>
  <c r="F1658"/>
  <c r="C1658"/>
  <c r="K1657"/>
  <c r="J1657"/>
  <c r="G1657"/>
  <c r="F1657"/>
  <c r="C1657"/>
  <c r="K1656"/>
  <c r="J1656"/>
  <c r="G1656"/>
  <c r="F1656"/>
  <c r="C1656"/>
  <c r="K1655"/>
  <c r="J1655"/>
  <c r="G1655"/>
  <c r="F1655"/>
  <c r="C1655"/>
  <c r="K1654"/>
  <c r="J1654"/>
  <c r="G1654"/>
  <c r="F1654"/>
  <c r="C1654"/>
  <c r="K1653"/>
  <c r="J1653"/>
  <c r="G1653"/>
  <c r="F1653"/>
  <c r="C1653"/>
  <c r="K1652"/>
  <c r="J1652"/>
  <c r="G1652"/>
  <c r="F1652"/>
  <c r="C1652"/>
  <c r="K1651"/>
  <c r="J1651"/>
  <c r="G1651"/>
  <c r="F1651"/>
  <c r="C1651"/>
  <c r="K1650"/>
  <c r="J1650"/>
  <c r="G1650"/>
  <c r="F1650"/>
  <c r="C1650"/>
  <c r="K1649"/>
  <c r="J1649"/>
  <c r="G1649"/>
  <c r="F1649"/>
  <c r="C1649"/>
  <c r="K1648"/>
  <c r="J1648"/>
  <c r="G1648"/>
  <c r="F1648"/>
  <c r="C1648"/>
  <c r="K1647"/>
  <c r="J1647"/>
  <c r="G1647"/>
  <c r="F1647"/>
  <c r="C1647"/>
  <c r="K1646"/>
  <c r="J1646"/>
  <c r="G1646"/>
  <c r="F1646"/>
  <c r="C1646"/>
  <c r="K1645"/>
  <c r="J1645"/>
  <c r="G1645"/>
  <c r="F1645"/>
  <c r="C1645"/>
  <c r="K1644"/>
  <c r="J1644"/>
  <c r="G1644"/>
  <c r="F1644"/>
  <c r="C1644"/>
  <c r="K1643"/>
  <c r="J1643"/>
  <c r="G1643"/>
  <c r="F1643"/>
  <c r="C1643"/>
  <c r="K1642"/>
  <c r="J1642"/>
  <c r="G1642"/>
  <c r="F1642"/>
  <c r="C1642"/>
  <c r="K1641"/>
  <c r="J1641"/>
  <c r="G1641"/>
  <c r="F1641"/>
  <c r="C1641"/>
  <c r="K1640"/>
  <c r="J1640"/>
  <c r="G1640"/>
  <c r="F1640"/>
  <c r="C1640"/>
  <c r="K1639"/>
  <c r="J1639"/>
  <c r="G1639"/>
  <c r="F1639"/>
  <c r="C1639"/>
  <c r="K1638"/>
  <c r="J1638"/>
  <c r="G1638"/>
  <c r="F1638"/>
  <c r="C1638"/>
  <c r="K1637"/>
  <c r="J1637"/>
  <c r="G1637"/>
  <c r="F1637"/>
  <c r="C1637"/>
  <c r="K1636"/>
  <c r="J1636"/>
  <c r="G1636"/>
  <c r="F1636"/>
  <c r="C1636"/>
  <c r="K1635"/>
  <c r="J1635"/>
  <c r="G1635"/>
  <c r="F1635"/>
  <c r="C1635"/>
  <c r="K1634"/>
  <c r="J1634"/>
  <c r="G1634"/>
  <c r="F1634"/>
  <c r="C1634"/>
  <c r="K1633"/>
  <c r="J1633"/>
  <c r="G1633"/>
  <c r="F1633"/>
  <c r="C1633"/>
  <c r="K1632"/>
  <c r="J1632"/>
  <c r="G1632"/>
  <c r="F1632"/>
  <c r="C1632"/>
  <c r="K1631"/>
  <c r="J1631"/>
  <c r="G1631"/>
  <c r="F1631"/>
  <c r="C1631"/>
  <c r="K1630"/>
  <c r="J1630"/>
  <c r="G1630"/>
  <c r="F1630"/>
  <c r="C1630"/>
  <c r="K1629"/>
  <c r="J1629"/>
  <c r="G1629"/>
  <c r="F1629"/>
  <c r="C1629"/>
  <c r="K1628"/>
  <c r="J1628"/>
  <c r="G1628"/>
  <c r="F1628"/>
  <c r="C1628"/>
  <c r="K1627"/>
  <c r="J1627"/>
  <c r="G1627"/>
  <c r="F1627"/>
  <c r="C1627"/>
  <c r="K1626"/>
  <c r="J1626"/>
  <c r="G1626"/>
  <c r="F1626"/>
  <c r="C1626"/>
  <c r="K1625"/>
  <c r="J1625"/>
  <c r="G1625"/>
  <c r="F1625"/>
  <c r="C1625"/>
  <c r="K1624"/>
  <c r="J1624"/>
  <c r="G1624"/>
  <c r="F1624"/>
  <c r="C1624"/>
  <c r="K1623"/>
  <c r="J1623"/>
  <c r="G1623"/>
  <c r="F1623"/>
  <c r="C1623"/>
  <c r="K1622"/>
  <c r="J1622"/>
  <c r="G1622"/>
  <c r="F1622"/>
  <c r="C1622"/>
  <c r="K1621"/>
  <c r="J1621"/>
  <c r="G1621"/>
  <c r="F1621"/>
  <c r="C1621"/>
  <c r="K1620"/>
  <c r="J1620"/>
  <c r="G1620"/>
  <c r="F1620"/>
  <c r="C1620"/>
  <c r="K1619"/>
  <c r="J1619"/>
  <c r="G1619"/>
  <c r="F1619"/>
  <c r="C1619"/>
  <c r="K1618"/>
  <c r="J1618"/>
  <c r="G1618"/>
  <c r="F1618"/>
  <c r="C1618"/>
  <c r="K1617"/>
  <c r="J1617"/>
  <c r="G1617"/>
  <c r="F1617"/>
  <c r="C1617"/>
  <c r="K1616"/>
  <c r="J1616"/>
  <c r="G1616"/>
  <c r="F1616"/>
  <c r="C1616"/>
  <c r="K1615"/>
  <c r="J1615"/>
  <c r="G1615"/>
  <c r="F1615"/>
  <c r="C1615"/>
  <c r="K1614"/>
  <c r="J1614"/>
  <c r="G1614"/>
  <c r="F1614"/>
  <c r="C1614"/>
  <c r="K1613"/>
  <c r="J1613"/>
  <c r="G1613"/>
  <c r="F1613"/>
  <c r="C1613"/>
  <c r="K1612"/>
  <c r="J1612"/>
  <c r="G1612"/>
  <c r="F1612"/>
  <c r="C1612"/>
  <c r="K1611"/>
  <c r="J1611"/>
  <c r="G1611"/>
  <c r="F1611"/>
  <c r="C1611"/>
  <c r="K1610"/>
  <c r="J1610"/>
  <c r="G1610"/>
  <c r="F1610"/>
  <c r="C1610"/>
  <c r="K1609"/>
  <c r="J1609"/>
  <c r="G1609"/>
  <c r="F1609"/>
  <c r="C1609"/>
  <c r="K1608"/>
  <c r="J1608"/>
  <c r="G1608"/>
  <c r="F1608"/>
  <c r="C1608"/>
  <c r="K1607"/>
  <c r="J1607"/>
  <c r="G1607"/>
  <c r="F1607"/>
  <c r="C1607"/>
  <c r="K1606"/>
  <c r="J1606"/>
  <c r="G1606"/>
  <c r="F1606"/>
  <c r="C1606"/>
  <c r="K1605"/>
  <c r="J1605"/>
  <c r="G1605"/>
  <c r="F1605"/>
  <c r="C1605"/>
  <c r="K1604"/>
  <c r="J1604"/>
  <c r="G1604"/>
  <c r="F1604"/>
  <c r="C1604"/>
  <c r="K1603"/>
  <c r="J1603"/>
  <c r="G1603"/>
  <c r="F1603"/>
  <c r="C1603"/>
  <c r="K1602"/>
  <c r="J1602"/>
  <c r="G1602"/>
  <c r="F1602"/>
  <c r="C1602"/>
  <c r="K1601"/>
  <c r="J1601"/>
  <c r="G1601"/>
  <c r="F1601"/>
  <c r="C1601"/>
  <c r="K1600"/>
  <c r="J1600"/>
  <c r="G1600"/>
  <c r="F1600"/>
  <c r="C1600"/>
  <c r="K1599"/>
  <c r="J1599"/>
  <c r="G1599"/>
  <c r="F1599"/>
  <c r="C1599"/>
  <c r="K1598"/>
  <c r="J1598"/>
  <c r="G1598"/>
  <c r="F1598"/>
  <c r="C1598"/>
  <c r="K1597"/>
  <c r="J1597"/>
  <c r="G1597"/>
  <c r="F1597"/>
  <c r="C1597"/>
  <c r="K1596"/>
  <c r="J1596"/>
  <c r="G1596"/>
  <c r="F1596"/>
  <c r="C1596"/>
  <c r="K1595"/>
  <c r="J1595"/>
  <c r="G1595"/>
  <c r="F1595"/>
  <c r="C1595"/>
  <c r="K1594"/>
  <c r="J1594"/>
  <c r="G1594"/>
  <c r="F1594"/>
  <c r="C1594"/>
  <c r="K1593"/>
  <c r="J1593"/>
  <c r="G1593"/>
  <c r="F1593"/>
  <c r="C1593"/>
  <c r="K1592"/>
  <c r="J1592"/>
  <c r="G1592"/>
  <c r="F1592"/>
  <c r="C1592"/>
  <c r="K1591"/>
  <c r="J1591"/>
  <c r="G1591"/>
  <c r="F1591"/>
  <c r="C1591"/>
  <c r="K1590"/>
  <c r="J1590"/>
  <c r="G1590"/>
  <c r="F1590"/>
  <c r="C1590"/>
  <c r="K1589"/>
  <c r="J1589"/>
  <c r="G1589"/>
  <c r="F1589"/>
  <c r="C1589"/>
  <c r="K1588"/>
  <c r="J1588"/>
  <c r="G1588"/>
  <c r="F1588"/>
  <c r="C1588"/>
  <c r="K1587"/>
  <c r="J1587"/>
  <c r="G1587"/>
  <c r="F1587"/>
  <c r="C1587"/>
  <c r="K1586"/>
  <c r="J1586"/>
  <c r="G1586"/>
  <c r="F1586"/>
  <c r="C1586"/>
  <c r="K1585"/>
  <c r="J1585"/>
  <c r="G1585"/>
  <c r="F1585"/>
  <c r="C1585"/>
  <c r="K1584"/>
  <c r="G1584"/>
  <c r="F1584"/>
  <c r="C1584"/>
  <c r="K1583"/>
  <c r="J1583"/>
  <c r="G1583"/>
  <c r="F1583"/>
  <c r="C1583"/>
  <c r="K1582"/>
  <c r="J1582"/>
  <c r="G1582"/>
  <c r="F1582"/>
  <c r="C1582"/>
  <c r="K1581"/>
  <c r="J1581"/>
  <c r="G1581"/>
  <c r="F1581"/>
  <c r="C1581"/>
  <c r="K1580"/>
  <c r="J1580"/>
  <c r="G1580"/>
  <c r="F1580"/>
  <c r="C1580"/>
  <c r="K1579"/>
  <c r="J1579"/>
  <c r="G1579"/>
  <c r="F1579"/>
  <c r="C1579"/>
  <c r="K1578"/>
  <c r="J1578"/>
  <c r="G1578"/>
  <c r="F1578"/>
  <c r="C1578"/>
  <c r="K1577"/>
  <c r="J1577"/>
  <c r="G1577"/>
  <c r="F1577"/>
  <c r="C1577"/>
  <c r="K1576"/>
  <c r="J1576"/>
  <c r="G1576"/>
  <c r="F1576"/>
  <c r="C1576"/>
  <c r="K1575"/>
  <c r="J1575"/>
  <c r="G1575"/>
  <c r="F1575"/>
  <c r="C1575"/>
  <c r="K1574"/>
  <c r="J1574"/>
  <c r="G1574"/>
  <c r="F1574"/>
  <c r="C1574"/>
  <c r="K1573"/>
  <c r="J1573"/>
  <c r="G1573"/>
  <c r="F1573"/>
  <c r="C1573"/>
  <c r="K1572"/>
  <c r="J1572"/>
  <c r="G1572"/>
  <c r="F1572"/>
  <c r="C1572"/>
  <c r="K1571"/>
  <c r="J1571"/>
  <c r="G1571"/>
  <c r="F1571"/>
  <c r="C1571"/>
  <c r="K1570"/>
  <c r="J1570"/>
  <c r="G1570"/>
  <c r="F1570"/>
  <c r="C1570"/>
  <c r="K1569"/>
  <c r="J1569"/>
  <c r="G1569"/>
  <c r="F1569"/>
  <c r="C1569"/>
  <c r="K1568"/>
  <c r="J1568"/>
  <c r="G1568"/>
  <c r="F1568"/>
  <c r="C1568"/>
  <c r="K1567"/>
  <c r="J1567"/>
  <c r="G1567"/>
  <c r="F1567"/>
  <c r="C1567"/>
  <c r="K1566"/>
  <c r="J1566"/>
  <c r="G1566"/>
  <c r="F1566"/>
  <c r="C1566"/>
  <c r="K1565"/>
  <c r="J1565"/>
  <c r="G1565"/>
  <c r="F1565"/>
  <c r="C1565"/>
  <c r="K1564"/>
  <c r="J1564"/>
  <c r="G1564"/>
  <c r="F1564"/>
  <c r="C1564"/>
  <c r="K1563"/>
  <c r="J1563"/>
  <c r="G1563"/>
  <c r="F1563"/>
  <c r="C1563"/>
  <c r="K1562"/>
  <c r="J1562"/>
  <c r="G1562"/>
  <c r="F1562"/>
  <c r="C1562"/>
  <c r="K1561"/>
  <c r="J1561"/>
  <c r="G1561"/>
  <c r="F1561"/>
  <c r="C1561"/>
  <c r="K1560"/>
  <c r="J1560"/>
  <c r="G1560"/>
  <c r="F1560"/>
  <c r="C1560"/>
  <c r="K1559"/>
  <c r="J1559"/>
  <c r="G1559"/>
  <c r="F1559"/>
  <c r="C1559"/>
  <c r="K1558"/>
  <c r="J1558"/>
  <c r="G1558"/>
  <c r="F1558"/>
  <c r="C1558"/>
  <c r="K1557"/>
  <c r="J1557"/>
  <c r="G1557"/>
  <c r="F1557"/>
  <c r="C1557"/>
  <c r="K1556"/>
  <c r="J1556"/>
  <c r="G1556"/>
  <c r="F1556"/>
  <c r="C1556"/>
  <c r="K1555"/>
  <c r="G1555"/>
  <c r="F1555"/>
  <c r="C1555"/>
  <c r="K1554"/>
  <c r="G1554"/>
  <c r="F1554"/>
  <c r="C1554"/>
  <c r="K1553"/>
  <c r="G1553"/>
  <c r="F1553"/>
  <c r="C1553"/>
  <c r="K1552"/>
  <c r="J1552"/>
  <c r="G1552"/>
  <c r="F1552"/>
  <c r="C1552"/>
  <c r="K1551"/>
  <c r="J1551"/>
  <c r="G1551"/>
  <c r="F1551"/>
  <c r="C1551"/>
  <c r="K1550"/>
  <c r="J1550"/>
  <c r="G1550"/>
  <c r="F1550"/>
  <c r="C1550"/>
  <c r="K1549"/>
  <c r="J1549"/>
  <c r="G1549"/>
  <c r="F1549"/>
  <c r="C1549"/>
  <c r="K1548"/>
  <c r="J1548"/>
  <c r="G1548"/>
  <c r="F1548"/>
  <c r="C1548"/>
  <c r="K1547"/>
  <c r="J1547"/>
  <c r="G1547"/>
  <c r="F1547"/>
  <c r="C1547"/>
  <c r="K1546"/>
  <c r="J1546"/>
  <c r="G1546"/>
  <c r="F1546"/>
  <c r="C1546"/>
  <c r="K1545"/>
  <c r="J1545"/>
  <c r="G1545"/>
  <c r="F1545"/>
  <c r="C1545"/>
  <c r="K1544"/>
  <c r="J1544"/>
  <c r="G1544"/>
  <c r="F1544"/>
  <c r="C1544"/>
  <c r="K1543"/>
  <c r="J1543"/>
  <c r="G1543"/>
  <c r="F1543"/>
  <c r="C1543"/>
  <c r="K1542"/>
  <c r="J1542"/>
  <c r="G1542"/>
  <c r="F1542"/>
  <c r="C1542"/>
  <c r="K1541"/>
  <c r="J1541"/>
  <c r="G1541"/>
  <c r="F1541"/>
  <c r="C1541"/>
  <c r="K1540"/>
  <c r="J1540"/>
  <c r="G1540"/>
  <c r="F1540"/>
  <c r="C1540"/>
  <c r="K1539"/>
  <c r="J1539"/>
  <c r="G1539"/>
  <c r="F1539"/>
  <c r="C1539"/>
  <c r="K1538"/>
  <c r="J1538"/>
  <c r="G1538"/>
  <c r="F1538"/>
  <c r="C1538"/>
  <c r="K1537"/>
  <c r="J1537"/>
  <c r="G1537"/>
  <c r="F1537"/>
  <c r="C1537"/>
  <c r="K1536"/>
  <c r="J1536"/>
  <c r="G1536"/>
  <c r="F1536"/>
  <c r="C1536"/>
  <c r="K1535"/>
  <c r="J1535"/>
  <c r="G1535"/>
  <c r="F1535"/>
  <c r="C1535"/>
  <c r="K1534"/>
  <c r="J1534"/>
  <c r="G1534"/>
  <c r="F1534"/>
  <c r="C1534"/>
  <c r="K1533"/>
  <c r="J1533"/>
  <c r="G1533"/>
  <c r="F1533"/>
  <c r="C1533"/>
  <c r="K1532"/>
  <c r="J1532"/>
  <c r="G1532"/>
  <c r="F1532"/>
  <c r="C1532"/>
  <c r="K1531"/>
  <c r="J1531"/>
  <c r="G1531"/>
  <c r="F1531"/>
  <c r="C1531"/>
  <c r="K1530"/>
  <c r="J1530"/>
  <c r="G1530"/>
  <c r="F1530"/>
  <c r="C1530"/>
  <c r="K1529"/>
  <c r="J1529"/>
  <c r="G1529"/>
  <c r="F1529"/>
  <c r="C1529"/>
  <c r="K1528"/>
  <c r="J1528"/>
  <c r="G1528"/>
  <c r="F1528"/>
  <c r="C1528"/>
  <c r="K1527"/>
  <c r="J1527"/>
  <c r="G1527"/>
  <c r="F1527"/>
  <c r="C1527"/>
  <c r="K1526"/>
  <c r="J1526"/>
  <c r="G1526"/>
  <c r="F1526"/>
  <c r="C1526"/>
  <c r="K1525"/>
  <c r="J1525"/>
  <c r="G1525"/>
  <c r="F1525"/>
  <c r="C1525"/>
  <c r="K1524"/>
  <c r="J1524"/>
  <c r="G1524"/>
  <c r="F1524"/>
  <c r="C1524"/>
  <c r="K1523"/>
  <c r="J1523"/>
  <c r="G1523"/>
  <c r="F1523"/>
  <c r="C1523"/>
  <c r="K1522"/>
  <c r="J1522"/>
  <c r="G1522"/>
  <c r="F1522"/>
  <c r="C1522"/>
  <c r="K1521"/>
  <c r="J1521"/>
  <c r="G1521"/>
  <c r="F1521"/>
  <c r="C1521"/>
  <c r="K1520"/>
  <c r="J1520"/>
  <c r="G1520"/>
  <c r="F1520"/>
  <c r="C1520"/>
  <c r="K1519"/>
  <c r="J1519"/>
  <c r="G1519"/>
  <c r="F1519"/>
  <c r="C1519"/>
  <c r="K1518"/>
  <c r="J1518"/>
  <c r="G1518"/>
  <c r="F1518"/>
  <c r="C1518"/>
  <c r="K1517"/>
  <c r="J1517"/>
  <c r="G1517"/>
  <c r="F1517"/>
  <c r="C1517"/>
  <c r="K1516"/>
  <c r="J1516"/>
  <c r="G1516"/>
  <c r="F1516"/>
  <c r="C1516"/>
  <c r="K1515"/>
  <c r="J1515"/>
  <c r="G1515"/>
  <c r="F1515"/>
  <c r="C1515"/>
  <c r="K1514"/>
  <c r="J1514"/>
  <c r="G1514"/>
  <c r="F1514"/>
  <c r="C1514"/>
  <c r="K1513"/>
  <c r="J1513"/>
  <c r="G1513"/>
  <c r="F1513"/>
  <c r="C1513"/>
  <c r="K1512"/>
  <c r="J1512"/>
  <c r="G1512"/>
  <c r="F1512"/>
  <c r="C1512"/>
  <c r="K1511"/>
  <c r="J1511"/>
  <c r="G1511"/>
  <c r="F1511"/>
  <c r="C1511"/>
  <c r="K1510"/>
  <c r="J1510"/>
  <c r="G1510"/>
  <c r="F1510"/>
  <c r="C1510"/>
  <c r="K1509"/>
  <c r="J1509"/>
  <c r="G1509"/>
  <c r="F1509"/>
  <c r="C1509"/>
  <c r="K1508"/>
  <c r="J1508"/>
  <c r="G1508"/>
  <c r="F1508"/>
  <c r="C1508"/>
  <c r="K1507"/>
  <c r="J1507"/>
  <c r="G1507"/>
  <c r="F1507"/>
  <c r="C1507"/>
  <c r="K1506"/>
  <c r="J1506"/>
  <c r="G1506"/>
  <c r="F1506"/>
  <c r="C1506"/>
  <c r="K1505"/>
  <c r="J1505"/>
  <c r="G1505"/>
  <c r="F1505"/>
  <c r="C1505"/>
  <c r="K1504"/>
  <c r="J1504"/>
  <c r="G1504"/>
  <c r="F1504"/>
  <c r="C1504"/>
  <c r="K1503"/>
  <c r="J1503"/>
  <c r="G1503"/>
  <c r="F1503"/>
  <c r="C1503"/>
  <c r="K1502"/>
  <c r="J1502"/>
  <c r="G1502"/>
  <c r="F1502"/>
  <c r="C1502"/>
  <c r="K1501"/>
  <c r="J1501"/>
  <c r="G1501"/>
  <c r="F1501"/>
  <c r="C1501"/>
  <c r="K1500"/>
  <c r="J1500"/>
  <c r="G1500"/>
  <c r="F1500"/>
  <c r="C1500"/>
  <c r="K1499"/>
  <c r="J1499"/>
  <c r="G1499"/>
  <c r="F1499"/>
  <c r="C1499"/>
  <c r="K1498"/>
  <c r="J1498"/>
  <c r="G1498"/>
  <c r="F1498"/>
  <c r="C1498"/>
  <c r="K1497"/>
  <c r="J1497"/>
  <c r="G1497"/>
  <c r="F1497"/>
  <c r="C1497"/>
  <c r="K1496"/>
  <c r="J1496"/>
  <c r="G1496"/>
  <c r="F1496"/>
  <c r="C1496"/>
  <c r="K1495"/>
  <c r="J1495"/>
  <c r="G1495"/>
  <c r="F1495"/>
  <c r="C1495"/>
  <c r="K1494"/>
  <c r="J1494"/>
  <c r="G1494"/>
  <c r="F1494"/>
  <c r="C1494"/>
  <c r="K1493"/>
  <c r="J1493"/>
  <c r="G1493"/>
  <c r="F1493"/>
  <c r="C1493"/>
  <c r="K1492"/>
  <c r="J1492"/>
  <c r="G1492"/>
  <c r="F1492"/>
  <c r="C1492"/>
  <c r="K1491"/>
  <c r="J1491"/>
  <c r="G1491"/>
  <c r="F1491"/>
  <c r="C1491"/>
  <c r="K1490"/>
  <c r="J1490"/>
  <c r="G1490"/>
  <c r="F1490"/>
  <c r="C1490"/>
  <c r="K1489"/>
  <c r="J1489"/>
  <c r="G1489"/>
  <c r="F1489"/>
  <c r="C1489"/>
  <c r="K1488"/>
  <c r="J1488"/>
  <c r="G1488"/>
  <c r="F1488"/>
  <c r="C1488"/>
  <c r="K1487"/>
  <c r="J1487"/>
  <c r="G1487"/>
  <c r="F1487"/>
  <c r="C1487"/>
  <c r="K1486"/>
  <c r="J1486"/>
  <c r="G1486"/>
  <c r="F1486"/>
  <c r="C1486"/>
  <c r="K1485"/>
  <c r="J1485"/>
  <c r="G1485"/>
  <c r="F1485"/>
  <c r="C1485"/>
  <c r="K1484"/>
  <c r="J1484"/>
  <c r="G1484"/>
  <c r="F1484"/>
  <c r="C1484"/>
  <c r="K1483"/>
  <c r="J1483"/>
  <c r="G1483"/>
  <c r="F1483"/>
  <c r="C1483"/>
  <c r="K1482"/>
  <c r="J1482"/>
  <c r="G1482"/>
  <c r="F1482"/>
  <c r="C1482"/>
  <c r="K1481"/>
  <c r="J1481"/>
  <c r="G1481"/>
  <c r="F1481"/>
  <c r="C1481"/>
  <c r="K1480"/>
  <c r="J1480"/>
  <c r="G1480"/>
  <c r="F1480"/>
  <c r="C1480"/>
  <c r="K1479"/>
  <c r="J1479"/>
  <c r="G1479"/>
  <c r="F1479"/>
  <c r="C1479"/>
  <c r="K1478"/>
  <c r="J1478"/>
  <c r="G1478"/>
  <c r="F1478"/>
  <c r="C1478"/>
  <c r="K1477"/>
  <c r="J1477"/>
  <c r="G1477"/>
  <c r="F1477"/>
  <c r="C1477"/>
  <c r="K1476"/>
  <c r="J1476"/>
  <c r="G1476"/>
  <c r="F1476"/>
  <c r="C1476"/>
  <c r="K1475"/>
  <c r="J1475"/>
  <c r="G1475"/>
  <c r="F1475"/>
  <c r="C1475"/>
  <c r="K1474"/>
  <c r="J1474"/>
  <c r="G1474"/>
  <c r="F1474"/>
  <c r="C1474"/>
  <c r="K1473"/>
  <c r="J1473"/>
  <c r="G1473"/>
  <c r="F1473"/>
  <c r="C1473"/>
  <c r="K1472"/>
  <c r="J1472"/>
  <c r="G1472"/>
  <c r="F1472"/>
  <c r="C1472"/>
  <c r="K1471"/>
  <c r="J1471"/>
  <c r="G1471"/>
  <c r="F1471"/>
  <c r="C1471"/>
  <c r="K1470"/>
  <c r="J1470"/>
  <c r="G1470"/>
  <c r="F1470"/>
  <c r="C1470"/>
  <c r="K1469"/>
  <c r="J1469"/>
  <c r="G1469"/>
  <c r="F1469"/>
  <c r="C1469"/>
  <c r="K1468"/>
  <c r="J1468"/>
  <c r="G1468"/>
  <c r="F1468"/>
  <c r="C1468"/>
  <c r="K1467"/>
  <c r="J1467"/>
  <c r="G1467"/>
  <c r="F1467"/>
  <c r="C1467"/>
  <c r="K1466"/>
  <c r="J1466"/>
  <c r="G1466"/>
  <c r="F1466"/>
  <c r="C1466"/>
  <c r="K1465"/>
  <c r="J1465"/>
  <c r="G1465"/>
  <c r="F1465"/>
  <c r="C1465"/>
  <c r="K1464"/>
  <c r="J1464"/>
  <c r="G1464"/>
  <c r="F1464"/>
  <c r="C1464"/>
  <c r="K1463"/>
  <c r="J1463"/>
  <c r="G1463"/>
  <c r="F1463"/>
  <c r="C1463"/>
  <c r="K1462"/>
  <c r="J1462"/>
  <c r="G1462"/>
  <c r="F1462"/>
  <c r="C1462"/>
  <c r="K1461"/>
  <c r="J1461"/>
  <c r="G1461"/>
  <c r="F1461"/>
  <c r="C1461"/>
  <c r="K1460"/>
  <c r="J1460"/>
  <c r="G1460"/>
  <c r="F1460"/>
  <c r="C1460"/>
  <c r="K1459"/>
  <c r="J1459"/>
  <c r="G1459"/>
  <c r="F1459"/>
  <c r="C1459"/>
  <c r="K1458"/>
  <c r="J1458"/>
  <c r="G1458"/>
  <c r="F1458"/>
  <c r="C1458"/>
  <c r="K1457"/>
  <c r="J1457"/>
  <c r="G1457"/>
  <c r="F1457"/>
  <c r="C1457"/>
  <c r="K1456"/>
  <c r="J1456"/>
  <c r="G1456"/>
  <c r="F1456"/>
  <c r="C1456"/>
  <c r="K1455"/>
  <c r="J1455"/>
  <c r="G1455"/>
  <c r="F1455"/>
  <c r="C1455"/>
  <c r="K1454"/>
  <c r="J1454"/>
  <c r="G1454"/>
  <c r="F1454"/>
  <c r="C1454"/>
  <c r="K1453"/>
  <c r="J1453"/>
  <c r="G1453"/>
  <c r="F1453"/>
  <c r="C1453"/>
  <c r="K1452"/>
  <c r="J1452"/>
  <c r="G1452"/>
  <c r="F1452"/>
  <c r="C1452"/>
  <c r="K1451"/>
  <c r="J1451"/>
  <c r="G1451"/>
  <c r="F1451"/>
  <c r="C1451"/>
  <c r="K1450"/>
  <c r="J1450"/>
  <c r="G1450"/>
  <c r="F1450"/>
  <c r="C1450"/>
  <c r="K1449"/>
  <c r="J1449"/>
  <c r="G1449"/>
  <c r="F1449"/>
  <c r="C1449"/>
  <c r="K1448"/>
  <c r="J1448"/>
  <c r="G1448"/>
  <c r="F1448"/>
  <c r="C1448"/>
  <c r="K1447"/>
  <c r="J1447"/>
  <c r="G1447"/>
  <c r="F1447"/>
  <c r="C1447"/>
  <c r="K1446"/>
  <c r="J1446"/>
  <c r="G1446"/>
  <c r="F1446"/>
  <c r="C1446"/>
  <c r="K1445"/>
  <c r="J1445"/>
  <c r="G1445"/>
  <c r="F1445"/>
  <c r="C1445"/>
  <c r="K1444"/>
  <c r="J1444"/>
  <c r="G1444"/>
  <c r="F1444"/>
  <c r="C1444"/>
  <c r="K1443"/>
  <c r="J1443"/>
  <c r="G1443"/>
  <c r="F1443"/>
  <c r="C1443"/>
  <c r="K1442"/>
  <c r="J1442"/>
  <c r="G1442"/>
  <c r="F1442"/>
  <c r="C1442"/>
  <c r="K1441"/>
  <c r="J1441"/>
  <c r="G1441"/>
  <c r="F1441"/>
  <c r="C1441"/>
  <c r="K1440"/>
  <c r="J1440"/>
  <c r="G1440"/>
  <c r="F1440"/>
  <c r="C1440"/>
  <c r="K1439"/>
  <c r="J1439"/>
  <c r="G1439"/>
  <c r="F1439"/>
  <c r="C1439"/>
  <c r="K1438"/>
  <c r="J1438"/>
  <c r="G1438"/>
  <c r="F1438"/>
  <c r="C1438"/>
  <c r="K1437"/>
  <c r="J1437"/>
  <c r="G1437"/>
  <c r="F1437"/>
  <c r="C1437"/>
  <c r="K1436"/>
  <c r="J1436"/>
  <c r="G1436"/>
  <c r="F1436"/>
  <c r="C1436"/>
  <c r="K1435"/>
  <c r="J1435"/>
  <c r="G1435"/>
  <c r="F1435"/>
  <c r="C1435"/>
  <c r="K1434"/>
  <c r="J1434"/>
  <c r="G1434"/>
  <c r="F1434"/>
  <c r="C1434"/>
  <c r="K1433"/>
  <c r="J1433"/>
  <c r="G1433"/>
  <c r="F1433"/>
  <c r="C1433"/>
  <c r="K1432"/>
  <c r="J1432"/>
  <c r="G1432"/>
  <c r="F1432"/>
  <c r="C1432"/>
  <c r="K1431"/>
  <c r="J1431"/>
  <c r="G1431"/>
  <c r="F1431"/>
  <c r="C1431"/>
  <c r="K1430"/>
  <c r="J1430"/>
  <c r="G1430"/>
  <c r="F1430"/>
  <c r="C1430"/>
  <c r="K1429"/>
  <c r="J1429"/>
  <c r="G1429"/>
  <c r="F1429"/>
  <c r="C1429"/>
  <c r="K1428"/>
  <c r="J1428"/>
  <c r="G1428"/>
  <c r="F1428"/>
  <c r="C1428"/>
  <c r="K1427"/>
  <c r="J1427"/>
  <c r="G1427"/>
  <c r="F1427"/>
  <c r="C1427"/>
  <c r="K1426"/>
  <c r="J1426"/>
  <c r="G1426"/>
  <c r="F1426"/>
  <c r="C1426"/>
  <c r="K1425"/>
  <c r="J1425"/>
  <c r="G1425"/>
  <c r="F1425"/>
  <c r="C1425"/>
  <c r="K1424"/>
  <c r="J1424"/>
  <c r="G1424"/>
  <c r="F1424"/>
  <c r="C1424"/>
  <c r="K1423"/>
  <c r="J1423"/>
  <c r="G1423"/>
  <c r="F1423"/>
  <c r="C1423"/>
  <c r="K1422"/>
  <c r="J1422"/>
  <c r="G1422"/>
  <c r="F1422"/>
  <c r="C1422"/>
  <c r="K1421"/>
  <c r="J1421"/>
  <c r="G1421"/>
  <c r="F1421"/>
  <c r="C1421"/>
  <c r="K1420"/>
  <c r="J1420"/>
  <c r="G1420"/>
  <c r="F1420"/>
  <c r="C1420"/>
  <c r="K1419"/>
  <c r="J1419"/>
  <c r="G1419"/>
  <c r="F1419"/>
  <c r="C1419"/>
  <c r="K1418"/>
  <c r="J1418"/>
  <c r="G1418"/>
  <c r="F1418"/>
  <c r="C1418"/>
  <c r="K1417"/>
  <c r="J1417"/>
  <c r="G1417"/>
  <c r="F1417"/>
  <c r="C1417"/>
  <c r="K1416"/>
  <c r="J1416"/>
  <c r="G1416"/>
  <c r="F1416"/>
  <c r="C1416"/>
  <c r="K1415"/>
  <c r="J1415"/>
  <c r="G1415"/>
  <c r="F1415"/>
  <c r="C1415"/>
  <c r="K1414"/>
  <c r="J1414"/>
  <c r="G1414"/>
  <c r="F1414"/>
  <c r="C1414"/>
  <c r="K1413"/>
  <c r="J1413"/>
  <c r="G1413"/>
  <c r="F1413"/>
  <c r="C1413"/>
  <c r="K1412"/>
  <c r="J1412"/>
  <c r="G1412"/>
  <c r="F1412"/>
  <c r="C1412"/>
  <c r="K1411"/>
  <c r="J1411"/>
  <c r="G1411"/>
  <c r="F1411"/>
  <c r="C1411"/>
  <c r="K1410"/>
  <c r="J1410"/>
  <c r="G1410"/>
  <c r="F1410"/>
  <c r="C1410"/>
  <c r="K1409"/>
  <c r="J1409"/>
  <c r="G1409"/>
  <c r="F1409"/>
  <c r="C1409"/>
  <c r="K1408"/>
  <c r="J1408"/>
  <c r="G1408"/>
  <c r="F1408"/>
  <c r="C1408"/>
  <c r="K1407"/>
  <c r="J1407"/>
  <c r="G1407"/>
  <c r="F1407"/>
  <c r="C1407"/>
  <c r="K1406"/>
  <c r="J1406"/>
  <c r="G1406"/>
  <c r="F1406"/>
  <c r="C1406"/>
  <c r="K1405"/>
  <c r="J1405"/>
  <c r="G1405"/>
  <c r="F1405"/>
  <c r="C1405"/>
  <c r="K1404"/>
  <c r="J1404"/>
  <c r="G1404"/>
  <c r="F1404"/>
  <c r="C1404"/>
  <c r="K1403"/>
  <c r="J1403"/>
  <c r="G1403"/>
  <c r="F1403"/>
  <c r="C1403"/>
  <c r="K1402"/>
  <c r="J1402"/>
  <c r="G1402"/>
  <c r="F1402"/>
  <c r="C1402"/>
  <c r="K1401"/>
  <c r="J1401"/>
  <c r="G1401"/>
  <c r="F1401"/>
  <c r="C1401"/>
  <c r="K1400"/>
  <c r="J1400"/>
  <c r="G1400"/>
  <c r="F1400"/>
  <c r="C1400"/>
  <c r="K1399"/>
  <c r="J1399"/>
  <c r="G1399"/>
  <c r="F1399"/>
  <c r="C1399"/>
  <c r="K1398"/>
  <c r="J1398"/>
  <c r="G1398"/>
  <c r="F1398"/>
  <c r="C1398"/>
  <c r="K1397"/>
  <c r="J1397"/>
  <c r="G1397"/>
  <c r="F1397"/>
  <c r="C1397"/>
  <c r="K1396"/>
  <c r="J1396"/>
  <c r="G1396"/>
  <c r="F1396"/>
  <c r="C1396"/>
  <c r="K1395"/>
  <c r="J1395"/>
  <c r="G1395"/>
  <c r="F1395"/>
  <c r="C1395"/>
  <c r="K1394"/>
  <c r="J1394"/>
  <c r="G1394"/>
  <c r="F1394"/>
  <c r="C1394"/>
  <c r="K1393"/>
  <c r="J1393"/>
  <c r="G1393"/>
  <c r="F1393"/>
  <c r="C1393"/>
  <c r="K1392"/>
  <c r="J1392"/>
  <c r="G1392"/>
  <c r="F1392"/>
  <c r="C1392"/>
  <c r="K1391"/>
  <c r="J1391"/>
  <c r="G1391"/>
  <c r="F1391"/>
  <c r="C1391"/>
  <c r="K1390"/>
  <c r="J1390"/>
  <c r="G1390"/>
  <c r="F1390"/>
  <c r="C1390"/>
  <c r="K1389"/>
  <c r="J1389"/>
  <c r="G1389"/>
  <c r="F1389"/>
  <c r="C1389"/>
  <c r="K1388"/>
  <c r="J1388"/>
  <c r="G1388"/>
  <c r="F1388"/>
  <c r="C1388"/>
  <c r="K1387"/>
  <c r="J1387"/>
  <c r="G1387"/>
  <c r="F1387"/>
  <c r="C1387"/>
  <c r="K1386"/>
  <c r="J1386"/>
  <c r="G1386"/>
  <c r="F1386"/>
  <c r="C1386"/>
  <c r="K1385"/>
  <c r="J1385"/>
  <c r="G1385"/>
  <c r="F1385"/>
  <c r="C1385"/>
  <c r="K1384"/>
  <c r="J1384"/>
  <c r="G1384"/>
  <c r="F1384"/>
  <c r="C1384"/>
  <c r="K1383"/>
  <c r="J1383"/>
  <c r="G1383"/>
  <c r="F1383"/>
  <c r="C1383"/>
  <c r="K1382"/>
  <c r="J1382"/>
  <c r="G1382"/>
  <c r="F1382"/>
  <c r="C1382"/>
  <c r="K1381"/>
  <c r="J1381"/>
  <c r="G1381"/>
  <c r="F1381"/>
  <c r="C1381"/>
  <c r="K1380"/>
  <c r="G1380"/>
  <c r="F1380"/>
  <c r="C1380"/>
  <c r="K1379"/>
  <c r="J1379"/>
  <c r="G1379"/>
  <c r="F1379"/>
  <c r="C1379"/>
  <c r="K1378"/>
  <c r="J1378"/>
  <c r="G1378"/>
  <c r="F1378"/>
  <c r="C1378"/>
  <c r="K1377"/>
  <c r="J1377"/>
  <c r="G1377"/>
  <c r="F1377"/>
  <c r="C1377"/>
  <c r="K1376"/>
  <c r="J1376"/>
  <c r="G1376"/>
  <c r="F1376"/>
  <c r="C1376"/>
  <c r="K1375"/>
  <c r="J1375"/>
  <c r="G1375"/>
  <c r="F1375"/>
  <c r="C1375"/>
  <c r="K1374"/>
  <c r="J1374"/>
  <c r="G1374"/>
  <c r="F1374"/>
  <c r="C1374"/>
  <c r="K1373"/>
  <c r="J1373"/>
  <c r="G1373"/>
  <c r="F1373"/>
  <c r="C1373"/>
  <c r="K1372"/>
  <c r="J1372"/>
  <c r="G1372"/>
  <c r="F1372"/>
  <c r="C1372"/>
  <c r="K1371"/>
  <c r="J1371"/>
  <c r="G1371"/>
  <c r="F1371"/>
  <c r="C1371"/>
  <c r="K1370"/>
  <c r="J1370"/>
  <c r="G1370"/>
  <c r="F1370"/>
  <c r="C1370"/>
  <c r="K1369"/>
  <c r="J1369"/>
  <c r="G1369"/>
  <c r="F1369"/>
  <c r="C1369"/>
  <c r="K1368"/>
  <c r="J1368"/>
  <c r="G1368"/>
  <c r="F1368"/>
  <c r="C1368"/>
  <c r="K1367"/>
  <c r="J1367"/>
  <c r="G1367"/>
  <c r="F1367"/>
  <c r="C1367"/>
  <c r="K1366"/>
  <c r="J1366"/>
  <c r="G1366"/>
  <c r="F1366"/>
  <c r="C1366"/>
  <c r="K1365"/>
  <c r="J1365"/>
  <c r="G1365"/>
  <c r="F1365"/>
  <c r="C1365"/>
  <c r="K1364"/>
  <c r="J1364"/>
  <c r="G1364"/>
  <c r="F1364"/>
  <c r="C1364"/>
  <c r="K1363"/>
  <c r="J1363"/>
  <c r="G1363"/>
  <c r="F1363"/>
  <c r="C1363"/>
  <c r="K1362"/>
  <c r="J1362"/>
  <c r="G1362"/>
  <c r="F1362"/>
  <c r="C1362"/>
  <c r="K1361"/>
  <c r="J1361"/>
  <c r="G1361"/>
  <c r="F1361"/>
  <c r="C1361"/>
  <c r="K1360"/>
  <c r="J1360"/>
  <c r="G1360"/>
  <c r="F1360"/>
  <c r="C1360"/>
  <c r="K1359"/>
  <c r="J1359"/>
  <c r="G1359"/>
  <c r="F1359"/>
  <c r="C1359"/>
  <c r="K1358"/>
  <c r="J1358"/>
  <c r="G1358"/>
  <c r="F1358"/>
  <c r="C1358"/>
  <c r="K1357"/>
  <c r="J1357"/>
  <c r="G1357"/>
  <c r="F1357"/>
  <c r="C1357"/>
  <c r="K1356"/>
  <c r="J1356"/>
  <c r="G1356"/>
  <c r="F1356"/>
  <c r="C1356"/>
  <c r="K1355"/>
  <c r="J1355"/>
  <c r="G1355"/>
  <c r="F1355"/>
  <c r="C1355"/>
  <c r="K1354"/>
  <c r="J1354"/>
  <c r="G1354"/>
  <c r="F1354"/>
  <c r="C1354"/>
  <c r="K1353"/>
  <c r="J1353"/>
  <c r="G1353"/>
  <c r="F1353"/>
  <c r="C1353"/>
  <c r="K1352"/>
  <c r="J1352"/>
  <c r="G1352"/>
  <c r="F1352"/>
  <c r="C1352"/>
  <c r="K1351"/>
  <c r="J1351"/>
  <c r="G1351"/>
  <c r="F1351"/>
  <c r="C1351"/>
  <c r="K1350"/>
  <c r="J1350"/>
  <c r="G1350"/>
  <c r="F1350"/>
  <c r="C1350"/>
  <c r="K1349"/>
  <c r="J1349"/>
  <c r="G1349"/>
  <c r="F1349"/>
  <c r="C1349"/>
  <c r="K1348"/>
  <c r="J1348"/>
  <c r="G1348"/>
  <c r="F1348"/>
  <c r="C1348"/>
  <c r="K1347"/>
  <c r="J1347"/>
  <c r="G1347"/>
  <c r="F1347"/>
  <c r="C1347"/>
  <c r="K1346"/>
  <c r="J1346"/>
  <c r="G1346"/>
  <c r="F1346"/>
  <c r="C1346"/>
  <c r="K1345"/>
  <c r="J1345"/>
  <c r="G1345"/>
  <c r="F1345"/>
  <c r="C1345"/>
  <c r="K1344"/>
  <c r="J1344"/>
  <c r="G1344"/>
  <c r="F1344"/>
  <c r="C1344"/>
  <c r="K1343"/>
  <c r="J1343"/>
  <c r="G1343"/>
  <c r="F1343"/>
  <c r="C1343"/>
  <c r="K1342"/>
  <c r="J1342"/>
  <c r="G1342"/>
  <c r="F1342"/>
  <c r="C1342"/>
  <c r="K1341"/>
  <c r="J1341"/>
  <c r="G1341"/>
  <c r="F1341"/>
  <c r="C1341"/>
  <c r="K1340"/>
  <c r="J1340"/>
  <c r="G1340"/>
  <c r="F1340"/>
  <c r="C1340"/>
  <c r="K1339"/>
  <c r="J1339"/>
  <c r="G1339"/>
  <c r="F1339"/>
  <c r="C1339"/>
  <c r="K1338"/>
  <c r="J1338"/>
  <c r="G1338"/>
  <c r="F1338"/>
  <c r="C1338"/>
  <c r="K1337"/>
  <c r="J1337"/>
  <c r="G1337"/>
  <c r="F1337"/>
  <c r="C1337"/>
  <c r="K1336"/>
  <c r="J1336"/>
  <c r="G1336"/>
  <c r="F1336"/>
  <c r="C1336"/>
  <c r="K1335"/>
  <c r="J1335"/>
  <c r="G1335"/>
  <c r="F1335"/>
  <c r="C1335"/>
  <c r="K1334"/>
  <c r="J1334"/>
  <c r="G1334"/>
  <c r="F1334"/>
  <c r="C1334"/>
  <c r="K1333"/>
  <c r="J1333"/>
  <c r="G1333"/>
  <c r="F1333"/>
  <c r="C1333"/>
  <c r="K1332"/>
  <c r="J1332"/>
  <c r="G1332"/>
  <c r="F1332"/>
  <c r="C1332"/>
  <c r="K1331"/>
  <c r="J1331"/>
  <c r="G1331"/>
  <c r="F1331"/>
  <c r="C1331"/>
  <c r="K1330"/>
  <c r="J1330"/>
  <c r="G1330"/>
  <c r="F1330"/>
  <c r="C1330"/>
  <c r="K1329"/>
  <c r="J1329"/>
  <c r="G1329"/>
  <c r="F1329"/>
  <c r="C1329"/>
  <c r="K1328"/>
  <c r="J1328"/>
  <c r="G1328"/>
  <c r="F1328"/>
  <c r="C1328"/>
  <c r="K1327"/>
  <c r="J1327"/>
  <c r="G1327"/>
  <c r="F1327"/>
  <c r="C1327"/>
  <c r="K1326"/>
  <c r="J1326"/>
  <c r="G1326"/>
  <c r="F1326"/>
  <c r="C1326"/>
  <c r="K1325"/>
  <c r="J1325"/>
  <c r="G1325"/>
  <c r="F1325"/>
  <c r="C1325"/>
  <c r="K1324"/>
  <c r="J1324"/>
  <c r="G1324"/>
  <c r="F1324"/>
  <c r="C1324"/>
  <c r="K1323"/>
  <c r="J1323"/>
  <c r="G1323"/>
  <c r="F1323"/>
  <c r="C1323"/>
  <c r="K1322"/>
  <c r="J1322"/>
  <c r="G1322"/>
  <c r="F1322"/>
  <c r="C1322"/>
  <c r="K1321"/>
  <c r="J1321"/>
  <c r="G1321"/>
  <c r="F1321"/>
  <c r="C1321"/>
  <c r="K1320"/>
  <c r="J1320"/>
  <c r="G1320"/>
  <c r="F1320"/>
  <c r="C1320"/>
  <c r="K1319"/>
  <c r="J1319"/>
  <c r="G1319"/>
  <c r="F1319"/>
  <c r="C1319"/>
  <c r="K1318"/>
  <c r="J1318"/>
  <c r="G1318"/>
  <c r="F1318"/>
  <c r="C1318"/>
  <c r="K1317"/>
  <c r="J1317"/>
  <c r="G1317"/>
  <c r="F1317"/>
  <c r="C1317"/>
  <c r="K1316"/>
  <c r="J1316"/>
  <c r="G1316"/>
  <c r="F1316"/>
  <c r="C1316"/>
  <c r="K1315"/>
  <c r="J1315"/>
  <c r="G1315"/>
  <c r="F1315"/>
  <c r="C1315"/>
  <c r="K1314"/>
  <c r="J1314"/>
  <c r="G1314"/>
  <c r="F1314"/>
  <c r="C1314"/>
  <c r="K1313"/>
  <c r="J1313"/>
  <c r="G1313"/>
  <c r="F1313"/>
  <c r="C1313"/>
  <c r="K1312"/>
  <c r="J1312"/>
  <c r="G1312"/>
  <c r="F1312"/>
  <c r="C1312"/>
  <c r="K1311"/>
  <c r="J1311"/>
  <c r="G1311"/>
  <c r="F1311"/>
  <c r="C1311"/>
  <c r="K1310"/>
  <c r="J1310"/>
  <c r="G1310"/>
  <c r="F1310"/>
  <c r="C1310"/>
  <c r="K1309"/>
  <c r="J1309"/>
  <c r="G1309"/>
  <c r="F1309"/>
  <c r="C1309"/>
  <c r="K1308"/>
  <c r="J1308"/>
  <c r="G1308"/>
  <c r="F1308"/>
  <c r="C1308"/>
  <c r="K1307"/>
  <c r="J1307"/>
  <c r="G1307"/>
  <c r="F1307"/>
  <c r="C1307"/>
  <c r="K1306"/>
  <c r="J1306"/>
  <c r="G1306"/>
  <c r="F1306"/>
  <c r="C1306"/>
  <c r="K1305"/>
  <c r="J1305"/>
  <c r="G1305"/>
  <c r="F1305"/>
  <c r="C1305"/>
  <c r="K1304"/>
  <c r="J1304"/>
  <c r="G1304"/>
  <c r="F1304"/>
  <c r="C1304"/>
  <c r="K1303"/>
  <c r="J1303"/>
  <c r="G1303"/>
  <c r="F1303"/>
  <c r="C1303"/>
  <c r="K1302"/>
  <c r="J1302"/>
  <c r="G1302"/>
  <c r="F1302"/>
  <c r="C1302"/>
  <c r="K1301"/>
  <c r="J1301"/>
  <c r="G1301"/>
  <c r="F1301"/>
  <c r="C1301"/>
  <c r="K1300"/>
  <c r="J1300"/>
  <c r="G1300"/>
  <c r="F1300"/>
  <c r="C1300"/>
  <c r="K1299"/>
  <c r="J1299"/>
  <c r="G1299"/>
  <c r="F1299"/>
  <c r="C1299"/>
  <c r="K1298"/>
  <c r="J1298"/>
  <c r="G1298"/>
  <c r="F1298"/>
  <c r="C1298"/>
  <c r="K1297"/>
  <c r="J1297"/>
  <c r="G1297"/>
  <c r="F1297"/>
  <c r="C1297"/>
  <c r="K1296"/>
  <c r="J1296"/>
  <c r="G1296"/>
  <c r="F1296"/>
  <c r="C1296"/>
  <c r="K1295"/>
  <c r="J1295"/>
  <c r="G1295"/>
  <c r="F1295"/>
  <c r="C1295"/>
  <c r="K1294"/>
  <c r="J1294"/>
  <c r="G1294"/>
  <c r="F1294"/>
  <c r="C1294"/>
  <c r="K1293"/>
  <c r="J1293"/>
  <c r="G1293"/>
  <c r="F1293"/>
  <c r="C1293"/>
  <c r="K1292"/>
  <c r="J1292"/>
  <c r="G1292"/>
  <c r="F1292"/>
  <c r="C1292"/>
  <c r="K1291"/>
  <c r="J1291"/>
  <c r="G1291"/>
  <c r="F1291"/>
  <c r="C1291"/>
  <c r="K1290"/>
  <c r="J1290"/>
  <c r="G1290"/>
  <c r="F1290"/>
  <c r="C1290"/>
  <c r="K1289"/>
  <c r="J1289"/>
  <c r="G1289"/>
  <c r="F1289"/>
  <c r="C1289"/>
  <c r="K1288"/>
  <c r="J1288"/>
  <c r="G1288"/>
  <c r="F1288"/>
  <c r="C1288"/>
  <c r="K1287"/>
  <c r="J1287"/>
  <c r="G1287"/>
  <c r="F1287"/>
  <c r="C1287"/>
  <c r="K1286"/>
  <c r="J1286"/>
  <c r="G1286"/>
  <c r="F1286"/>
  <c r="C1286"/>
  <c r="K1285"/>
  <c r="J1285"/>
  <c r="G1285"/>
  <c r="F1285"/>
  <c r="C1285"/>
  <c r="K1284"/>
  <c r="J1284"/>
  <c r="G1284"/>
  <c r="F1284"/>
  <c r="C1284"/>
  <c r="K1283"/>
  <c r="J1283"/>
  <c r="G1283"/>
  <c r="F1283"/>
  <c r="C1283"/>
  <c r="K1282"/>
  <c r="J1282"/>
  <c r="G1282"/>
  <c r="F1282"/>
  <c r="C1282"/>
  <c r="K1281"/>
  <c r="J1281"/>
  <c r="G1281"/>
  <c r="F1281"/>
  <c r="C1281"/>
  <c r="K1280"/>
  <c r="J1280"/>
  <c r="G1280"/>
  <c r="F1280"/>
  <c r="C1280"/>
  <c r="K1279"/>
  <c r="J1279"/>
  <c r="G1279"/>
  <c r="F1279"/>
  <c r="C1279"/>
  <c r="K1278"/>
  <c r="J1278"/>
  <c r="G1278"/>
  <c r="F1278"/>
  <c r="C1278"/>
  <c r="K1277"/>
  <c r="J1277"/>
  <c r="G1277"/>
  <c r="F1277"/>
  <c r="C1277"/>
  <c r="K1276"/>
  <c r="J1276"/>
  <c r="G1276"/>
  <c r="F1276"/>
  <c r="C1276"/>
  <c r="K1275"/>
  <c r="J1275"/>
  <c r="G1275"/>
  <c r="F1275"/>
  <c r="C1275"/>
  <c r="K1274"/>
  <c r="J1274"/>
  <c r="G1274"/>
  <c r="F1274"/>
  <c r="C1274"/>
  <c r="K1273"/>
  <c r="J1273"/>
  <c r="G1273"/>
  <c r="F1273"/>
  <c r="C1273"/>
  <c r="K1272"/>
  <c r="J1272"/>
  <c r="G1272"/>
  <c r="F1272"/>
  <c r="C1272"/>
  <c r="K1271"/>
  <c r="J1271"/>
  <c r="G1271"/>
  <c r="F1271"/>
  <c r="C1271"/>
  <c r="K1270"/>
  <c r="J1270"/>
  <c r="G1270"/>
  <c r="F1270"/>
  <c r="C1270"/>
  <c r="K1269"/>
  <c r="J1269"/>
  <c r="G1269"/>
  <c r="F1269"/>
  <c r="C1269"/>
  <c r="K1268"/>
  <c r="J1268"/>
  <c r="G1268"/>
  <c r="F1268"/>
  <c r="C1268"/>
  <c r="K1267"/>
  <c r="J1267"/>
  <c r="G1267"/>
  <c r="F1267"/>
  <c r="C1267"/>
  <c r="K1266"/>
  <c r="J1266"/>
  <c r="G1266"/>
  <c r="F1266"/>
  <c r="C1266"/>
  <c r="K1265"/>
  <c r="J1265"/>
  <c r="G1265"/>
  <c r="F1265"/>
  <c r="C1265"/>
  <c r="K1264"/>
  <c r="J1264"/>
  <c r="G1264"/>
  <c r="F1264"/>
  <c r="C1264"/>
  <c r="K1263"/>
  <c r="J1263"/>
  <c r="G1263"/>
  <c r="F1263"/>
  <c r="C1263"/>
  <c r="K1262"/>
  <c r="J1262"/>
  <c r="G1262"/>
  <c r="F1262"/>
  <c r="C1262"/>
  <c r="K1261"/>
  <c r="J1261"/>
  <c r="G1261"/>
  <c r="F1261"/>
  <c r="C1261"/>
  <c r="K1260"/>
  <c r="J1260"/>
  <c r="G1260"/>
  <c r="F1260"/>
  <c r="C1260"/>
  <c r="K1259"/>
  <c r="J1259"/>
  <c r="G1259"/>
  <c r="F1259"/>
  <c r="C1259"/>
  <c r="K1258"/>
  <c r="J1258"/>
  <c r="G1258"/>
  <c r="F1258"/>
  <c r="C1258"/>
  <c r="K1257"/>
  <c r="J1257"/>
  <c r="G1257"/>
  <c r="F1257"/>
  <c r="C1257"/>
  <c r="K1256"/>
  <c r="J1256"/>
  <c r="G1256"/>
  <c r="F1256"/>
  <c r="C1256"/>
  <c r="K1255"/>
  <c r="J1255"/>
  <c r="G1255"/>
  <c r="F1255"/>
  <c r="C1255"/>
  <c r="K1254"/>
  <c r="J1254"/>
  <c r="G1254"/>
  <c r="F1254"/>
  <c r="C1254"/>
  <c r="K1253"/>
  <c r="J1253"/>
  <c r="G1253"/>
  <c r="F1253"/>
  <c r="C1253"/>
  <c r="K1252"/>
  <c r="J1252"/>
  <c r="G1252"/>
  <c r="F1252"/>
  <c r="C1252"/>
  <c r="K1251"/>
  <c r="J1251"/>
  <c r="G1251"/>
  <c r="F1251"/>
  <c r="C1251"/>
  <c r="K1250"/>
  <c r="J1250"/>
  <c r="G1250"/>
  <c r="F1250"/>
  <c r="C1250"/>
  <c r="K1249"/>
  <c r="J1249"/>
  <c r="G1249"/>
  <c r="F1249"/>
  <c r="C1249"/>
  <c r="K1248"/>
  <c r="J1248"/>
  <c r="G1248"/>
  <c r="F1248"/>
  <c r="C1248"/>
  <c r="K1247"/>
  <c r="J1247"/>
  <c r="G1247"/>
  <c r="F1247"/>
  <c r="C1247"/>
  <c r="K1246"/>
  <c r="J1246"/>
  <c r="G1246"/>
  <c r="F1246"/>
  <c r="C1246"/>
  <c r="K1245"/>
  <c r="J1245"/>
  <c r="G1245"/>
  <c r="F1245"/>
  <c r="C1245"/>
  <c r="K1244"/>
  <c r="J1244"/>
  <c r="G1244"/>
  <c r="F1244"/>
  <c r="C1244"/>
  <c r="K1243"/>
  <c r="J1243"/>
  <c r="G1243"/>
  <c r="F1243"/>
  <c r="C1243"/>
  <c r="K1242"/>
  <c r="J1242"/>
  <c r="G1242"/>
  <c r="F1242"/>
  <c r="C1242"/>
  <c r="K1241"/>
  <c r="J1241"/>
  <c r="G1241"/>
  <c r="F1241"/>
  <c r="C1241"/>
  <c r="K1240"/>
  <c r="J1240"/>
  <c r="G1240"/>
  <c r="F1240"/>
  <c r="C1240"/>
  <c r="K1239"/>
  <c r="J1239"/>
  <c r="G1239"/>
  <c r="F1239"/>
  <c r="C1239"/>
  <c r="K1238"/>
  <c r="J1238"/>
  <c r="G1238"/>
  <c r="F1238"/>
  <c r="C1238"/>
  <c r="K1237"/>
  <c r="J1237"/>
  <c r="G1237"/>
  <c r="F1237"/>
  <c r="C1237"/>
  <c r="K1236"/>
  <c r="J1236"/>
  <c r="G1236"/>
  <c r="F1236"/>
  <c r="C1236"/>
  <c r="K1235"/>
  <c r="J1235"/>
  <c r="G1235"/>
  <c r="F1235"/>
  <c r="C1235"/>
  <c r="K1234"/>
  <c r="J1234"/>
  <c r="G1234"/>
  <c r="F1234"/>
  <c r="C1234"/>
  <c r="K1233"/>
  <c r="J1233"/>
  <c r="G1233"/>
  <c r="F1233"/>
  <c r="C1233"/>
  <c r="K1232"/>
  <c r="J1232"/>
  <c r="G1232"/>
  <c r="F1232"/>
  <c r="C1232"/>
  <c r="K1231"/>
  <c r="J1231"/>
  <c r="G1231"/>
  <c r="F1231"/>
  <c r="C1231"/>
  <c r="K1230"/>
  <c r="J1230"/>
  <c r="G1230"/>
  <c r="F1230"/>
  <c r="C1230"/>
  <c r="K1229"/>
  <c r="J1229"/>
  <c r="G1229"/>
  <c r="F1229"/>
  <c r="C1229"/>
  <c r="K1228"/>
  <c r="J1228"/>
  <c r="G1228"/>
  <c r="F1228"/>
  <c r="C1228"/>
  <c r="K1227"/>
  <c r="J1227"/>
  <c r="G1227"/>
  <c r="F1227"/>
  <c r="C1227"/>
  <c r="K1226"/>
  <c r="J1226"/>
  <c r="G1226"/>
  <c r="F1226"/>
  <c r="C1226"/>
  <c r="K1225"/>
  <c r="J1225"/>
  <c r="G1225"/>
  <c r="F1225"/>
  <c r="C1225"/>
  <c r="K1224"/>
  <c r="J1224"/>
  <c r="G1224"/>
  <c r="F1224"/>
  <c r="C1224"/>
  <c r="K1223"/>
  <c r="J1223"/>
  <c r="G1223"/>
  <c r="F1223"/>
  <c r="C1223"/>
  <c r="K1222"/>
  <c r="J1222"/>
  <c r="G1222"/>
  <c r="F1222"/>
  <c r="C1222"/>
  <c r="K1221"/>
  <c r="J1221"/>
  <c r="G1221"/>
  <c r="F1221"/>
  <c r="C1221"/>
  <c r="K1220"/>
  <c r="J1220"/>
  <c r="G1220"/>
  <c r="F1220"/>
  <c r="C1220"/>
  <c r="K1219"/>
  <c r="J1219"/>
  <c r="G1219"/>
  <c r="F1219"/>
  <c r="C1219"/>
  <c r="K1218"/>
  <c r="J1218"/>
  <c r="G1218"/>
  <c r="F1218"/>
  <c r="C1218"/>
  <c r="K1217"/>
  <c r="J1217"/>
  <c r="G1217"/>
  <c r="F1217"/>
  <c r="C1217"/>
  <c r="K1216"/>
  <c r="J1216"/>
  <c r="G1216"/>
  <c r="F1216"/>
  <c r="C1216"/>
  <c r="K1215"/>
  <c r="J1215"/>
  <c r="G1215"/>
  <c r="F1215"/>
  <c r="C1215"/>
  <c r="K1214"/>
  <c r="J1214"/>
  <c r="G1214"/>
  <c r="F1214"/>
  <c r="C1214"/>
  <c r="K1213"/>
  <c r="J1213"/>
  <c r="G1213"/>
  <c r="F1213"/>
  <c r="C1213"/>
  <c r="K1212"/>
  <c r="J1212"/>
  <c r="G1212"/>
  <c r="F1212"/>
  <c r="C1212"/>
  <c r="K1211"/>
  <c r="J1211"/>
  <c r="G1211"/>
  <c r="F1211"/>
  <c r="C1211"/>
  <c r="K1210"/>
  <c r="J1210"/>
  <c r="G1210"/>
  <c r="F1210"/>
  <c r="C1210"/>
  <c r="K1209"/>
  <c r="G1209"/>
  <c r="F1209"/>
  <c r="C1209"/>
  <c r="K1208"/>
  <c r="J1208"/>
  <c r="G1208"/>
  <c r="F1208"/>
  <c r="C1208"/>
  <c r="K1207"/>
  <c r="J1207"/>
  <c r="G1207"/>
  <c r="F1207"/>
  <c r="C1207"/>
  <c r="K1206"/>
  <c r="J1206"/>
  <c r="G1206"/>
  <c r="F1206"/>
  <c r="C1206"/>
  <c r="K1205"/>
  <c r="J1205"/>
  <c r="G1205"/>
  <c r="F1205"/>
  <c r="C1205"/>
  <c r="K1204"/>
  <c r="J1204"/>
  <c r="G1204"/>
  <c r="F1204"/>
  <c r="C1204"/>
  <c r="K1203"/>
  <c r="J1203"/>
  <c r="G1203"/>
  <c r="F1203"/>
  <c r="C1203"/>
  <c r="K1202"/>
  <c r="J1202"/>
  <c r="G1202"/>
  <c r="F1202"/>
  <c r="C1202"/>
  <c r="K1201"/>
  <c r="J1201"/>
  <c r="G1201"/>
  <c r="F1201"/>
  <c r="C1201"/>
  <c r="K1200"/>
  <c r="J1200"/>
  <c r="G1200"/>
  <c r="F1200"/>
  <c r="C1200"/>
  <c r="K1199"/>
  <c r="J1199"/>
  <c r="G1199"/>
  <c r="F1199"/>
  <c r="C1199"/>
  <c r="K1198"/>
  <c r="J1198"/>
  <c r="G1198"/>
  <c r="F1198"/>
  <c r="C1198"/>
  <c r="K1197"/>
  <c r="J1197"/>
  <c r="G1197"/>
  <c r="F1197"/>
  <c r="C1197"/>
  <c r="K1196"/>
  <c r="J1196"/>
  <c r="G1196"/>
  <c r="F1196"/>
  <c r="C1196"/>
  <c r="K1195"/>
  <c r="J1195"/>
  <c r="G1195"/>
  <c r="F1195"/>
  <c r="C1195"/>
  <c r="K1194"/>
  <c r="J1194"/>
  <c r="G1194"/>
  <c r="F1194"/>
  <c r="C1194"/>
  <c r="K1193"/>
  <c r="J1193"/>
  <c r="G1193"/>
  <c r="F1193"/>
  <c r="C1193"/>
  <c r="K1192"/>
  <c r="J1192"/>
  <c r="G1192"/>
  <c r="F1192"/>
  <c r="C1192"/>
  <c r="K1191"/>
  <c r="G1191"/>
  <c r="F1191"/>
  <c r="C1191"/>
  <c r="K1190"/>
  <c r="J1190"/>
  <c r="G1190"/>
  <c r="F1190"/>
  <c r="C1190"/>
  <c r="K1189"/>
  <c r="G1189"/>
  <c r="F1189"/>
  <c r="C1189"/>
  <c r="K1188"/>
  <c r="J1188"/>
  <c r="G1188"/>
  <c r="F1188"/>
  <c r="C1188"/>
  <c r="K1187"/>
  <c r="J1187"/>
  <c r="G1187"/>
  <c r="F1187"/>
  <c r="C1187"/>
  <c r="K1186"/>
  <c r="J1186"/>
  <c r="G1186"/>
  <c r="F1186"/>
  <c r="C1186"/>
  <c r="K1185"/>
  <c r="J1185"/>
  <c r="G1185"/>
  <c r="F1185"/>
  <c r="C1185"/>
  <c r="K1184"/>
  <c r="J1184"/>
  <c r="G1184"/>
  <c r="F1184"/>
  <c r="C1184"/>
  <c r="K1183"/>
  <c r="J1183"/>
  <c r="G1183"/>
  <c r="F1183"/>
  <c r="C1183"/>
  <c r="K1182"/>
  <c r="J1182"/>
  <c r="G1182"/>
  <c r="F1182"/>
  <c r="C1182"/>
  <c r="K1181"/>
  <c r="J1181"/>
  <c r="G1181"/>
  <c r="F1181"/>
  <c r="C1181"/>
  <c r="K1180"/>
  <c r="J1180"/>
  <c r="G1180"/>
  <c r="F1180"/>
  <c r="C1180"/>
  <c r="K1179"/>
  <c r="J1179"/>
  <c r="G1179"/>
  <c r="F1179"/>
  <c r="C1179"/>
  <c r="K1178"/>
  <c r="J1178"/>
  <c r="G1178"/>
  <c r="F1178"/>
  <c r="C1178"/>
  <c r="K1177"/>
  <c r="J1177"/>
  <c r="G1177"/>
  <c r="F1177"/>
  <c r="C1177"/>
  <c r="K1176"/>
  <c r="J1176"/>
  <c r="G1176"/>
  <c r="F1176"/>
  <c r="C1176"/>
  <c r="K1175"/>
  <c r="J1175"/>
  <c r="G1175"/>
  <c r="F1175"/>
  <c r="C1175"/>
  <c r="K1174"/>
  <c r="J1174"/>
  <c r="G1174"/>
  <c r="F1174"/>
  <c r="C1174"/>
  <c r="K1173"/>
  <c r="J1173"/>
  <c r="G1173"/>
  <c r="F1173"/>
  <c r="C1173"/>
  <c r="K1172"/>
  <c r="J1172"/>
  <c r="G1172"/>
  <c r="F1172"/>
  <c r="C1172"/>
  <c r="K1171"/>
  <c r="J1171"/>
  <c r="G1171"/>
  <c r="F1171"/>
  <c r="C1171"/>
  <c r="K1170"/>
  <c r="J1170"/>
  <c r="G1170"/>
  <c r="F1170"/>
  <c r="C1170"/>
  <c r="K1169"/>
  <c r="J1169"/>
  <c r="G1169"/>
  <c r="F1169"/>
  <c r="C1169"/>
  <c r="K1168"/>
  <c r="J1168"/>
  <c r="G1168"/>
  <c r="F1168"/>
  <c r="C1168"/>
  <c r="K1167"/>
  <c r="J1167"/>
  <c r="G1167"/>
  <c r="F1167"/>
  <c r="C1167"/>
  <c r="K1166"/>
  <c r="J1166"/>
  <c r="G1166"/>
  <c r="F1166"/>
  <c r="C1166"/>
  <c r="K1165"/>
  <c r="J1165"/>
  <c r="G1165"/>
  <c r="F1165"/>
  <c r="C1165"/>
  <c r="K1164"/>
  <c r="J1164"/>
  <c r="G1164"/>
  <c r="F1164"/>
  <c r="C1164"/>
  <c r="K1163"/>
  <c r="J1163"/>
  <c r="G1163"/>
  <c r="F1163"/>
  <c r="C1163"/>
  <c r="K1162"/>
  <c r="J1162"/>
  <c r="G1162"/>
  <c r="F1162"/>
  <c r="C1162"/>
  <c r="K1161"/>
  <c r="J1161"/>
  <c r="G1161"/>
  <c r="F1161"/>
  <c r="C1161"/>
  <c r="K1160"/>
  <c r="J1160"/>
  <c r="G1160"/>
  <c r="F1160"/>
  <c r="C1160"/>
  <c r="K1159"/>
  <c r="J1159"/>
  <c r="G1159"/>
  <c r="F1159"/>
  <c r="C1159"/>
  <c r="K1158"/>
  <c r="J1158"/>
  <c r="G1158"/>
  <c r="F1158"/>
  <c r="C1158"/>
  <c r="K1157"/>
  <c r="J1157"/>
  <c r="G1157"/>
  <c r="F1157"/>
  <c r="C1157"/>
  <c r="K1156"/>
  <c r="J1156"/>
  <c r="G1156"/>
  <c r="F1156"/>
  <c r="C1156"/>
  <c r="K1155"/>
  <c r="J1155"/>
  <c r="G1155"/>
  <c r="F1155"/>
  <c r="C1155"/>
  <c r="K1154"/>
  <c r="J1154"/>
  <c r="G1154"/>
  <c r="F1154"/>
  <c r="C1154"/>
  <c r="K1153"/>
  <c r="J1153"/>
  <c r="G1153"/>
  <c r="F1153"/>
  <c r="C1153"/>
  <c r="K1152"/>
  <c r="J1152"/>
  <c r="G1152"/>
  <c r="F1152"/>
  <c r="C1152"/>
  <c r="K1151"/>
  <c r="J1151"/>
  <c r="G1151"/>
  <c r="F1151"/>
  <c r="C1151"/>
  <c r="K1150"/>
  <c r="J1150"/>
  <c r="G1150"/>
  <c r="F1150"/>
  <c r="C1150"/>
  <c r="K1149"/>
  <c r="J1149"/>
  <c r="G1149"/>
  <c r="F1149"/>
  <c r="C1149"/>
  <c r="K1148"/>
  <c r="J1148"/>
  <c r="G1148"/>
  <c r="F1148"/>
  <c r="C1148"/>
  <c r="K1147"/>
  <c r="J1147"/>
  <c r="G1147"/>
  <c r="F1147"/>
  <c r="C1147"/>
  <c r="K1146"/>
  <c r="J1146"/>
  <c r="G1146"/>
  <c r="F1146"/>
  <c r="C1146"/>
  <c r="K1145"/>
  <c r="J1145"/>
  <c r="G1145"/>
  <c r="F1145"/>
  <c r="C1145"/>
  <c r="K1144"/>
  <c r="J1144"/>
  <c r="G1144"/>
  <c r="F1144"/>
  <c r="C1144"/>
  <c r="K1143"/>
  <c r="J1143"/>
  <c r="G1143"/>
  <c r="F1143"/>
  <c r="C1143"/>
  <c r="K1142"/>
  <c r="J1142"/>
  <c r="G1142"/>
  <c r="F1142"/>
  <c r="C1142"/>
  <c r="K1141"/>
  <c r="J1141"/>
  <c r="G1141"/>
  <c r="F1141"/>
  <c r="C1141"/>
  <c r="K1140"/>
  <c r="J1140"/>
  <c r="G1140"/>
  <c r="F1140"/>
  <c r="C1140"/>
  <c r="K1139"/>
  <c r="J1139"/>
  <c r="G1139"/>
  <c r="F1139"/>
  <c r="C1139"/>
  <c r="K1138"/>
  <c r="J1138"/>
  <c r="G1138"/>
  <c r="F1138"/>
  <c r="C1138"/>
  <c r="K1137"/>
  <c r="J1137"/>
  <c r="G1137"/>
  <c r="F1137"/>
  <c r="C1137"/>
  <c r="K1136"/>
  <c r="J1136"/>
  <c r="G1136"/>
  <c r="F1136"/>
  <c r="C1136"/>
  <c r="K1135"/>
  <c r="J1135"/>
  <c r="G1135"/>
  <c r="F1135"/>
  <c r="C1135"/>
  <c r="K1134"/>
  <c r="J1134"/>
  <c r="G1134"/>
  <c r="F1134"/>
  <c r="C1134"/>
  <c r="K1133"/>
  <c r="J1133"/>
  <c r="G1133"/>
  <c r="F1133"/>
  <c r="C1133"/>
  <c r="K1132"/>
  <c r="J1132"/>
  <c r="G1132"/>
  <c r="F1132"/>
  <c r="C1132"/>
  <c r="K1131"/>
  <c r="J1131"/>
  <c r="G1131"/>
  <c r="F1131"/>
  <c r="C1131"/>
  <c r="K1130"/>
  <c r="J1130"/>
  <c r="G1130"/>
  <c r="F1130"/>
  <c r="C1130"/>
  <c r="K1129"/>
  <c r="J1129"/>
  <c r="G1129"/>
  <c r="F1129"/>
  <c r="C1129"/>
  <c r="K1128"/>
  <c r="J1128"/>
  <c r="G1128"/>
  <c r="F1128"/>
  <c r="C1128"/>
  <c r="K1127"/>
  <c r="J1127"/>
  <c r="G1127"/>
  <c r="F1127"/>
  <c r="C1127"/>
  <c r="K1126"/>
  <c r="J1126"/>
  <c r="G1126"/>
  <c r="F1126"/>
  <c r="C1126"/>
  <c r="K1125"/>
  <c r="J1125"/>
  <c r="G1125"/>
  <c r="F1125"/>
  <c r="C1125"/>
  <c r="K1124"/>
  <c r="J1124"/>
  <c r="G1124"/>
  <c r="F1124"/>
  <c r="C1124"/>
  <c r="K1123"/>
  <c r="J1123"/>
  <c r="G1123"/>
  <c r="F1123"/>
  <c r="C1123"/>
  <c r="K1122"/>
  <c r="J1122"/>
  <c r="G1122"/>
  <c r="F1122"/>
  <c r="C1122"/>
  <c r="K1121"/>
  <c r="J1121"/>
  <c r="G1121"/>
  <c r="F1121"/>
  <c r="C1121"/>
  <c r="K1120"/>
  <c r="J1120"/>
  <c r="G1120"/>
  <c r="F1120"/>
  <c r="C1120"/>
  <c r="K1119"/>
  <c r="J1119"/>
  <c r="G1119"/>
  <c r="F1119"/>
  <c r="C1119"/>
  <c r="K1118"/>
  <c r="J1118"/>
  <c r="G1118"/>
  <c r="F1118"/>
  <c r="C1118"/>
  <c r="K1117"/>
  <c r="J1117"/>
  <c r="G1117"/>
  <c r="F1117"/>
  <c r="C1117"/>
  <c r="K1116"/>
  <c r="J1116"/>
  <c r="G1116"/>
  <c r="F1116"/>
  <c r="C1116"/>
  <c r="K1115"/>
  <c r="J1115"/>
  <c r="G1115"/>
  <c r="F1115"/>
  <c r="C1115"/>
  <c r="K1114"/>
  <c r="J1114"/>
  <c r="G1114"/>
  <c r="F1114"/>
  <c r="C1114"/>
  <c r="K1113"/>
  <c r="J1113"/>
  <c r="G1113"/>
  <c r="F1113"/>
  <c r="C1113"/>
  <c r="K1112"/>
  <c r="J1112"/>
  <c r="G1112"/>
  <c r="F1112"/>
  <c r="C1112"/>
  <c r="K1111"/>
  <c r="J1111"/>
  <c r="G1111"/>
  <c r="F1111"/>
  <c r="C1111"/>
  <c r="K1110"/>
  <c r="J1110"/>
  <c r="G1110"/>
  <c r="F1110"/>
  <c r="C1110"/>
  <c r="K1109"/>
  <c r="J1109"/>
  <c r="G1109"/>
  <c r="F1109"/>
  <c r="C1109"/>
  <c r="K1108"/>
  <c r="J1108"/>
  <c r="G1108"/>
  <c r="F1108"/>
  <c r="C1108"/>
  <c r="K1107"/>
  <c r="J1107"/>
  <c r="G1107"/>
  <c r="F1107"/>
  <c r="C1107"/>
  <c r="K1106"/>
  <c r="J1106"/>
  <c r="G1106"/>
  <c r="F1106"/>
  <c r="C1106"/>
  <c r="K1105"/>
  <c r="J1105"/>
  <c r="G1105"/>
  <c r="F1105"/>
  <c r="C1105"/>
  <c r="K1104"/>
  <c r="J1104"/>
  <c r="G1104"/>
  <c r="F1104"/>
  <c r="C1104"/>
  <c r="K1103"/>
  <c r="J1103"/>
  <c r="G1103"/>
  <c r="F1103"/>
  <c r="C1103"/>
  <c r="K1102"/>
  <c r="J1102"/>
  <c r="G1102"/>
  <c r="F1102"/>
  <c r="C1102"/>
  <c r="K1101"/>
  <c r="J1101"/>
  <c r="G1101"/>
  <c r="F1101"/>
  <c r="C1101"/>
  <c r="K1100"/>
  <c r="J1100"/>
  <c r="G1100"/>
  <c r="F1100"/>
  <c r="C1100"/>
  <c r="K1099"/>
  <c r="J1099"/>
  <c r="G1099"/>
  <c r="F1099"/>
  <c r="C1099"/>
  <c r="K1098"/>
  <c r="J1098"/>
  <c r="G1098"/>
  <c r="F1098"/>
  <c r="C1098"/>
  <c r="K1097"/>
  <c r="J1097"/>
  <c r="G1097"/>
  <c r="F1097"/>
  <c r="C1097"/>
  <c r="K1096"/>
  <c r="J1096"/>
  <c r="G1096"/>
  <c r="F1096"/>
  <c r="C1096"/>
  <c r="K1095"/>
  <c r="J1095"/>
  <c r="G1095"/>
  <c r="F1095"/>
  <c r="C1095"/>
  <c r="K1094"/>
  <c r="J1094"/>
  <c r="G1094"/>
  <c r="F1094"/>
  <c r="C1094"/>
  <c r="K1093"/>
  <c r="J1093"/>
  <c r="G1093"/>
  <c r="F1093"/>
  <c r="C1093"/>
  <c r="K1092"/>
  <c r="J1092"/>
  <c r="G1092"/>
  <c r="F1092"/>
  <c r="C1092"/>
  <c r="K1091"/>
  <c r="J1091"/>
  <c r="G1091"/>
  <c r="F1091"/>
  <c r="C1091"/>
  <c r="K1090"/>
  <c r="J1090"/>
  <c r="G1090"/>
  <c r="F1090"/>
  <c r="C1090"/>
  <c r="K1089"/>
  <c r="J1089"/>
  <c r="G1089"/>
  <c r="F1089"/>
  <c r="C1089"/>
  <c r="K1088"/>
  <c r="J1088"/>
  <c r="G1088"/>
  <c r="F1088"/>
  <c r="C1088"/>
  <c r="K1087"/>
  <c r="J1087"/>
  <c r="G1087"/>
  <c r="F1087"/>
  <c r="C1087"/>
  <c r="K1086"/>
  <c r="J1086"/>
  <c r="G1086"/>
  <c r="F1086"/>
  <c r="C1086"/>
  <c r="K1085"/>
  <c r="J1085"/>
  <c r="G1085"/>
  <c r="F1085"/>
  <c r="C1085"/>
  <c r="K1084"/>
  <c r="J1084"/>
  <c r="G1084"/>
  <c r="F1084"/>
  <c r="C1084"/>
  <c r="K1083"/>
  <c r="J1083"/>
  <c r="G1083"/>
  <c r="F1083"/>
  <c r="C1083"/>
  <c r="K1082"/>
  <c r="J1082"/>
  <c r="G1082"/>
  <c r="F1082"/>
  <c r="C1082"/>
  <c r="K1081"/>
  <c r="J1081"/>
  <c r="G1081"/>
  <c r="F1081"/>
  <c r="C1081"/>
  <c r="K1080"/>
  <c r="J1080"/>
  <c r="G1080"/>
  <c r="F1080"/>
  <c r="C1080"/>
  <c r="K1079"/>
  <c r="J1079"/>
  <c r="G1079"/>
  <c r="F1079"/>
  <c r="C1079"/>
  <c r="K1078"/>
  <c r="J1078"/>
  <c r="G1078"/>
  <c r="F1078"/>
  <c r="C1078"/>
  <c r="K1077"/>
  <c r="J1077"/>
  <c r="G1077"/>
  <c r="F1077"/>
  <c r="C1077"/>
  <c r="K1076"/>
  <c r="J1076"/>
  <c r="G1076"/>
  <c r="F1076"/>
  <c r="C1076"/>
  <c r="K1075"/>
  <c r="J1075"/>
  <c r="G1075"/>
  <c r="F1075"/>
  <c r="C1075"/>
  <c r="K1074"/>
  <c r="J1074"/>
  <c r="G1074"/>
  <c r="F1074"/>
  <c r="C1074"/>
  <c r="K1073"/>
  <c r="J1073"/>
  <c r="G1073"/>
  <c r="F1073"/>
  <c r="C1073"/>
  <c r="K1072"/>
  <c r="J1072"/>
  <c r="G1072"/>
  <c r="F1072"/>
  <c r="C1072"/>
  <c r="K1071"/>
  <c r="J1071"/>
  <c r="G1071"/>
  <c r="F1071"/>
  <c r="C1071"/>
  <c r="K1070"/>
  <c r="J1070"/>
  <c r="G1070"/>
  <c r="F1070"/>
  <c r="C1070"/>
  <c r="K1069"/>
  <c r="J1069"/>
  <c r="G1069"/>
  <c r="F1069"/>
  <c r="C1069"/>
  <c r="K1068"/>
  <c r="J1068"/>
  <c r="G1068"/>
  <c r="F1068"/>
  <c r="C1068"/>
  <c r="K1067"/>
  <c r="J1067"/>
  <c r="G1067"/>
  <c r="F1067"/>
  <c r="C1067"/>
  <c r="K1066"/>
  <c r="J1066"/>
  <c r="G1066"/>
  <c r="F1066"/>
  <c r="C1066"/>
  <c r="K1065"/>
  <c r="J1065"/>
  <c r="G1065"/>
  <c r="F1065"/>
  <c r="C1065"/>
  <c r="K1064"/>
  <c r="J1064"/>
  <c r="G1064"/>
  <c r="F1064"/>
  <c r="C1064"/>
  <c r="K1063"/>
  <c r="J1063"/>
  <c r="G1063"/>
  <c r="F1063"/>
  <c r="C1063"/>
  <c r="K1062"/>
  <c r="J1062"/>
  <c r="G1062"/>
  <c r="F1062"/>
  <c r="C1062"/>
  <c r="K1061"/>
  <c r="J1061"/>
  <c r="G1061"/>
  <c r="F1061"/>
  <c r="C1061"/>
  <c r="K1060"/>
  <c r="J1060"/>
  <c r="G1060"/>
  <c r="F1060"/>
  <c r="C1060"/>
  <c r="K1059"/>
  <c r="J1059"/>
  <c r="G1059"/>
  <c r="F1059"/>
  <c r="C1059"/>
  <c r="K1058"/>
  <c r="J1058"/>
  <c r="G1058"/>
  <c r="F1058"/>
  <c r="C1058"/>
  <c r="K1057"/>
  <c r="J1057"/>
  <c r="G1057"/>
  <c r="F1057"/>
  <c r="C1057"/>
  <c r="K1056"/>
  <c r="J1056"/>
  <c r="G1056"/>
  <c r="F1056"/>
  <c r="C1056"/>
  <c r="K1055"/>
  <c r="J1055"/>
  <c r="G1055"/>
  <c r="F1055"/>
  <c r="C1055"/>
  <c r="K1054"/>
  <c r="G1054"/>
  <c r="F1054"/>
  <c r="C1054"/>
  <c r="K1053"/>
  <c r="J1053"/>
  <c r="G1053"/>
  <c r="F1053"/>
  <c r="C1053"/>
  <c r="K1052"/>
  <c r="J1052"/>
  <c r="G1052"/>
  <c r="F1052"/>
  <c r="C1052"/>
  <c r="K1051"/>
  <c r="J1051"/>
  <c r="G1051"/>
  <c r="F1051"/>
  <c r="C1051"/>
  <c r="K1050"/>
  <c r="J1050"/>
  <c r="G1050"/>
  <c r="F1050"/>
  <c r="C1050"/>
  <c r="K1049"/>
  <c r="J1049"/>
  <c r="G1049"/>
  <c r="F1049"/>
  <c r="C1049"/>
  <c r="K1048"/>
  <c r="J1048"/>
  <c r="G1048"/>
  <c r="F1048"/>
  <c r="C1048"/>
  <c r="K1047"/>
  <c r="J1047"/>
  <c r="G1047"/>
  <c r="F1047"/>
  <c r="C1047"/>
  <c r="K1046"/>
  <c r="J1046"/>
  <c r="G1046"/>
  <c r="F1046"/>
  <c r="C1046"/>
  <c r="K1045"/>
  <c r="J1045"/>
  <c r="G1045"/>
  <c r="F1045"/>
  <c r="C1045"/>
  <c r="K1044"/>
  <c r="J1044"/>
  <c r="G1044"/>
  <c r="F1044"/>
  <c r="C1044"/>
  <c r="K1043"/>
  <c r="J1043"/>
  <c r="G1043"/>
  <c r="F1043"/>
  <c r="C1043"/>
  <c r="K1042"/>
  <c r="J1042"/>
  <c r="G1042"/>
  <c r="F1042"/>
  <c r="C1042"/>
  <c r="K1041"/>
  <c r="J1041"/>
  <c r="G1041"/>
  <c r="F1041"/>
  <c r="C1041"/>
  <c r="K1040"/>
  <c r="J1040"/>
  <c r="G1040"/>
  <c r="F1040"/>
  <c r="C1040"/>
  <c r="K1039"/>
  <c r="J1039"/>
  <c r="G1039"/>
  <c r="F1039"/>
  <c r="C1039"/>
  <c r="K1038"/>
  <c r="J1038"/>
  <c r="G1038"/>
  <c r="F1038"/>
  <c r="C1038"/>
  <c r="K1037"/>
  <c r="J1037"/>
  <c r="G1037"/>
  <c r="F1037"/>
  <c r="C1037"/>
  <c r="K1036"/>
  <c r="J1036"/>
  <c r="G1036"/>
  <c r="F1036"/>
  <c r="C1036"/>
  <c r="K1035"/>
  <c r="J1035"/>
  <c r="G1035"/>
  <c r="F1035"/>
  <c r="C1035"/>
  <c r="K1034"/>
  <c r="J1034"/>
  <c r="G1034"/>
  <c r="F1034"/>
  <c r="C1034"/>
  <c r="K1033"/>
  <c r="J1033"/>
  <c r="G1033"/>
  <c r="F1033"/>
  <c r="C1033"/>
  <c r="K1032"/>
  <c r="J1032"/>
  <c r="G1032"/>
  <c r="F1032"/>
  <c r="C1032"/>
  <c r="K1031"/>
  <c r="J1031"/>
  <c r="G1031"/>
  <c r="F1031"/>
  <c r="C1031"/>
  <c r="K1030"/>
  <c r="J1030"/>
  <c r="G1030"/>
  <c r="F1030"/>
  <c r="C1030"/>
  <c r="K1029"/>
  <c r="J1029"/>
  <c r="G1029"/>
  <c r="F1029"/>
  <c r="C1029"/>
  <c r="K1028"/>
  <c r="J1028"/>
  <c r="G1028"/>
  <c r="F1028"/>
  <c r="C1028"/>
  <c r="K1027"/>
  <c r="J1027"/>
  <c r="G1027"/>
  <c r="F1027"/>
  <c r="C1027"/>
  <c r="K1026"/>
  <c r="J1026"/>
  <c r="G1026"/>
  <c r="F1026"/>
  <c r="C1026"/>
  <c r="K1025"/>
  <c r="J1025"/>
  <c r="G1025"/>
  <c r="F1025"/>
  <c r="C1025"/>
  <c r="K1024"/>
  <c r="J1024"/>
  <c r="G1024"/>
  <c r="F1024"/>
  <c r="C1024"/>
  <c r="K1023"/>
  <c r="J1023"/>
  <c r="G1023"/>
  <c r="F1023"/>
  <c r="C1023"/>
  <c r="K1022"/>
  <c r="J1022"/>
  <c r="G1022"/>
  <c r="F1022"/>
  <c r="C1022"/>
  <c r="K1021"/>
  <c r="J1021"/>
  <c r="G1021"/>
  <c r="F1021"/>
  <c r="C1021"/>
  <c r="K1020"/>
  <c r="J1020"/>
  <c r="G1020"/>
  <c r="F1020"/>
  <c r="C1020"/>
  <c r="K1019"/>
  <c r="J1019"/>
  <c r="G1019"/>
  <c r="F1019"/>
  <c r="C1019"/>
  <c r="K1018"/>
  <c r="J1018"/>
  <c r="G1018"/>
  <c r="F1018"/>
  <c r="C1018"/>
  <c r="K1017"/>
  <c r="J1017"/>
  <c r="G1017"/>
  <c r="F1017"/>
  <c r="C1017"/>
  <c r="K1016"/>
  <c r="J1016"/>
  <c r="G1016"/>
  <c r="F1016"/>
  <c r="C1016"/>
  <c r="K1015"/>
  <c r="J1015"/>
  <c r="G1015"/>
  <c r="F1015"/>
  <c r="C1015"/>
  <c r="K1014"/>
  <c r="J1014"/>
  <c r="G1014"/>
  <c r="F1014"/>
  <c r="C1014"/>
  <c r="K1013"/>
  <c r="J1013"/>
  <c r="G1013"/>
  <c r="F1013"/>
  <c r="C1013"/>
  <c r="K1012"/>
  <c r="J1012"/>
  <c r="G1012"/>
  <c r="F1012"/>
  <c r="C1012"/>
  <c r="K1011"/>
  <c r="J1011"/>
  <c r="G1011"/>
  <c r="F1011"/>
  <c r="C1011"/>
  <c r="K1010"/>
  <c r="J1010"/>
  <c r="G1010"/>
  <c r="F1010"/>
  <c r="C1010"/>
  <c r="K1009"/>
  <c r="J1009"/>
  <c r="G1009"/>
  <c r="F1009"/>
  <c r="C1009"/>
  <c r="K1008"/>
  <c r="J1008"/>
  <c r="G1008"/>
  <c r="F1008"/>
  <c r="C1008"/>
  <c r="K1007"/>
  <c r="J1007"/>
  <c r="G1007"/>
  <c r="F1007"/>
  <c r="C1007"/>
  <c r="K1006"/>
  <c r="J1006"/>
  <c r="G1006"/>
  <c r="F1006"/>
  <c r="C1006"/>
  <c r="K1005"/>
  <c r="J1005"/>
  <c r="G1005"/>
  <c r="F1005"/>
  <c r="C1005"/>
  <c r="K1004"/>
  <c r="J1004"/>
  <c r="G1004"/>
  <c r="F1004"/>
  <c r="C1004"/>
  <c r="K1003"/>
  <c r="J1003"/>
  <c r="G1003"/>
  <c r="F1003"/>
  <c r="C1003"/>
  <c r="K1002"/>
  <c r="J1002"/>
  <c r="G1002"/>
  <c r="F1002"/>
  <c r="C1002"/>
  <c r="K1001"/>
  <c r="J1001"/>
  <c r="G1001"/>
  <c r="F1001"/>
  <c r="C1001"/>
  <c r="K1000"/>
  <c r="J1000"/>
  <c r="G1000"/>
  <c r="F1000"/>
  <c r="C1000"/>
  <c r="K999"/>
  <c r="J999"/>
  <c r="G999"/>
  <c r="F999"/>
  <c r="C999"/>
  <c r="K998"/>
  <c r="J998"/>
  <c r="G998"/>
  <c r="F998"/>
  <c r="C998"/>
  <c r="K997"/>
  <c r="J997"/>
  <c r="G997"/>
  <c r="F997"/>
  <c r="C997"/>
  <c r="K996"/>
  <c r="J996"/>
  <c r="G996"/>
  <c r="F996"/>
  <c r="C996"/>
  <c r="K995"/>
  <c r="J995"/>
  <c r="G995"/>
  <c r="F995"/>
  <c r="C995"/>
  <c r="K994"/>
  <c r="J994"/>
  <c r="G994"/>
  <c r="F994"/>
  <c r="C994"/>
  <c r="K993"/>
  <c r="J993"/>
  <c r="G993"/>
  <c r="F993"/>
  <c r="C993"/>
  <c r="K992"/>
  <c r="J992"/>
  <c r="G992"/>
  <c r="F992"/>
  <c r="C992"/>
  <c r="K991"/>
  <c r="J991"/>
  <c r="G991"/>
  <c r="F991"/>
  <c r="C991"/>
  <c r="K990"/>
  <c r="J990"/>
  <c r="G990"/>
  <c r="F990"/>
  <c r="C990"/>
  <c r="K989"/>
  <c r="J989"/>
  <c r="G989"/>
  <c r="F989"/>
  <c r="C989"/>
  <c r="K988"/>
  <c r="J988"/>
  <c r="G988"/>
  <c r="F988"/>
  <c r="C988"/>
  <c r="K987"/>
  <c r="J987"/>
  <c r="G987"/>
  <c r="F987"/>
  <c r="C987"/>
  <c r="K986"/>
  <c r="J986"/>
  <c r="G986"/>
  <c r="F986"/>
  <c r="C986"/>
  <c r="K985"/>
  <c r="J985"/>
  <c r="G985"/>
  <c r="F985"/>
  <c r="C985"/>
  <c r="K984"/>
  <c r="J984"/>
  <c r="G984"/>
  <c r="F984"/>
  <c r="C984"/>
  <c r="K983"/>
  <c r="J983"/>
  <c r="G983"/>
  <c r="F983"/>
  <c r="C983"/>
  <c r="K982"/>
  <c r="J982"/>
  <c r="G982"/>
  <c r="F982"/>
  <c r="C982"/>
  <c r="K981"/>
  <c r="J981"/>
  <c r="G981"/>
  <c r="F981"/>
  <c r="C981"/>
  <c r="K980"/>
  <c r="J980"/>
  <c r="G980"/>
  <c r="F980"/>
  <c r="C980"/>
  <c r="K979"/>
  <c r="J979"/>
  <c r="G979"/>
  <c r="F979"/>
  <c r="C979"/>
  <c r="K978"/>
  <c r="J978"/>
  <c r="G978"/>
  <c r="F978"/>
  <c r="C978"/>
  <c r="K977"/>
  <c r="J977"/>
  <c r="G977"/>
  <c r="F977"/>
  <c r="C977"/>
  <c r="K976"/>
  <c r="J976"/>
  <c r="G976"/>
  <c r="F976"/>
  <c r="C976"/>
  <c r="K975"/>
  <c r="J975"/>
  <c r="G975"/>
  <c r="F975"/>
  <c r="C975"/>
  <c r="K974"/>
  <c r="J974"/>
  <c r="G974"/>
  <c r="F974"/>
  <c r="C974"/>
  <c r="K973"/>
  <c r="J973"/>
  <c r="G973"/>
  <c r="F973"/>
  <c r="C973"/>
  <c r="K972"/>
  <c r="J972"/>
  <c r="G972"/>
  <c r="F972"/>
  <c r="C972"/>
  <c r="K971"/>
  <c r="J971"/>
  <c r="G971"/>
  <c r="F971"/>
  <c r="C971"/>
  <c r="K970"/>
  <c r="J970"/>
  <c r="G970"/>
  <c r="F970"/>
  <c r="C970"/>
  <c r="K969"/>
  <c r="J969"/>
  <c r="G969"/>
  <c r="F969"/>
  <c r="C969"/>
  <c r="K968"/>
  <c r="J968"/>
  <c r="G968"/>
  <c r="F968"/>
  <c r="C968"/>
  <c r="K967"/>
  <c r="J967"/>
  <c r="G967"/>
  <c r="F967"/>
  <c r="C967"/>
  <c r="K966"/>
  <c r="J966"/>
  <c r="G966"/>
  <c r="F966"/>
  <c r="C966"/>
  <c r="K965"/>
  <c r="J965"/>
  <c r="G965"/>
  <c r="F965"/>
  <c r="C965"/>
  <c r="K964"/>
  <c r="J964"/>
  <c r="G964"/>
  <c r="F964"/>
  <c r="C964"/>
  <c r="K963"/>
  <c r="J963"/>
  <c r="G963"/>
  <c r="F963"/>
  <c r="C963"/>
  <c r="K962"/>
  <c r="J962"/>
  <c r="G962"/>
  <c r="F962"/>
  <c r="C962"/>
  <c r="K961"/>
  <c r="J961"/>
  <c r="G961"/>
  <c r="F961"/>
  <c r="C961"/>
  <c r="K960"/>
  <c r="J960"/>
  <c r="G960"/>
  <c r="F960"/>
  <c r="C960"/>
  <c r="K959"/>
  <c r="J959"/>
  <c r="G959"/>
  <c r="F959"/>
  <c r="C959"/>
  <c r="K958"/>
  <c r="J958"/>
  <c r="G958"/>
  <c r="F958"/>
  <c r="C958"/>
  <c r="K957"/>
  <c r="J957"/>
  <c r="G957"/>
  <c r="F957"/>
  <c r="C957"/>
  <c r="K956"/>
  <c r="J956"/>
  <c r="G956"/>
  <c r="F956"/>
  <c r="C956"/>
  <c r="K955"/>
  <c r="J955"/>
  <c r="G955"/>
  <c r="F955"/>
  <c r="C955"/>
  <c r="K954"/>
  <c r="J954"/>
  <c r="G954"/>
  <c r="F954"/>
  <c r="C954"/>
  <c r="K953"/>
  <c r="J953"/>
  <c r="G953"/>
  <c r="F953"/>
  <c r="C953"/>
  <c r="K952"/>
  <c r="J952"/>
  <c r="G952"/>
  <c r="F952"/>
  <c r="C952"/>
  <c r="K951"/>
  <c r="J951"/>
  <c r="G951"/>
  <c r="F951"/>
  <c r="C951"/>
  <c r="K950"/>
  <c r="J950"/>
  <c r="G950"/>
  <c r="F950"/>
  <c r="C950"/>
  <c r="K949"/>
  <c r="J949"/>
  <c r="G949"/>
  <c r="F949"/>
  <c r="C949"/>
  <c r="K948"/>
  <c r="J948"/>
  <c r="G948"/>
  <c r="F948"/>
  <c r="C948"/>
  <c r="K947"/>
  <c r="J947"/>
  <c r="G947"/>
  <c r="F947"/>
  <c r="C947"/>
  <c r="K946"/>
  <c r="J946"/>
  <c r="G946"/>
  <c r="F946"/>
  <c r="C946"/>
  <c r="K945"/>
  <c r="J945"/>
  <c r="G945"/>
  <c r="F945"/>
  <c r="C945"/>
  <c r="K944"/>
  <c r="J944"/>
  <c r="G944"/>
  <c r="F944"/>
  <c r="C944"/>
  <c r="K943"/>
  <c r="J943"/>
  <c r="G943"/>
  <c r="F943"/>
  <c r="C943"/>
  <c r="K942"/>
  <c r="J942"/>
  <c r="G942"/>
  <c r="F942"/>
  <c r="C942"/>
  <c r="K941"/>
  <c r="J941"/>
  <c r="G941"/>
  <c r="F941"/>
  <c r="C941"/>
  <c r="K940"/>
  <c r="J940"/>
  <c r="G940"/>
  <c r="F940"/>
  <c r="C940"/>
  <c r="K939"/>
  <c r="J939"/>
  <c r="G939"/>
  <c r="F939"/>
  <c r="C939"/>
  <c r="K938"/>
  <c r="J938"/>
  <c r="G938"/>
  <c r="F938"/>
  <c r="C938"/>
  <c r="K937"/>
  <c r="J937"/>
  <c r="G937"/>
  <c r="F937"/>
  <c r="C937"/>
  <c r="K936"/>
  <c r="J936"/>
  <c r="G936"/>
  <c r="F936"/>
  <c r="C936"/>
  <c r="K935"/>
  <c r="J935"/>
  <c r="G935"/>
  <c r="F935"/>
  <c r="C935"/>
  <c r="K934"/>
  <c r="J934"/>
  <c r="G934"/>
  <c r="F934"/>
  <c r="C934"/>
  <c r="K933"/>
  <c r="J933"/>
  <c r="G933"/>
  <c r="F933"/>
  <c r="C933"/>
  <c r="K932"/>
  <c r="J932"/>
  <c r="G932"/>
  <c r="F932"/>
  <c r="C932"/>
  <c r="K931"/>
  <c r="J931"/>
  <c r="G931"/>
  <c r="F931"/>
  <c r="C931"/>
  <c r="K930"/>
  <c r="J930"/>
  <c r="G930"/>
  <c r="F930"/>
  <c r="C930"/>
  <c r="K929"/>
  <c r="J929"/>
  <c r="G929"/>
  <c r="F929"/>
  <c r="C929"/>
  <c r="K928"/>
  <c r="J928"/>
  <c r="G928"/>
  <c r="F928"/>
  <c r="C928"/>
  <c r="K927"/>
  <c r="J927"/>
  <c r="G927"/>
  <c r="F927"/>
  <c r="C927"/>
  <c r="K926"/>
  <c r="J926"/>
  <c r="G926"/>
  <c r="F926"/>
  <c r="C926"/>
  <c r="K925"/>
  <c r="J925"/>
  <c r="G925"/>
  <c r="F925"/>
  <c r="C925"/>
  <c r="K924"/>
  <c r="J924"/>
  <c r="G924"/>
  <c r="F924"/>
  <c r="C924"/>
  <c r="K923"/>
  <c r="J923"/>
  <c r="G923"/>
  <c r="F923"/>
  <c r="C923"/>
  <c r="K922"/>
  <c r="J922"/>
  <c r="G922"/>
  <c r="F922"/>
  <c r="C922"/>
  <c r="K921"/>
  <c r="J921"/>
  <c r="G921"/>
  <c r="F921"/>
  <c r="C921"/>
  <c r="K920"/>
  <c r="J920"/>
  <c r="G920"/>
  <c r="F920"/>
  <c r="C920"/>
  <c r="K919"/>
  <c r="J919"/>
  <c r="G919"/>
  <c r="F919"/>
  <c r="C919"/>
  <c r="K918"/>
  <c r="J918"/>
  <c r="G918"/>
  <c r="F918"/>
  <c r="C918"/>
  <c r="K917"/>
  <c r="J917"/>
  <c r="G917"/>
  <c r="F917"/>
  <c r="C917"/>
  <c r="K916"/>
  <c r="J916"/>
  <c r="G916"/>
  <c r="F916"/>
  <c r="C916"/>
  <c r="K915"/>
  <c r="J915"/>
  <c r="G915"/>
  <c r="F915"/>
  <c r="C915"/>
  <c r="K914"/>
  <c r="J914"/>
  <c r="G914"/>
  <c r="F914"/>
  <c r="C914"/>
  <c r="K913"/>
  <c r="J913"/>
  <c r="G913"/>
  <c r="F913"/>
  <c r="C913"/>
  <c r="K912"/>
  <c r="J912"/>
  <c r="G912"/>
  <c r="F912"/>
  <c r="C912"/>
  <c r="K911"/>
  <c r="J911"/>
  <c r="G911"/>
  <c r="F911"/>
  <c r="C911"/>
  <c r="K910"/>
  <c r="J910"/>
  <c r="G910"/>
  <c r="F910"/>
  <c r="C910"/>
  <c r="K909"/>
  <c r="J909"/>
  <c r="G909"/>
  <c r="F909"/>
  <c r="C909"/>
  <c r="K908"/>
  <c r="J908"/>
  <c r="G908"/>
  <c r="F908"/>
  <c r="C908"/>
  <c r="K907"/>
  <c r="J907"/>
  <c r="G907"/>
  <c r="F907"/>
  <c r="C907"/>
  <c r="K906"/>
  <c r="J906"/>
  <c r="G906"/>
  <c r="F906"/>
  <c r="C906"/>
  <c r="K905"/>
  <c r="J905"/>
  <c r="G905"/>
  <c r="F905"/>
  <c r="C905"/>
  <c r="K904"/>
  <c r="J904"/>
  <c r="G904"/>
  <c r="F904"/>
  <c r="C904"/>
  <c r="K903"/>
  <c r="J903"/>
  <c r="G903"/>
  <c r="F903"/>
  <c r="C903"/>
  <c r="K902"/>
  <c r="J902"/>
  <c r="G902"/>
  <c r="F902"/>
  <c r="C902"/>
  <c r="K901"/>
  <c r="J901"/>
  <c r="G901"/>
  <c r="F901"/>
  <c r="C901"/>
  <c r="K900"/>
  <c r="G900"/>
  <c r="F900"/>
  <c r="C900"/>
  <c r="K899"/>
  <c r="J899"/>
  <c r="G899"/>
  <c r="F899"/>
  <c r="C899"/>
  <c r="K898"/>
  <c r="G898"/>
  <c r="F898"/>
  <c r="C898"/>
  <c r="K897"/>
  <c r="J897"/>
  <c r="G897"/>
  <c r="F897"/>
  <c r="C897"/>
  <c r="K896"/>
  <c r="J896"/>
  <c r="G896"/>
  <c r="F896"/>
  <c r="C896"/>
  <c r="K895"/>
  <c r="J895"/>
  <c r="G895"/>
  <c r="F895"/>
  <c r="C895"/>
  <c r="K894"/>
  <c r="J894"/>
  <c r="G894"/>
  <c r="F894"/>
  <c r="C894"/>
  <c r="K893"/>
  <c r="J893"/>
  <c r="G893"/>
  <c r="F893"/>
  <c r="C893"/>
  <c r="K892"/>
  <c r="J892"/>
  <c r="G892"/>
  <c r="F892"/>
  <c r="C892"/>
  <c r="K891"/>
  <c r="J891"/>
  <c r="G891"/>
  <c r="F891"/>
  <c r="C891"/>
  <c r="K890"/>
  <c r="J890"/>
  <c r="G890"/>
  <c r="F890"/>
  <c r="C890"/>
  <c r="K889"/>
  <c r="J889"/>
  <c r="G889"/>
  <c r="F889"/>
  <c r="C889"/>
  <c r="K888"/>
  <c r="J888"/>
  <c r="G888"/>
  <c r="F888"/>
  <c r="C888"/>
  <c r="K887"/>
  <c r="J887"/>
  <c r="G887"/>
  <c r="F887"/>
  <c r="C887"/>
  <c r="K886"/>
  <c r="J886"/>
  <c r="G886"/>
  <c r="F886"/>
  <c r="C886"/>
  <c r="K885"/>
  <c r="J885"/>
  <c r="G885"/>
  <c r="F885"/>
  <c r="C885"/>
  <c r="K884"/>
  <c r="J884"/>
  <c r="G884"/>
  <c r="F884"/>
  <c r="C884"/>
  <c r="K883"/>
  <c r="J883"/>
  <c r="G883"/>
  <c r="F883"/>
  <c r="C883"/>
  <c r="K882"/>
  <c r="J882"/>
  <c r="G882"/>
  <c r="F882"/>
  <c r="C882"/>
  <c r="K881"/>
  <c r="J881"/>
  <c r="G881"/>
  <c r="F881"/>
  <c r="C881"/>
  <c r="K880"/>
  <c r="J880"/>
  <c r="G880"/>
  <c r="F880"/>
  <c r="C880"/>
  <c r="K879"/>
  <c r="J879"/>
  <c r="G879"/>
  <c r="F879"/>
  <c r="C879"/>
  <c r="K878"/>
  <c r="J878"/>
  <c r="G878"/>
  <c r="F878"/>
  <c r="C878"/>
  <c r="K877"/>
  <c r="J877"/>
  <c r="G877"/>
  <c r="F877"/>
  <c r="C877"/>
  <c r="K876"/>
  <c r="J876"/>
  <c r="G876"/>
  <c r="F876"/>
  <c r="C876"/>
  <c r="K875"/>
  <c r="J875"/>
  <c r="G875"/>
  <c r="F875"/>
  <c r="C875"/>
  <c r="K874"/>
  <c r="J874"/>
  <c r="G874"/>
  <c r="F874"/>
  <c r="C874"/>
  <c r="K873"/>
  <c r="J873"/>
  <c r="G873"/>
  <c r="F873"/>
  <c r="C873"/>
  <c r="K872"/>
  <c r="J872"/>
  <c r="G872"/>
  <c r="F872"/>
  <c r="C872"/>
  <c r="K871"/>
  <c r="J871"/>
  <c r="G871"/>
  <c r="F871"/>
  <c r="C871"/>
  <c r="K870"/>
  <c r="J870"/>
  <c r="G870"/>
  <c r="F870"/>
  <c r="C870"/>
  <c r="K869"/>
  <c r="J869"/>
  <c r="G869"/>
  <c r="F869"/>
  <c r="C869"/>
  <c r="K868"/>
  <c r="J868"/>
  <c r="G868"/>
  <c r="F868"/>
  <c r="C868"/>
  <c r="K867"/>
  <c r="J867"/>
  <c r="G867"/>
  <c r="F867"/>
  <c r="C867"/>
  <c r="K866"/>
  <c r="J866"/>
  <c r="G866"/>
  <c r="F866"/>
  <c r="C866"/>
  <c r="K865"/>
  <c r="J865"/>
  <c r="G865"/>
  <c r="F865"/>
  <c r="C865"/>
  <c r="K864"/>
  <c r="J864"/>
  <c r="G864"/>
  <c r="F864"/>
  <c r="C864"/>
  <c r="K863"/>
  <c r="J863"/>
  <c r="G863"/>
  <c r="F863"/>
  <c r="C863"/>
  <c r="K862"/>
  <c r="J862"/>
  <c r="G862"/>
  <c r="F862"/>
  <c r="C862"/>
  <c r="K861"/>
  <c r="J861"/>
  <c r="G861"/>
  <c r="F861"/>
  <c r="C861"/>
  <c r="K860"/>
  <c r="J860"/>
  <c r="G860"/>
  <c r="F860"/>
  <c r="C860"/>
  <c r="K859"/>
  <c r="J859"/>
  <c r="G859"/>
  <c r="F859"/>
  <c r="C859"/>
  <c r="K858"/>
  <c r="J858"/>
  <c r="G858"/>
  <c r="F858"/>
  <c r="C858"/>
  <c r="K857"/>
  <c r="J857"/>
  <c r="G857"/>
  <c r="F857"/>
  <c r="C857"/>
  <c r="K856"/>
  <c r="J856"/>
  <c r="G856"/>
  <c r="F856"/>
  <c r="C856"/>
  <c r="K855"/>
  <c r="J855"/>
  <c r="G855"/>
  <c r="F855"/>
  <c r="C855"/>
  <c r="K854"/>
  <c r="J854"/>
  <c r="G854"/>
  <c r="F854"/>
  <c r="C854"/>
  <c r="K853"/>
  <c r="J853"/>
  <c r="G853"/>
  <c r="F853"/>
  <c r="C853"/>
  <c r="K852"/>
  <c r="J852"/>
  <c r="G852"/>
  <c r="F852"/>
  <c r="C852"/>
  <c r="K851"/>
  <c r="J851"/>
  <c r="G851"/>
  <c r="F851"/>
  <c r="C851"/>
  <c r="K850"/>
  <c r="J850"/>
  <c r="G850"/>
  <c r="F850"/>
  <c r="C850"/>
  <c r="K849"/>
  <c r="J849"/>
  <c r="G849"/>
  <c r="F849"/>
  <c r="C849"/>
  <c r="K848"/>
  <c r="J848"/>
  <c r="G848"/>
  <c r="F848"/>
  <c r="C848"/>
  <c r="K847"/>
  <c r="J847"/>
  <c r="G847"/>
  <c r="F847"/>
  <c r="C847"/>
  <c r="K846"/>
  <c r="J846"/>
  <c r="G846"/>
  <c r="F846"/>
  <c r="C846"/>
  <c r="K845"/>
  <c r="J845"/>
  <c r="G845"/>
  <c r="F845"/>
  <c r="C845"/>
  <c r="K844"/>
  <c r="J844"/>
  <c r="G844"/>
  <c r="F844"/>
  <c r="C844"/>
  <c r="K843"/>
  <c r="J843"/>
  <c r="G843"/>
  <c r="F843"/>
  <c r="C843"/>
  <c r="K842"/>
  <c r="J842"/>
  <c r="G842"/>
  <c r="F842"/>
  <c r="C842"/>
  <c r="K841"/>
  <c r="J841"/>
  <c r="G841"/>
  <c r="F841"/>
  <c r="C841"/>
  <c r="K840"/>
  <c r="J840"/>
  <c r="G840"/>
  <c r="F840"/>
  <c r="C840"/>
  <c r="K839"/>
  <c r="J839"/>
  <c r="G839"/>
  <c r="F839"/>
  <c r="C839"/>
  <c r="K838"/>
  <c r="J838"/>
  <c r="G838"/>
  <c r="F838"/>
  <c r="C838"/>
  <c r="K837"/>
  <c r="J837"/>
  <c r="G837"/>
  <c r="F837"/>
  <c r="C837"/>
  <c r="K836"/>
  <c r="J836"/>
  <c r="G836"/>
  <c r="F836"/>
  <c r="C836"/>
  <c r="K835"/>
  <c r="J835"/>
  <c r="G835"/>
  <c r="F835"/>
  <c r="C835"/>
  <c r="K834"/>
  <c r="J834"/>
  <c r="G834"/>
  <c r="F834"/>
  <c r="C834"/>
  <c r="K833"/>
  <c r="J833"/>
  <c r="G833"/>
  <c r="F833"/>
  <c r="C833"/>
  <c r="K832"/>
  <c r="J832"/>
  <c r="G832"/>
  <c r="F832"/>
  <c r="C832"/>
  <c r="K831"/>
  <c r="J831"/>
  <c r="G831"/>
  <c r="F831"/>
  <c r="C831"/>
  <c r="K830"/>
  <c r="J830"/>
  <c r="G830"/>
  <c r="F830"/>
  <c r="C830"/>
  <c r="K829"/>
  <c r="J829"/>
  <c r="G829"/>
  <c r="F829"/>
  <c r="C829"/>
  <c r="K828"/>
  <c r="J828"/>
  <c r="G828"/>
  <c r="F828"/>
  <c r="C828"/>
  <c r="K827"/>
  <c r="J827"/>
  <c r="G827"/>
  <c r="F827"/>
  <c r="C827"/>
  <c r="K826"/>
  <c r="J826"/>
  <c r="G826"/>
  <c r="F826"/>
  <c r="C826"/>
  <c r="K825"/>
  <c r="J825"/>
  <c r="G825"/>
  <c r="F825"/>
  <c r="C825"/>
  <c r="K824"/>
  <c r="J824"/>
  <c r="G824"/>
  <c r="F824"/>
  <c r="C824"/>
  <c r="K823"/>
  <c r="J823"/>
  <c r="G823"/>
  <c r="F823"/>
  <c r="C823"/>
  <c r="K822"/>
  <c r="J822"/>
  <c r="G822"/>
  <c r="F822"/>
  <c r="C822"/>
  <c r="K821"/>
  <c r="J821"/>
  <c r="G821"/>
  <c r="F821"/>
  <c r="C821"/>
  <c r="K820"/>
  <c r="J820"/>
  <c r="G820"/>
  <c r="F820"/>
  <c r="C820"/>
  <c r="K819"/>
  <c r="J819"/>
  <c r="G819"/>
  <c r="F819"/>
  <c r="C819"/>
  <c r="K818"/>
  <c r="J818"/>
  <c r="G818"/>
  <c r="F818"/>
  <c r="C818"/>
  <c r="K817"/>
  <c r="J817"/>
  <c r="G817"/>
  <c r="F817"/>
  <c r="C817"/>
  <c r="K816"/>
  <c r="J816"/>
  <c r="G816"/>
  <c r="F816"/>
  <c r="C816"/>
  <c r="K815"/>
  <c r="J815"/>
  <c r="G815"/>
  <c r="F815"/>
  <c r="C815"/>
  <c r="K814"/>
  <c r="J814"/>
  <c r="G814"/>
  <c r="F814"/>
  <c r="C814"/>
  <c r="K813"/>
  <c r="J813"/>
  <c r="G813"/>
  <c r="F813"/>
  <c r="C813"/>
  <c r="K812"/>
  <c r="J812"/>
  <c r="G812"/>
  <c r="F812"/>
  <c r="C812"/>
  <c r="K811"/>
  <c r="J811"/>
  <c r="G811"/>
  <c r="F811"/>
  <c r="C811"/>
  <c r="K810"/>
  <c r="J810"/>
  <c r="G810"/>
  <c r="F810"/>
  <c r="C810"/>
  <c r="K809"/>
  <c r="J809"/>
  <c r="G809"/>
  <c r="F809"/>
  <c r="C809"/>
  <c r="K808"/>
  <c r="J808"/>
  <c r="G808"/>
  <c r="F808"/>
  <c r="C808"/>
  <c r="K807"/>
  <c r="J807"/>
  <c r="G807"/>
  <c r="F807"/>
  <c r="C807"/>
  <c r="K806"/>
  <c r="J806"/>
  <c r="G806"/>
  <c r="F806"/>
  <c r="C806"/>
  <c r="K805"/>
  <c r="J805"/>
  <c r="G805"/>
  <c r="F805"/>
  <c r="C805"/>
  <c r="K804"/>
  <c r="J804"/>
  <c r="G804"/>
  <c r="F804"/>
  <c r="C804"/>
  <c r="K803"/>
  <c r="J803"/>
  <c r="G803"/>
  <c r="F803"/>
  <c r="C803"/>
  <c r="K802"/>
  <c r="J802"/>
  <c r="G802"/>
  <c r="F802"/>
  <c r="C802"/>
  <c r="K801"/>
  <c r="J801"/>
  <c r="G801"/>
  <c r="F801"/>
  <c r="C801"/>
  <c r="K800"/>
  <c r="J800"/>
  <c r="G800"/>
  <c r="F800"/>
  <c r="C800"/>
  <c r="K799"/>
  <c r="J799"/>
  <c r="G799"/>
  <c r="F799"/>
  <c r="C799"/>
  <c r="K798"/>
  <c r="J798"/>
  <c r="G798"/>
  <c r="F798"/>
  <c r="C798"/>
  <c r="K797"/>
  <c r="J797"/>
  <c r="G797"/>
  <c r="F797"/>
  <c r="C797"/>
  <c r="K796"/>
  <c r="J796"/>
  <c r="G796"/>
  <c r="F796"/>
  <c r="C796"/>
  <c r="K795"/>
  <c r="J795"/>
  <c r="G795"/>
  <c r="F795"/>
  <c r="C795"/>
  <c r="K794"/>
  <c r="J794"/>
  <c r="G794"/>
  <c r="F794"/>
  <c r="C794"/>
  <c r="K793"/>
  <c r="J793"/>
  <c r="G793"/>
  <c r="F793"/>
  <c r="C793"/>
  <c r="K792"/>
  <c r="J792"/>
  <c r="G792"/>
  <c r="F792"/>
  <c r="C792"/>
  <c r="K791"/>
  <c r="J791"/>
  <c r="G791"/>
  <c r="F791"/>
  <c r="C791"/>
  <c r="K790"/>
  <c r="J790"/>
  <c r="G790"/>
  <c r="F790"/>
  <c r="C790"/>
  <c r="K789"/>
  <c r="J789"/>
  <c r="G789"/>
  <c r="F789"/>
  <c r="C789"/>
  <c r="K788"/>
  <c r="J788"/>
  <c r="G788"/>
  <c r="F788"/>
  <c r="C788"/>
  <c r="K787"/>
  <c r="J787"/>
  <c r="G787"/>
  <c r="F787"/>
  <c r="C787"/>
  <c r="K786"/>
  <c r="J786"/>
  <c r="G786"/>
  <c r="F786"/>
  <c r="C786"/>
  <c r="K785"/>
  <c r="J785"/>
  <c r="G785"/>
  <c r="F785"/>
  <c r="C785"/>
  <c r="K784"/>
  <c r="J784"/>
  <c r="G784"/>
  <c r="F784"/>
  <c r="C784"/>
  <c r="K783"/>
  <c r="J783"/>
  <c r="G783"/>
  <c r="F783"/>
  <c r="C783"/>
  <c r="K782"/>
  <c r="J782"/>
  <c r="G782"/>
  <c r="F782"/>
  <c r="C782"/>
  <c r="K781"/>
  <c r="J781"/>
  <c r="G781"/>
  <c r="F781"/>
  <c r="C781"/>
  <c r="K780"/>
  <c r="J780"/>
  <c r="G780"/>
  <c r="F780"/>
  <c r="C780"/>
  <c r="K779"/>
  <c r="J779"/>
  <c r="G779"/>
  <c r="F779"/>
  <c r="C779"/>
  <c r="K778"/>
  <c r="J778"/>
  <c r="G778"/>
  <c r="F778"/>
  <c r="C778"/>
  <c r="K777"/>
  <c r="G777"/>
  <c r="F777"/>
  <c r="C777"/>
  <c r="K776"/>
  <c r="J776"/>
  <c r="G776"/>
  <c r="F776"/>
  <c r="C776"/>
  <c r="K775"/>
  <c r="J775"/>
  <c r="G775"/>
  <c r="F775"/>
  <c r="C775"/>
  <c r="K774"/>
  <c r="J774"/>
  <c r="G774"/>
  <c r="F774"/>
  <c r="C774"/>
  <c r="K773"/>
  <c r="J773"/>
  <c r="G773"/>
  <c r="F773"/>
  <c r="C773"/>
  <c r="K772"/>
  <c r="J772"/>
  <c r="G772"/>
  <c r="F772"/>
  <c r="C772"/>
  <c r="K771"/>
  <c r="J771"/>
  <c r="G771"/>
  <c r="F771"/>
  <c r="C771"/>
  <c r="K770"/>
  <c r="J770"/>
  <c r="G770"/>
  <c r="F770"/>
  <c r="C770"/>
  <c r="K769"/>
  <c r="J769"/>
  <c r="G769"/>
  <c r="F769"/>
  <c r="C769"/>
  <c r="K768"/>
  <c r="G768"/>
  <c r="F768"/>
  <c r="C768"/>
  <c r="K767"/>
  <c r="J767"/>
  <c r="G767"/>
  <c r="F767"/>
  <c r="C767"/>
  <c r="K766"/>
  <c r="J766"/>
  <c r="G766"/>
  <c r="F766"/>
  <c r="C766"/>
  <c r="K765"/>
  <c r="J765"/>
  <c r="G765"/>
  <c r="F765"/>
  <c r="C765"/>
  <c r="K764"/>
  <c r="J764"/>
  <c r="G764"/>
  <c r="F764"/>
  <c r="C764"/>
  <c r="K763"/>
  <c r="J763"/>
  <c r="G763"/>
  <c r="F763"/>
  <c r="C763"/>
  <c r="K762"/>
  <c r="J762"/>
  <c r="G762"/>
  <c r="F762"/>
  <c r="C762"/>
  <c r="K761"/>
  <c r="J761"/>
  <c r="G761"/>
  <c r="F761"/>
  <c r="C761"/>
  <c r="K760"/>
  <c r="J760"/>
  <c r="G760"/>
  <c r="F760"/>
  <c r="C760"/>
  <c r="K759"/>
  <c r="J759"/>
  <c r="G759"/>
  <c r="F759"/>
  <c r="C759"/>
  <c r="K758"/>
  <c r="J758"/>
  <c r="G758"/>
  <c r="F758"/>
  <c r="C758"/>
  <c r="K757"/>
  <c r="J757"/>
  <c r="G757"/>
  <c r="F757"/>
  <c r="C757"/>
  <c r="K756"/>
  <c r="J756"/>
  <c r="G756"/>
  <c r="F756"/>
  <c r="C756"/>
  <c r="K755"/>
  <c r="J755"/>
  <c r="G755"/>
  <c r="F755"/>
  <c r="C755"/>
  <c r="K754"/>
  <c r="J754"/>
  <c r="G754"/>
  <c r="F754"/>
  <c r="C754"/>
  <c r="K753"/>
  <c r="J753"/>
  <c r="G753"/>
  <c r="F753"/>
  <c r="C753"/>
  <c r="K752"/>
  <c r="J752"/>
  <c r="G752"/>
  <c r="F752"/>
  <c r="C752"/>
  <c r="K751"/>
  <c r="J751"/>
  <c r="G751"/>
  <c r="F751"/>
  <c r="C751"/>
  <c r="K750"/>
  <c r="J750"/>
  <c r="G750"/>
  <c r="F750"/>
  <c r="C750"/>
  <c r="K749"/>
  <c r="J749"/>
  <c r="G749"/>
  <c r="F749"/>
  <c r="C749"/>
  <c r="K748"/>
  <c r="J748"/>
  <c r="G748"/>
  <c r="F748"/>
  <c r="C748"/>
  <c r="K747"/>
  <c r="J747"/>
  <c r="G747"/>
  <c r="F747"/>
  <c r="C747"/>
  <c r="K746"/>
  <c r="J746"/>
  <c r="G746"/>
  <c r="F746"/>
  <c r="C746"/>
  <c r="K745"/>
  <c r="J745"/>
  <c r="G745"/>
  <c r="F745"/>
  <c r="C745"/>
  <c r="K744"/>
  <c r="J744"/>
  <c r="G744"/>
  <c r="F744"/>
  <c r="C744"/>
  <c r="K743"/>
  <c r="J743"/>
  <c r="G743"/>
  <c r="F743"/>
  <c r="C743"/>
  <c r="K742"/>
  <c r="J742"/>
  <c r="G742"/>
  <c r="F742"/>
  <c r="C742"/>
  <c r="K741"/>
  <c r="J741"/>
  <c r="G741"/>
  <c r="F741"/>
  <c r="C741"/>
  <c r="K740"/>
  <c r="J740"/>
  <c r="G740"/>
  <c r="F740"/>
  <c r="C740"/>
  <c r="K739"/>
  <c r="J739"/>
  <c r="G739"/>
  <c r="F739"/>
  <c r="C739"/>
  <c r="K738"/>
  <c r="J738"/>
  <c r="G738"/>
  <c r="F738"/>
  <c r="C738"/>
  <c r="K737"/>
  <c r="J737"/>
  <c r="G737"/>
  <c r="F737"/>
  <c r="C737"/>
  <c r="K736"/>
  <c r="J736"/>
  <c r="G736"/>
  <c r="F736"/>
  <c r="C736"/>
  <c r="K735"/>
  <c r="J735"/>
  <c r="G735"/>
  <c r="F735"/>
  <c r="C735"/>
  <c r="K734"/>
  <c r="J734"/>
  <c r="G734"/>
  <c r="F734"/>
  <c r="C734"/>
  <c r="K733"/>
  <c r="J733"/>
  <c r="G733"/>
  <c r="F733"/>
  <c r="C733"/>
  <c r="K732"/>
  <c r="J732"/>
  <c r="G732"/>
  <c r="F732"/>
  <c r="C732"/>
  <c r="K731"/>
  <c r="J731"/>
  <c r="G731"/>
  <c r="F731"/>
  <c r="C731"/>
  <c r="K730"/>
  <c r="J730"/>
  <c r="G730"/>
  <c r="F730"/>
  <c r="C730"/>
  <c r="K729"/>
  <c r="J729"/>
  <c r="G729"/>
  <c r="F729"/>
  <c r="C729"/>
  <c r="K728"/>
  <c r="J728"/>
  <c r="G728"/>
  <c r="F728"/>
  <c r="C728"/>
  <c r="K727"/>
  <c r="J727"/>
  <c r="G727"/>
  <c r="F727"/>
  <c r="C727"/>
  <c r="K726"/>
  <c r="J726"/>
  <c r="G726"/>
  <c r="F726"/>
  <c r="C726"/>
  <c r="K725"/>
  <c r="J725"/>
  <c r="G725"/>
  <c r="F725"/>
  <c r="C725"/>
  <c r="K724"/>
  <c r="J724"/>
  <c r="G724"/>
  <c r="F724"/>
  <c r="C724"/>
  <c r="K723"/>
  <c r="J723"/>
  <c r="G723"/>
  <c r="F723"/>
  <c r="C723"/>
  <c r="K722"/>
  <c r="J722"/>
  <c r="G722"/>
  <c r="F722"/>
  <c r="C722"/>
  <c r="K721"/>
  <c r="J721"/>
  <c r="G721"/>
  <c r="F721"/>
  <c r="C721"/>
  <c r="K720"/>
  <c r="J720"/>
  <c r="G720"/>
  <c r="F720"/>
  <c r="C720"/>
  <c r="K719"/>
  <c r="J719"/>
  <c r="G719"/>
  <c r="F719"/>
  <c r="C719"/>
  <c r="K718"/>
  <c r="J718"/>
  <c r="G718"/>
  <c r="F718"/>
  <c r="C718"/>
  <c r="K717"/>
  <c r="J717"/>
  <c r="G717"/>
  <c r="F717"/>
  <c r="C717"/>
  <c r="K716"/>
  <c r="J716"/>
  <c r="G716"/>
  <c r="F716"/>
  <c r="C716"/>
  <c r="K715"/>
  <c r="J715"/>
  <c r="G715"/>
  <c r="F715"/>
  <c r="C715"/>
  <c r="K714"/>
  <c r="J714"/>
  <c r="G714"/>
  <c r="F714"/>
  <c r="C714"/>
  <c r="K713"/>
  <c r="J713"/>
  <c r="G713"/>
  <c r="F713"/>
  <c r="C713"/>
  <c r="K712"/>
  <c r="J712"/>
  <c r="G712"/>
  <c r="F712"/>
  <c r="C712"/>
  <c r="K711"/>
  <c r="J711"/>
  <c r="G711"/>
  <c r="F711"/>
  <c r="C711"/>
  <c r="K710"/>
  <c r="J710"/>
  <c r="G710"/>
  <c r="F710"/>
  <c r="C710"/>
  <c r="K709"/>
  <c r="J709"/>
  <c r="G709"/>
  <c r="F709"/>
  <c r="C709"/>
  <c r="K708"/>
  <c r="J708"/>
  <c r="G708"/>
  <c r="F708"/>
  <c r="C708"/>
  <c r="K707"/>
  <c r="J707"/>
  <c r="G707"/>
  <c r="F707"/>
  <c r="C707"/>
  <c r="K706"/>
  <c r="J706"/>
  <c r="G706"/>
  <c r="F706"/>
  <c r="C706"/>
  <c r="K705"/>
  <c r="J705"/>
  <c r="G705"/>
  <c r="F705"/>
  <c r="C705"/>
  <c r="K704"/>
  <c r="J704"/>
  <c r="G704"/>
  <c r="F704"/>
  <c r="C704"/>
  <c r="K703"/>
  <c r="J703"/>
  <c r="G703"/>
  <c r="F703"/>
  <c r="C703"/>
  <c r="K702"/>
  <c r="J702"/>
  <c r="G702"/>
  <c r="F702"/>
  <c r="C702"/>
  <c r="K701"/>
  <c r="J701"/>
  <c r="G701"/>
  <c r="F701"/>
  <c r="C701"/>
  <c r="K700"/>
  <c r="J700"/>
  <c r="G700"/>
  <c r="F700"/>
  <c r="C700"/>
  <c r="K699"/>
  <c r="J699"/>
  <c r="G699"/>
  <c r="F699"/>
  <c r="C699"/>
  <c r="K698"/>
  <c r="J698"/>
  <c r="G698"/>
  <c r="F698"/>
  <c r="C698"/>
  <c r="K697"/>
  <c r="J697"/>
  <c r="G697"/>
  <c r="F697"/>
  <c r="C697"/>
  <c r="K696"/>
  <c r="J696"/>
  <c r="G696"/>
  <c r="F696"/>
  <c r="C696"/>
  <c r="K695"/>
  <c r="J695"/>
  <c r="G695"/>
  <c r="F695"/>
  <c r="C695"/>
  <c r="K694"/>
  <c r="J694"/>
  <c r="G694"/>
  <c r="F694"/>
  <c r="C694"/>
  <c r="K693"/>
  <c r="J693"/>
  <c r="G693"/>
  <c r="F693"/>
  <c r="C693"/>
  <c r="K692"/>
  <c r="J692"/>
  <c r="G692"/>
  <c r="F692"/>
  <c r="C692"/>
  <c r="K691"/>
  <c r="J691"/>
  <c r="G691"/>
  <c r="F691"/>
  <c r="C691"/>
  <c r="K690"/>
  <c r="J690"/>
  <c r="G690"/>
  <c r="F690"/>
  <c r="C690"/>
  <c r="K689"/>
  <c r="J689"/>
  <c r="G689"/>
  <c r="F689"/>
  <c r="C689"/>
  <c r="K688"/>
  <c r="J688"/>
  <c r="G688"/>
  <c r="F688"/>
  <c r="C688"/>
  <c r="K687"/>
  <c r="J687"/>
  <c r="G687"/>
  <c r="F687"/>
  <c r="C687"/>
  <c r="K686"/>
  <c r="J686"/>
  <c r="G686"/>
  <c r="F686"/>
  <c r="C686"/>
  <c r="K685"/>
  <c r="J685"/>
  <c r="G685"/>
  <c r="F685"/>
  <c r="C685"/>
  <c r="K684"/>
  <c r="J684"/>
  <c r="G684"/>
  <c r="F684"/>
  <c r="C684"/>
  <c r="K683"/>
  <c r="J683"/>
  <c r="G683"/>
  <c r="F683"/>
  <c r="C683"/>
  <c r="K682"/>
  <c r="J682"/>
  <c r="G682"/>
  <c r="F682"/>
  <c r="C682"/>
  <c r="K681"/>
  <c r="J681"/>
  <c r="G681"/>
  <c r="F681"/>
  <c r="C681"/>
  <c r="K680"/>
  <c r="J680"/>
  <c r="G680"/>
  <c r="F680"/>
  <c r="C680"/>
  <c r="K679"/>
  <c r="J679"/>
  <c r="G679"/>
  <c r="F679"/>
  <c r="C679"/>
  <c r="K678"/>
  <c r="J678"/>
  <c r="G678"/>
  <c r="F678"/>
  <c r="C678"/>
  <c r="K677"/>
  <c r="J677"/>
  <c r="G677"/>
  <c r="F677"/>
  <c r="C677"/>
  <c r="K676"/>
  <c r="J676"/>
  <c r="G676"/>
  <c r="F676"/>
  <c r="C676"/>
  <c r="K675"/>
  <c r="J675"/>
  <c r="G675"/>
  <c r="F675"/>
  <c r="C675"/>
  <c r="K674"/>
  <c r="J674"/>
  <c r="G674"/>
  <c r="F674"/>
  <c r="C674"/>
  <c r="K673"/>
  <c r="J673"/>
  <c r="G673"/>
  <c r="F673"/>
  <c r="C673"/>
  <c r="K672"/>
  <c r="J672"/>
  <c r="G672"/>
  <c r="F672"/>
  <c r="C672"/>
  <c r="K671"/>
  <c r="J671"/>
  <c r="G671"/>
  <c r="F671"/>
  <c r="C671"/>
  <c r="K670"/>
  <c r="J670"/>
  <c r="G670"/>
  <c r="F670"/>
  <c r="C670"/>
  <c r="K669"/>
  <c r="J669"/>
  <c r="G669"/>
  <c r="F669"/>
  <c r="C669"/>
  <c r="K668"/>
  <c r="J668"/>
  <c r="G668"/>
  <c r="F668"/>
  <c r="C668"/>
  <c r="K667"/>
  <c r="J667"/>
  <c r="G667"/>
  <c r="F667"/>
  <c r="C667"/>
  <c r="K666"/>
  <c r="J666"/>
  <c r="G666"/>
  <c r="F666"/>
  <c r="C666"/>
  <c r="K665"/>
  <c r="J665"/>
  <c r="G665"/>
  <c r="F665"/>
  <c r="C665"/>
  <c r="K664"/>
  <c r="J664"/>
  <c r="G664"/>
  <c r="F664"/>
  <c r="C664"/>
  <c r="K663"/>
  <c r="J663"/>
  <c r="G663"/>
  <c r="F663"/>
  <c r="C663"/>
  <c r="K662"/>
  <c r="J662"/>
  <c r="G662"/>
  <c r="F662"/>
  <c r="C662"/>
  <c r="K661"/>
  <c r="J661"/>
  <c r="G661"/>
  <c r="F661"/>
  <c r="C661"/>
  <c r="K660"/>
  <c r="J660"/>
  <c r="G660"/>
  <c r="F660"/>
  <c r="C660"/>
  <c r="K659"/>
  <c r="J659"/>
  <c r="G659"/>
  <c r="F659"/>
  <c r="C659"/>
  <c r="K658"/>
  <c r="J658"/>
  <c r="G658"/>
  <c r="F658"/>
  <c r="C658"/>
  <c r="K657"/>
  <c r="J657"/>
  <c r="G657"/>
  <c r="F657"/>
  <c r="C657"/>
  <c r="K656"/>
  <c r="J656"/>
  <c r="G656"/>
  <c r="F656"/>
  <c r="C656"/>
  <c r="K655"/>
  <c r="J655"/>
  <c r="G655"/>
  <c r="F655"/>
  <c r="C655"/>
  <c r="K654"/>
  <c r="J654"/>
  <c r="G654"/>
  <c r="F654"/>
  <c r="C654"/>
  <c r="K653"/>
  <c r="J653"/>
  <c r="G653"/>
  <c r="F653"/>
  <c r="C653"/>
  <c r="K652"/>
  <c r="J652"/>
  <c r="G652"/>
  <c r="F652"/>
  <c r="C652"/>
  <c r="K651"/>
  <c r="J651"/>
  <c r="G651"/>
  <c r="F651"/>
  <c r="C651"/>
  <c r="K650"/>
  <c r="J650"/>
  <c r="G650"/>
  <c r="F650"/>
  <c r="C650"/>
  <c r="K649"/>
  <c r="J649"/>
  <c r="G649"/>
  <c r="F649"/>
  <c r="C649"/>
  <c r="K648"/>
  <c r="J648"/>
  <c r="G648"/>
  <c r="F648"/>
  <c r="C648"/>
  <c r="K647"/>
  <c r="J647"/>
  <c r="G647"/>
  <c r="F647"/>
  <c r="C647"/>
  <c r="K646"/>
  <c r="J646"/>
  <c r="G646"/>
  <c r="F646"/>
  <c r="C646"/>
  <c r="K645"/>
  <c r="J645"/>
  <c r="G645"/>
  <c r="F645"/>
  <c r="C645"/>
  <c r="K644"/>
  <c r="J644"/>
  <c r="G644"/>
  <c r="F644"/>
  <c r="C644"/>
  <c r="K643"/>
  <c r="J643"/>
  <c r="G643"/>
  <c r="F643"/>
  <c r="C643"/>
  <c r="K642"/>
  <c r="J642"/>
  <c r="G642"/>
  <c r="F642"/>
  <c r="C642"/>
  <c r="K641"/>
  <c r="J641"/>
  <c r="G641"/>
  <c r="F641"/>
  <c r="C641"/>
  <c r="K640"/>
  <c r="J640"/>
  <c r="G640"/>
  <c r="F640"/>
  <c r="C640"/>
  <c r="K639"/>
  <c r="J639"/>
  <c r="G639"/>
  <c r="F639"/>
  <c r="C639"/>
  <c r="K638"/>
  <c r="J638"/>
  <c r="G638"/>
  <c r="F638"/>
  <c r="C638"/>
  <c r="K637"/>
  <c r="J637"/>
  <c r="G637"/>
  <c r="F637"/>
  <c r="C637"/>
  <c r="K636"/>
  <c r="J636"/>
  <c r="G636"/>
  <c r="F636"/>
  <c r="C636"/>
  <c r="K635"/>
  <c r="J635"/>
  <c r="G635"/>
  <c r="F635"/>
  <c r="C635"/>
  <c r="K634"/>
  <c r="J634"/>
  <c r="G634"/>
  <c r="F634"/>
  <c r="C634"/>
  <c r="K633"/>
  <c r="G633"/>
  <c r="F633"/>
  <c r="C633"/>
  <c r="K632"/>
  <c r="J632"/>
  <c r="G632"/>
  <c r="F632"/>
  <c r="C632"/>
  <c r="K631"/>
  <c r="J631"/>
  <c r="G631"/>
  <c r="F631"/>
  <c r="C631"/>
  <c r="K630"/>
  <c r="J630"/>
  <c r="G630"/>
  <c r="F630"/>
  <c r="C630"/>
  <c r="K629"/>
  <c r="J629"/>
  <c r="G629"/>
  <c r="F629"/>
  <c r="C629"/>
  <c r="K628"/>
  <c r="J628"/>
  <c r="G628"/>
  <c r="F628"/>
  <c r="C628"/>
  <c r="K627"/>
  <c r="J627"/>
  <c r="G627"/>
  <c r="F627"/>
  <c r="C627"/>
  <c r="K626"/>
  <c r="J626"/>
  <c r="G626"/>
  <c r="F626"/>
  <c r="C626"/>
  <c r="K625"/>
  <c r="J625"/>
  <c r="G625"/>
  <c r="F625"/>
  <c r="C625"/>
  <c r="K624"/>
  <c r="J624"/>
  <c r="G624"/>
  <c r="F624"/>
  <c r="C624"/>
  <c r="K623"/>
  <c r="J623"/>
  <c r="G623"/>
  <c r="F623"/>
  <c r="C623"/>
  <c r="K622"/>
  <c r="J622"/>
  <c r="G622"/>
  <c r="F622"/>
  <c r="C622"/>
  <c r="K621"/>
  <c r="J621"/>
  <c r="G621"/>
  <c r="F621"/>
  <c r="C621"/>
  <c r="K620"/>
  <c r="J620"/>
  <c r="G620"/>
  <c r="F620"/>
  <c r="C620"/>
  <c r="K619"/>
  <c r="J619"/>
  <c r="G619"/>
  <c r="F619"/>
  <c r="C619"/>
  <c r="K618"/>
  <c r="J618"/>
  <c r="G618"/>
  <c r="F618"/>
  <c r="C618"/>
  <c r="K617"/>
  <c r="J617"/>
  <c r="G617"/>
  <c r="F617"/>
  <c r="C617"/>
  <c r="K616"/>
  <c r="J616"/>
  <c r="G616"/>
  <c r="F616"/>
  <c r="C616"/>
  <c r="K615"/>
  <c r="J615"/>
  <c r="G615"/>
  <c r="F615"/>
  <c r="C615"/>
  <c r="K614"/>
  <c r="J614"/>
  <c r="G614"/>
  <c r="F614"/>
  <c r="C614"/>
  <c r="K613"/>
  <c r="J613"/>
  <c r="G613"/>
  <c r="F613"/>
  <c r="C613"/>
  <c r="K612"/>
  <c r="J612"/>
  <c r="G612"/>
  <c r="F612"/>
  <c r="C612"/>
  <c r="K611"/>
  <c r="J611"/>
  <c r="G611"/>
  <c r="F611"/>
  <c r="C611"/>
  <c r="K610"/>
  <c r="J610"/>
  <c r="G610"/>
  <c r="F610"/>
  <c r="C610"/>
  <c r="K609"/>
  <c r="J609"/>
  <c r="G609"/>
  <c r="F609"/>
  <c r="C609"/>
  <c r="K608"/>
  <c r="J608"/>
  <c r="G608"/>
  <c r="F608"/>
  <c r="C608"/>
  <c r="K607"/>
  <c r="J607"/>
  <c r="G607"/>
  <c r="F607"/>
  <c r="C607"/>
  <c r="K606"/>
  <c r="J606"/>
  <c r="G606"/>
  <c r="F606"/>
  <c r="C606"/>
  <c r="K605"/>
  <c r="J605"/>
  <c r="G605"/>
  <c r="F605"/>
  <c r="C605"/>
  <c r="K604"/>
  <c r="J604"/>
  <c r="G604"/>
  <c r="F604"/>
  <c r="C604"/>
  <c r="K603"/>
  <c r="J603"/>
  <c r="G603"/>
  <c r="F603"/>
  <c r="C603"/>
  <c r="K602"/>
  <c r="J602"/>
  <c r="G602"/>
  <c r="F602"/>
  <c r="C602"/>
  <c r="K601"/>
  <c r="J601"/>
  <c r="G601"/>
  <c r="F601"/>
  <c r="C601"/>
  <c r="K600"/>
  <c r="J600"/>
  <c r="G600"/>
  <c r="F600"/>
  <c r="C600"/>
  <c r="K599"/>
  <c r="J599"/>
  <c r="G599"/>
  <c r="F599"/>
  <c r="C599"/>
  <c r="K598"/>
  <c r="J598"/>
  <c r="G598"/>
  <c r="F598"/>
  <c r="C598"/>
  <c r="K597"/>
  <c r="J597"/>
  <c r="G597"/>
  <c r="F597"/>
  <c r="C597"/>
  <c r="K596"/>
  <c r="J596"/>
  <c r="G596"/>
  <c r="F596"/>
  <c r="C596"/>
  <c r="K595"/>
  <c r="J595"/>
  <c r="G595"/>
  <c r="F595"/>
  <c r="C595"/>
  <c r="K594"/>
  <c r="J594"/>
  <c r="G594"/>
  <c r="F594"/>
  <c r="C594"/>
  <c r="K593"/>
  <c r="J593"/>
  <c r="G593"/>
  <c r="F593"/>
  <c r="C593"/>
  <c r="K592"/>
  <c r="J592"/>
  <c r="G592"/>
  <c r="F592"/>
  <c r="C592"/>
  <c r="K591"/>
  <c r="J591"/>
  <c r="G591"/>
  <c r="F591"/>
  <c r="C591"/>
  <c r="K590"/>
  <c r="J590"/>
  <c r="G590"/>
  <c r="F590"/>
  <c r="C590"/>
  <c r="K589"/>
  <c r="J589"/>
  <c r="G589"/>
  <c r="F589"/>
  <c r="C589"/>
  <c r="K588"/>
  <c r="J588"/>
  <c r="G588"/>
  <c r="F588"/>
  <c r="C588"/>
  <c r="K587"/>
  <c r="J587"/>
  <c r="G587"/>
  <c r="F587"/>
  <c r="C587"/>
  <c r="K586"/>
  <c r="J586"/>
  <c r="G586"/>
  <c r="F586"/>
  <c r="C586"/>
  <c r="K585"/>
  <c r="J585"/>
  <c r="G585"/>
  <c r="F585"/>
  <c r="C585"/>
  <c r="K584"/>
  <c r="J584"/>
  <c r="G584"/>
  <c r="F584"/>
  <c r="C584"/>
  <c r="K583"/>
  <c r="J583"/>
  <c r="G583"/>
  <c r="F583"/>
  <c r="C583"/>
  <c r="K582"/>
  <c r="J582"/>
  <c r="G582"/>
  <c r="F582"/>
  <c r="C582"/>
  <c r="K581"/>
  <c r="J581"/>
  <c r="G581"/>
  <c r="F581"/>
  <c r="C581"/>
  <c r="K580"/>
  <c r="J580"/>
  <c r="G580"/>
  <c r="F580"/>
  <c r="C580"/>
  <c r="K579"/>
  <c r="J579"/>
  <c r="G579"/>
  <c r="F579"/>
  <c r="C579"/>
  <c r="K578"/>
  <c r="J578"/>
  <c r="G578"/>
  <c r="F578"/>
  <c r="C578"/>
  <c r="K577"/>
  <c r="J577"/>
  <c r="G577"/>
  <c r="F577"/>
  <c r="C577"/>
  <c r="K576"/>
  <c r="J576"/>
  <c r="G576"/>
  <c r="F576"/>
  <c r="C576"/>
  <c r="K575"/>
  <c r="J575"/>
  <c r="G575"/>
  <c r="F575"/>
  <c r="C575"/>
  <c r="K574"/>
  <c r="J574"/>
  <c r="G574"/>
  <c r="F574"/>
  <c r="C574"/>
  <c r="K573"/>
  <c r="J573"/>
  <c r="G573"/>
  <c r="F573"/>
  <c r="C573"/>
  <c r="K572"/>
  <c r="J572"/>
  <c r="G572"/>
  <c r="F572"/>
  <c r="C572"/>
  <c r="K571"/>
  <c r="J571"/>
  <c r="G571"/>
  <c r="F571"/>
  <c r="C571"/>
  <c r="K570"/>
  <c r="J570"/>
  <c r="G570"/>
  <c r="F570"/>
  <c r="C570"/>
  <c r="K569"/>
  <c r="J569"/>
  <c r="G569"/>
  <c r="F569"/>
  <c r="C569"/>
  <c r="K568"/>
  <c r="J568"/>
  <c r="G568"/>
  <c r="F568"/>
  <c r="C568"/>
  <c r="K567"/>
  <c r="J567"/>
  <c r="G567"/>
  <c r="F567"/>
  <c r="C567"/>
  <c r="K566"/>
  <c r="J566"/>
  <c r="G566"/>
  <c r="F566"/>
  <c r="C566"/>
  <c r="K565"/>
  <c r="J565"/>
  <c r="G565"/>
  <c r="F565"/>
  <c r="C565"/>
  <c r="K564"/>
  <c r="J564"/>
  <c r="G564"/>
  <c r="F564"/>
  <c r="C564"/>
  <c r="K563"/>
  <c r="J563"/>
  <c r="G563"/>
  <c r="F563"/>
  <c r="C563"/>
  <c r="K562"/>
  <c r="J562"/>
  <c r="G562"/>
  <c r="F562"/>
  <c r="C562"/>
  <c r="K561"/>
  <c r="J561"/>
  <c r="G561"/>
  <c r="F561"/>
  <c r="C561"/>
  <c r="K560"/>
  <c r="J560"/>
  <c r="G560"/>
  <c r="F560"/>
  <c r="C560"/>
  <c r="K559"/>
  <c r="G559"/>
  <c r="F559"/>
  <c r="C559"/>
  <c r="K558"/>
  <c r="J558"/>
  <c r="G558"/>
  <c r="F558"/>
  <c r="C558"/>
  <c r="K557"/>
  <c r="J557"/>
  <c r="G557"/>
  <c r="F557"/>
  <c r="C557"/>
  <c r="K556"/>
  <c r="J556"/>
  <c r="G556"/>
  <c r="F556"/>
  <c r="C556"/>
  <c r="K555"/>
  <c r="J555"/>
  <c r="G555"/>
  <c r="F555"/>
  <c r="C555"/>
  <c r="K554"/>
  <c r="J554"/>
  <c r="G554"/>
  <c r="F554"/>
  <c r="C554"/>
  <c r="K553"/>
  <c r="J553"/>
  <c r="G553"/>
  <c r="F553"/>
  <c r="C553"/>
  <c r="K552"/>
  <c r="J552"/>
  <c r="G552"/>
  <c r="F552"/>
  <c r="C552"/>
  <c r="K551"/>
  <c r="J551"/>
  <c r="G551"/>
  <c r="F551"/>
  <c r="C551"/>
  <c r="K550"/>
  <c r="J550"/>
  <c r="G550"/>
  <c r="F550"/>
  <c r="C550"/>
  <c r="K549"/>
  <c r="J549"/>
  <c r="G549"/>
  <c r="F549"/>
  <c r="C549"/>
  <c r="K548"/>
  <c r="J548"/>
  <c r="G548"/>
  <c r="F548"/>
  <c r="C548"/>
  <c r="K547"/>
  <c r="J547"/>
  <c r="G547"/>
  <c r="F547"/>
  <c r="C547"/>
  <c r="K546"/>
  <c r="J546"/>
  <c r="G546"/>
  <c r="F546"/>
  <c r="C546"/>
  <c r="K545"/>
  <c r="J545"/>
  <c r="G545"/>
  <c r="F545"/>
  <c r="C545"/>
  <c r="K544"/>
  <c r="J544"/>
  <c r="G544"/>
  <c r="F544"/>
  <c r="C544"/>
  <c r="K543"/>
  <c r="J543"/>
  <c r="G543"/>
  <c r="F543"/>
  <c r="C543"/>
  <c r="K542"/>
  <c r="J542"/>
  <c r="G542"/>
  <c r="F542"/>
  <c r="C542"/>
  <c r="K541"/>
  <c r="J541"/>
  <c r="G541"/>
  <c r="F541"/>
  <c r="C541"/>
  <c r="K540"/>
  <c r="J540"/>
  <c r="G540"/>
  <c r="F540"/>
  <c r="C540"/>
  <c r="K539"/>
  <c r="J539"/>
  <c r="G539"/>
  <c r="F539"/>
  <c r="C539"/>
  <c r="K538"/>
  <c r="J538"/>
  <c r="G538"/>
  <c r="F538"/>
  <c r="C538"/>
  <c r="K537"/>
  <c r="J537"/>
  <c r="G537"/>
  <c r="F537"/>
  <c r="C537"/>
  <c r="K536"/>
  <c r="J536"/>
  <c r="G536"/>
  <c r="F536"/>
  <c r="C536"/>
  <c r="K535"/>
  <c r="J535"/>
  <c r="G535"/>
  <c r="F535"/>
  <c r="C535"/>
  <c r="K534"/>
  <c r="J534"/>
  <c r="G534"/>
  <c r="F534"/>
  <c r="C534"/>
  <c r="K533"/>
  <c r="J533"/>
  <c r="G533"/>
  <c r="F533"/>
  <c r="C533"/>
  <c r="K532"/>
  <c r="J532"/>
  <c r="G532"/>
  <c r="F532"/>
  <c r="C532"/>
  <c r="K531"/>
  <c r="J531"/>
  <c r="G531"/>
  <c r="F531"/>
  <c r="C531"/>
  <c r="K530"/>
  <c r="J530"/>
  <c r="G530"/>
  <c r="F530"/>
  <c r="C530"/>
  <c r="K529"/>
  <c r="J529"/>
  <c r="G529"/>
  <c r="F529"/>
  <c r="C529"/>
  <c r="K528"/>
  <c r="J528"/>
  <c r="G528"/>
  <c r="F528"/>
  <c r="C528"/>
  <c r="K527"/>
  <c r="J527"/>
  <c r="G527"/>
  <c r="F527"/>
  <c r="C527"/>
  <c r="K526"/>
  <c r="J526"/>
  <c r="G526"/>
  <c r="F526"/>
  <c r="C526"/>
  <c r="K525"/>
  <c r="J525"/>
  <c r="G525"/>
  <c r="F525"/>
  <c r="C525"/>
  <c r="K524"/>
  <c r="J524"/>
  <c r="G524"/>
  <c r="F524"/>
  <c r="C524"/>
  <c r="K523"/>
  <c r="J523"/>
  <c r="G523"/>
  <c r="F523"/>
  <c r="C523"/>
  <c r="K522"/>
  <c r="J522"/>
  <c r="G522"/>
  <c r="F522"/>
  <c r="C522"/>
  <c r="K521"/>
  <c r="J521"/>
  <c r="G521"/>
  <c r="F521"/>
  <c r="C521"/>
  <c r="K520"/>
  <c r="J520"/>
  <c r="G520"/>
  <c r="F520"/>
  <c r="C520"/>
  <c r="K519"/>
  <c r="J519"/>
  <c r="G519"/>
  <c r="F519"/>
  <c r="C519"/>
  <c r="K518"/>
  <c r="J518"/>
  <c r="G518"/>
  <c r="F518"/>
  <c r="C518"/>
  <c r="K517"/>
  <c r="J517"/>
  <c r="G517"/>
  <c r="F517"/>
  <c r="C517"/>
  <c r="K516"/>
  <c r="J516"/>
  <c r="G516"/>
  <c r="F516"/>
  <c r="C516"/>
  <c r="K515"/>
  <c r="J515"/>
  <c r="G515"/>
  <c r="F515"/>
  <c r="C515"/>
  <c r="K514"/>
  <c r="J514"/>
  <c r="G514"/>
  <c r="F514"/>
  <c r="C514"/>
  <c r="K513"/>
  <c r="J513"/>
  <c r="G513"/>
  <c r="F513"/>
  <c r="C513"/>
  <c r="K512"/>
  <c r="J512"/>
  <c r="G512"/>
  <c r="F512"/>
  <c r="C512"/>
  <c r="K511"/>
  <c r="J511"/>
  <c r="G511"/>
  <c r="F511"/>
  <c r="C511"/>
  <c r="K510"/>
  <c r="J510"/>
  <c r="G510"/>
  <c r="F510"/>
  <c r="C510"/>
  <c r="K509"/>
  <c r="J509"/>
  <c r="G509"/>
  <c r="F509"/>
  <c r="C509"/>
  <c r="K508"/>
  <c r="J508"/>
  <c r="G508"/>
  <c r="F508"/>
  <c r="C508"/>
  <c r="K507"/>
  <c r="J507"/>
  <c r="G507"/>
  <c r="F507"/>
  <c r="C507"/>
  <c r="K506"/>
  <c r="J506"/>
  <c r="G506"/>
  <c r="F506"/>
  <c r="C506"/>
  <c r="K505"/>
  <c r="J505"/>
  <c r="G505"/>
  <c r="F505"/>
  <c r="C505"/>
  <c r="K504"/>
  <c r="J504"/>
  <c r="G504"/>
  <c r="F504"/>
  <c r="C504"/>
  <c r="K503"/>
  <c r="J503"/>
  <c r="G503"/>
  <c r="F503"/>
  <c r="C503"/>
  <c r="K502"/>
  <c r="J502"/>
  <c r="G502"/>
  <c r="F502"/>
  <c r="C502"/>
  <c r="K501"/>
  <c r="J501"/>
  <c r="G501"/>
  <c r="F501"/>
  <c r="C501"/>
  <c r="K500"/>
  <c r="J500"/>
  <c r="G500"/>
  <c r="F500"/>
  <c r="C500"/>
  <c r="K499"/>
  <c r="J499"/>
  <c r="G499"/>
  <c r="F499"/>
  <c r="C499"/>
  <c r="K498"/>
  <c r="J498"/>
  <c r="G498"/>
  <c r="F498"/>
  <c r="C498"/>
  <c r="K497"/>
  <c r="J497"/>
  <c r="G497"/>
  <c r="F497"/>
  <c r="C497"/>
  <c r="K496"/>
  <c r="J496"/>
  <c r="G496"/>
  <c r="F496"/>
  <c r="C496"/>
  <c r="K495"/>
  <c r="J495"/>
  <c r="G495"/>
  <c r="F495"/>
  <c r="C495"/>
  <c r="K494"/>
  <c r="J494"/>
  <c r="G494"/>
  <c r="F494"/>
  <c r="C494"/>
  <c r="K493"/>
  <c r="J493"/>
  <c r="G493"/>
  <c r="F493"/>
  <c r="C493"/>
  <c r="K492"/>
  <c r="J492"/>
  <c r="G492"/>
  <c r="F492"/>
  <c r="C492"/>
  <c r="K491"/>
  <c r="J491"/>
  <c r="G491"/>
  <c r="F491"/>
  <c r="C491"/>
  <c r="K490"/>
  <c r="J490"/>
  <c r="G490"/>
  <c r="F490"/>
  <c r="C490"/>
  <c r="K489"/>
  <c r="J489"/>
  <c r="G489"/>
  <c r="F489"/>
  <c r="C489"/>
  <c r="K488"/>
  <c r="J488"/>
  <c r="G488"/>
  <c r="F488"/>
  <c r="C488"/>
  <c r="K487"/>
  <c r="J487"/>
  <c r="G487"/>
  <c r="F487"/>
  <c r="C487"/>
  <c r="K486"/>
  <c r="J486"/>
  <c r="G486"/>
  <c r="F486"/>
  <c r="C486"/>
  <c r="K485"/>
  <c r="J485"/>
  <c r="G485"/>
  <c r="F485"/>
  <c r="C485"/>
  <c r="K484"/>
  <c r="J484"/>
  <c r="G484"/>
  <c r="F484"/>
  <c r="C484"/>
  <c r="K483"/>
  <c r="J483"/>
  <c r="G483"/>
  <c r="F483"/>
  <c r="C483"/>
  <c r="K482"/>
  <c r="J482"/>
  <c r="G482"/>
  <c r="F482"/>
  <c r="C482"/>
  <c r="K481"/>
  <c r="J481"/>
  <c r="G481"/>
  <c r="F481"/>
  <c r="C481"/>
  <c r="K480"/>
  <c r="J480"/>
  <c r="G480"/>
  <c r="F480"/>
  <c r="C480"/>
  <c r="K479"/>
  <c r="J479"/>
  <c r="G479"/>
  <c r="F479"/>
  <c r="C479"/>
  <c r="K478"/>
  <c r="J478"/>
  <c r="G478"/>
  <c r="F478"/>
  <c r="C478"/>
  <c r="K477"/>
  <c r="J477"/>
  <c r="G477"/>
  <c r="F477"/>
  <c r="C477"/>
  <c r="K476"/>
  <c r="J476"/>
  <c r="G476"/>
  <c r="F476"/>
  <c r="C476"/>
  <c r="K475"/>
  <c r="J475"/>
  <c r="G475"/>
  <c r="F475"/>
  <c r="C475"/>
  <c r="K474"/>
  <c r="J474"/>
  <c r="G474"/>
  <c r="F474"/>
  <c r="C474"/>
  <c r="K473"/>
  <c r="J473"/>
  <c r="G473"/>
  <c r="F473"/>
  <c r="C473"/>
  <c r="K472"/>
  <c r="J472"/>
  <c r="G472"/>
  <c r="F472"/>
  <c r="C472"/>
  <c r="K471"/>
  <c r="J471"/>
  <c r="G471"/>
  <c r="F471"/>
  <c r="C471"/>
  <c r="K470"/>
  <c r="J470"/>
  <c r="G470"/>
  <c r="F470"/>
  <c r="C470"/>
  <c r="K469"/>
  <c r="J469"/>
  <c r="G469"/>
  <c r="F469"/>
  <c r="C469"/>
  <c r="K468"/>
  <c r="J468"/>
  <c r="G468"/>
  <c r="F468"/>
  <c r="C468"/>
  <c r="K467"/>
  <c r="J467"/>
  <c r="G467"/>
  <c r="F467"/>
  <c r="C467"/>
  <c r="K466"/>
  <c r="J466"/>
  <c r="G466"/>
  <c r="F466"/>
  <c r="C466"/>
  <c r="K465"/>
  <c r="J465"/>
  <c r="G465"/>
  <c r="F465"/>
  <c r="C465"/>
  <c r="K464"/>
  <c r="J464"/>
  <c r="G464"/>
  <c r="F464"/>
  <c r="C464"/>
  <c r="K463"/>
  <c r="J463"/>
  <c r="G463"/>
  <c r="F463"/>
  <c r="C463"/>
  <c r="K462"/>
  <c r="J462"/>
  <c r="G462"/>
  <c r="F462"/>
  <c r="C462"/>
  <c r="K461"/>
  <c r="J461"/>
  <c r="G461"/>
  <c r="F461"/>
  <c r="C461"/>
  <c r="K460"/>
  <c r="J460"/>
  <c r="G460"/>
  <c r="F460"/>
  <c r="C460"/>
  <c r="K459"/>
  <c r="J459"/>
  <c r="G459"/>
  <c r="F459"/>
  <c r="C459"/>
  <c r="K458"/>
  <c r="J458"/>
  <c r="G458"/>
  <c r="F458"/>
  <c r="C458"/>
  <c r="K457"/>
  <c r="J457"/>
  <c r="G457"/>
  <c r="F457"/>
  <c r="C457"/>
  <c r="K456"/>
  <c r="J456"/>
  <c r="G456"/>
  <c r="F456"/>
  <c r="C456"/>
  <c r="K455"/>
  <c r="J455"/>
  <c r="G455"/>
  <c r="F455"/>
  <c r="C455"/>
  <c r="K454"/>
  <c r="J454"/>
  <c r="G454"/>
  <c r="F454"/>
  <c r="C454"/>
  <c r="K453"/>
  <c r="J453"/>
  <c r="G453"/>
  <c r="F453"/>
  <c r="C453"/>
  <c r="K452"/>
  <c r="J452"/>
  <c r="G452"/>
  <c r="F452"/>
  <c r="C452"/>
  <c r="K451"/>
  <c r="J451"/>
  <c r="G451"/>
  <c r="F451"/>
  <c r="C451"/>
  <c r="K450"/>
  <c r="J450"/>
  <c r="G450"/>
  <c r="F450"/>
  <c r="C450"/>
  <c r="K449"/>
  <c r="J449"/>
  <c r="G449"/>
  <c r="F449"/>
  <c r="C449"/>
  <c r="K448"/>
  <c r="J448"/>
  <c r="G448"/>
  <c r="F448"/>
  <c r="C448"/>
  <c r="K447"/>
  <c r="J447"/>
  <c r="G447"/>
  <c r="F447"/>
  <c r="C447"/>
  <c r="K446"/>
  <c r="J446"/>
  <c r="G446"/>
  <c r="F446"/>
  <c r="C446"/>
  <c r="K445"/>
  <c r="J445"/>
  <c r="G445"/>
  <c r="F445"/>
  <c r="C445"/>
  <c r="K444"/>
  <c r="J444"/>
  <c r="G444"/>
  <c r="F444"/>
  <c r="C444"/>
  <c r="K443"/>
  <c r="J443"/>
  <c r="G443"/>
  <c r="F443"/>
  <c r="C443"/>
  <c r="K442"/>
  <c r="J442"/>
  <c r="G442"/>
  <c r="F442"/>
  <c r="C442"/>
  <c r="K441"/>
  <c r="J441"/>
  <c r="G441"/>
  <c r="F441"/>
  <c r="C441"/>
  <c r="K440"/>
  <c r="J440"/>
  <c r="G440"/>
  <c r="F440"/>
  <c r="C440"/>
  <c r="K439"/>
  <c r="J439"/>
  <c r="G439"/>
  <c r="F439"/>
  <c r="C439"/>
  <c r="K438"/>
  <c r="J438"/>
  <c r="G438"/>
  <c r="F438"/>
  <c r="C438"/>
  <c r="K437"/>
  <c r="J437"/>
  <c r="G437"/>
  <c r="F437"/>
  <c r="C437"/>
  <c r="K436"/>
  <c r="J436"/>
  <c r="G436"/>
  <c r="F436"/>
  <c r="C436"/>
  <c r="K435"/>
  <c r="J435"/>
  <c r="G435"/>
  <c r="F435"/>
  <c r="C435"/>
  <c r="K434"/>
  <c r="J434"/>
  <c r="G434"/>
  <c r="F434"/>
  <c r="C434"/>
  <c r="K433"/>
  <c r="J433"/>
  <c r="G433"/>
  <c r="F433"/>
  <c r="C433"/>
  <c r="K432"/>
  <c r="J432"/>
  <c r="G432"/>
  <c r="F432"/>
  <c r="C432"/>
  <c r="K431"/>
  <c r="J431"/>
  <c r="G431"/>
  <c r="F431"/>
  <c r="C431"/>
  <c r="K430"/>
  <c r="J430"/>
  <c r="G430"/>
  <c r="F430"/>
  <c r="C430"/>
  <c r="K429"/>
  <c r="J429"/>
  <c r="G429"/>
  <c r="F429"/>
  <c r="C429"/>
  <c r="K428"/>
  <c r="G428"/>
  <c r="F428"/>
  <c r="C428"/>
  <c r="K427"/>
  <c r="J427"/>
  <c r="G427"/>
  <c r="F427"/>
  <c r="C427"/>
  <c r="K426"/>
  <c r="J426"/>
  <c r="G426"/>
  <c r="F426"/>
  <c r="C426"/>
  <c r="K425"/>
  <c r="J425"/>
  <c r="G425"/>
  <c r="F425"/>
  <c r="C425"/>
  <c r="K424"/>
  <c r="J424"/>
  <c r="G424"/>
  <c r="F424"/>
  <c r="C424"/>
  <c r="K423"/>
  <c r="J423"/>
  <c r="G423"/>
  <c r="F423"/>
  <c r="C423"/>
  <c r="K422"/>
  <c r="J422"/>
  <c r="G422"/>
  <c r="F422"/>
  <c r="C422"/>
  <c r="K421"/>
  <c r="G421"/>
  <c r="F421"/>
  <c r="C421"/>
  <c r="K420"/>
  <c r="J420"/>
  <c r="G420"/>
  <c r="F420"/>
  <c r="C420"/>
  <c r="K419"/>
  <c r="J419"/>
  <c r="G419"/>
  <c r="F419"/>
  <c r="C419"/>
  <c r="K418"/>
  <c r="J418"/>
  <c r="G418"/>
  <c r="F418"/>
  <c r="C418"/>
  <c r="K417"/>
  <c r="J417"/>
  <c r="G417"/>
  <c r="F417"/>
  <c r="C417"/>
  <c r="K416"/>
  <c r="J416"/>
  <c r="G416"/>
  <c r="F416"/>
  <c r="C416"/>
  <c r="K415"/>
  <c r="J415"/>
  <c r="G415"/>
  <c r="F415"/>
  <c r="C415"/>
  <c r="K414"/>
  <c r="J414"/>
  <c r="G414"/>
  <c r="F414"/>
  <c r="C414"/>
  <c r="K413"/>
  <c r="J413"/>
  <c r="G413"/>
  <c r="F413"/>
  <c r="C413"/>
  <c r="K412"/>
  <c r="J412"/>
  <c r="G412"/>
  <c r="F412"/>
  <c r="C412"/>
  <c r="K411"/>
  <c r="J411"/>
  <c r="G411"/>
  <c r="F411"/>
  <c r="C411"/>
  <c r="K410"/>
  <c r="J410"/>
  <c r="G410"/>
  <c r="F410"/>
  <c r="C410"/>
  <c r="K409"/>
  <c r="J409"/>
  <c r="G409"/>
  <c r="F409"/>
  <c r="C409"/>
  <c r="K408"/>
  <c r="J408"/>
  <c r="G408"/>
  <c r="F408"/>
  <c r="C408"/>
  <c r="K407"/>
  <c r="J407"/>
  <c r="G407"/>
  <c r="F407"/>
  <c r="C407"/>
  <c r="K406"/>
  <c r="J406"/>
  <c r="G406"/>
  <c r="F406"/>
  <c r="C406"/>
  <c r="K405"/>
  <c r="J405"/>
  <c r="G405"/>
  <c r="F405"/>
  <c r="C405"/>
  <c r="K404"/>
  <c r="J404"/>
  <c r="G404"/>
  <c r="F404"/>
  <c r="C404"/>
  <c r="K403"/>
  <c r="G403"/>
  <c r="F403"/>
  <c r="C403"/>
  <c r="K402"/>
  <c r="J402"/>
  <c r="G402"/>
  <c r="F402"/>
  <c r="C402"/>
  <c r="K401"/>
  <c r="J401"/>
  <c r="G401"/>
  <c r="F401"/>
  <c r="C401"/>
  <c r="K400"/>
  <c r="J400"/>
  <c r="G400"/>
  <c r="F400"/>
  <c r="C400"/>
  <c r="K399"/>
  <c r="J399"/>
  <c r="G399"/>
  <c r="F399"/>
  <c r="C399"/>
  <c r="K398"/>
  <c r="J398"/>
  <c r="G398"/>
  <c r="F398"/>
  <c r="C398"/>
  <c r="K397"/>
  <c r="J397"/>
  <c r="G397"/>
  <c r="F397"/>
  <c r="C397"/>
  <c r="K396"/>
  <c r="J396"/>
  <c r="G396"/>
  <c r="F396"/>
  <c r="C396"/>
  <c r="K395"/>
  <c r="J395"/>
  <c r="G395"/>
  <c r="F395"/>
  <c r="C395"/>
  <c r="K394"/>
  <c r="J394"/>
  <c r="G394"/>
  <c r="F394"/>
  <c r="C394"/>
  <c r="K393"/>
  <c r="J393"/>
  <c r="G393"/>
  <c r="F393"/>
  <c r="C393"/>
  <c r="K392"/>
  <c r="J392"/>
  <c r="G392"/>
  <c r="F392"/>
  <c r="C392"/>
  <c r="K391"/>
  <c r="J391"/>
  <c r="G391"/>
  <c r="F391"/>
  <c r="C391"/>
  <c r="K390"/>
  <c r="J390"/>
  <c r="G390"/>
  <c r="F390"/>
  <c r="C390"/>
  <c r="K389"/>
  <c r="J389"/>
  <c r="G389"/>
  <c r="F389"/>
  <c r="C389"/>
  <c r="K388"/>
  <c r="J388"/>
  <c r="G388"/>
  <c r="F388"/>
  <c r="C388"/>
  <c r="K387"/>
  <c r="J387"/>
  <c r="G387"/>
  <c r="F387"/>
  <c r="C387"/>
  <c r="K386"/>
  <c r="J386"/>
  <c r="G386"/>
  <c r="F386"/>
  <c r="C386"/>
  <c r="K385"/>
  <c r="J385"/>
  <c r="G385"/>
  <c r="F385"/>
  <c r="C385"/>
  <c r="K384"/>
  <c r="J384"/>
  <c r="G384"/>
  <c r="F384"/>
  <c r="C384"/>
  <c r="K383"/>
  <c r="J383"/>
  <c r="G383"/>
  <c r="F383"/>
  <c r="C383"/>
  <c r="K382"/>
  <c r="J382"/>
  <c r="G382"/>
  <c r="F382"/>
  <c r="C382"/>
  <c r="K381"/>
  <c r="J381"/>
  <c r="G381"/>
  <c r="F381"/>
  <c r="C381"/>
  <c r="K380"/>
  <c r="J380"/>
  <c r="G380"/>
  <c r="F380"/>
  <c r="C380"/>
  <c r="K379"/>
  <c r="J379"/>
  <c r="G379"/>
  <c r="F379"/>
  <c r="C379"/>
  <c r="K378"/>
  <c r="J378"/>
  <c r="G378"/>
  <c r="F378"/>
  <c r="C378"/>
  <c r="K377"/>
  <c r="J377"/>
  <c r="G377"/>
  <c r="F377"/>
  <c r="C377"/>
  <c r="K376"/>
  <c r="J376"/>
  <c r="G376"/>
  <c r="F376"/>
  <c r="C376"/>
  <c r="K375"/>
  <c r="J375"/>
  <c r="G375"/>
  <c r="F375"/>
  <c r="C375"/>
  <c r="K374"/>
  <c r="J374"/>
  <c r="G374"/>
  <c r="F374"/>
  <c r="C374"/>
  <c r="K373"/>
  <c r="J373"/>
  <c r="G373"/>
  <c r="F373"/>
  <c r="C373"/>
  <c r="K372"/>
  <c r="J372"/>
  <c r="G372"/>
  <c r="F372"/>
  <c r="C372"/>
  <c r="K371"/>
  <c r="J371"/>
  <c r="G371"/>
  <c r="F371"/>
  <c r="C371"/>
  <c r="K370"/>
  <c r="J370"/>
  <c r="G370"/>
  <c r="F370"/>
  <c r="C370"/>
  <c r="K369"/>
  <c r="J369"/>
  <c r="G369"/>
  <c r="F369"/>
  <c r="C369"/>
  <c r="K368"/>
  <c r="J368"/>
  <c r="G368"/>
  <c r="F368"/>
  <c r="C368"/>
  <c r="K367"/>
  <c r="J367"/>
  <c r="G367"/>
  <c r="F367"/>
  <c r="C367"/>
  <c r="K366"/>
  <c r="J366"/>
  <c r="G366"/>
  <c r="F366"/>
  <c r="C366"/>
  <c r="K365"/>
  <c r="J365"/>
  <c r="G365"/>
  <c r="F365"/>
  <c r="C365"/>
  <c r="K364"/>
  <c r="J364"/>
  <c r="G364"/>
  <c r="F364"/>
  <c r="C364"/>
  <c r="K363"/>
  <c r="J363"/>
  <c r="G363"/>
  <c r="F363"/>
  <c r="C363"/>
  <c r="K362"/>
  <c r="J362"/>
  <c r="G362"/>
  <c r="F362"/>
  <c r="C362"/>
  <c r="K361"/>
  <c r="J361"/>
  <c r="G361"/>
  <c r="F361"/>
  <c r="C361"/>
  <c r="K360"/>
  <c r="J360"/>
  <c r="G360"/>
  <c r="F360"/>
  <c r="C360"/>
  <c r="K359"/>
  <c r="J359"/>
  <c r="G359"/>
  <c r="F359"/>
  <c r="C359"/>
  <c r="K358"/>
  <c r="J358"/>
  <c r="G358"/>
  <c r="F358"/>
  <c r="C358"/>
  <c r="K357"/>
  <c r="J357"/>
  <c r="G357"/>
  <c r="F357"/>
  <c r="C357"/>
  <c r="K356"/>
  <c r="J356"/>
  <c r="G356"/>
  <c r="F356"/>
  <c r="C356"/>
  <c r="K355"/>
  <c r="J355"/>
  <c r="G355"/>
  <c r="F355"/>
  <c r="C355"/>
  <c r="K354"/>
  <c r="J354"/>
  <c r="G354"/>
  <c r="F354"/>
  <c r="C354"/>
  <c r="K353"/>
  <c r="J353"/>
  <c r="G353"/>
  <c r="F353"/>
  <c r="C353"/>
  <c r="K352"/>
  <c r="J352"/>
  <c r="G352"/>
  <c r="F352"/>
  <c r="C352"/>
  <c r="K351"/>
  <c r="J351"/>
  <c r="G351"/>
  <c r="F351"/>
  <c r="C351"/>
  <c r="K350"/>
  <c r="J350"/>
  <c r="G350"/>
  <c r="F350"/>
  <c r="C350"/>
  <c r="K349"/>
  <c r="J349"/>
  <c r="G349"/>
  <c r="F349"/>
  <c r="C349"/>
  <c r="K348"/>
  <c r="J348"/>
  <c r="G348"/>
  <c r="F348"/>
  <c r="C348"/>
  <c r="K347"/>
  <c r="J347"/>
  <c r="G347"/>
  <c r="F347"/>
  <c r="C347"/>
  <c r="K346"/>
  <c r="J346"/>
  <c r="G346"/>
  <c r="F346"/>
  <c r="C346"/>
  <c r="K345"/>
  <c r="J345"/>
  <c r="G345"/>
  <c r="F345"/>
  <c r="C345"/>
  <c r="K344"/>
  <c r="J344"/>
  <c r="G344"/>
  <c r="F344"/>
  <c r="C344"/>
  <c r="K343"/>
  <c r="J343"/>
  <c r="G343"/>
  <c r="F343"/>
  <c r="C343"/>
  <c r="K342"/>
  <c r="J342"/>
  <c r="G342"/>
  <c r="F342"/>
  <c r="C342"/>
  <c r="K341"/>
  <c r="J341"/>
  <c r="G341"/>
  <c r="F341"/>
  <c r="C341"/>
  <c r="K340"/>
  <c r="J340"/>
  <c r="G340"/>
  <c r="F340"/>
  <c r="C340"/>
  <c r="K339"/>
  <c r="J339"/>
  <c r="G339"/>
  <c r="F339"/>
  <c r="C339"/>
  <c r="K338"/>
  <c r="J338"/>
  <c r="G338"/>
  <c r="F338"/>
  <c r="C338"/>
  <c r="K337"/>
  <c r="J337"/>
  <c r="G337"/>
  <c r="F337"/>
  <c r="C337"/>
  <c r="K336"/>
  <c r="J336"/>
  <c r="G336"/>
  <c r="F336"/>
  <c r="C336"/>
  <c r="K335"/>
  <c r="J335"/>
  <c r="G335"/>
  <c r="F335"/>
  <c r="C335"/>
  <c r="K334"/>
  <c r="J334"/>
  <c r="G334"/>
  <c r="F334"/>
  <c r="C334"/>
  <c r="K333"/>
  <c r="J333"/>
  <c r="G333"/>
  <c r="F333"/>
  <c r="C333"/>
  <c r="K332"/>
  <c r="J332"/>
  <c r="G332"/>
  <c r="F332"/>
  <c r="C332"/>
  <c r="K331"/>
  <c r="J331"/>
  <c r="G331"/>
  <c r="F331"/>
  <c r="C331"/>
  <c r="K330"/>
  <c r="J330"/>
  <c r="G330"/>
  <c r="F330"/>
  <c r="C330"/>
  <c r="K329"/>
  <c r="J329"/>
  <c r="G329"/>
  <c r="F329"/>
  <c r="C329"/>
  <c r="K328"/>
  <c r="J328"/>
  <c r="G328"/>
  <c r="F328"/>
  <c r="C328"/>
  <c r="K327"/>
  <c r="J327"/>
  <c r="G327"/>
  <c r="F327"/>
  <c r="C327"/>
  <c r="K326"/>
  <c r="J326"/>
  <c r="G326"/>
  <c r="F326"/>
  <c r="C326"/>
  <c r="K325"/>
  <c r="J325"/>
  <c r="G325"/>
  <c r="F325"/>
  <c r="C325"/>
  <c r="K324"/>
  <c r="J324"/>
  <c r="G324"/>
  <c r="F324"/>
  <c r="C324"/>
  <c r="K323"/>
  <c r="J323"/>
  <c r="G323"/>
  <c r="F323"/>
  <c r="C323"/>
  <c r="K322"/>
  <c r="J322"/>
  <c r="G322"/>
  <c r="F322"/>
  <c r="C322"/>
  <c r="K321"/>
  <c r="J321"/>
  <c r="G321"/>
  <c r="F321"/>
  <c r="C321"/>
  <c r="K320"/>
  <c r="J320"/>
  <c r="G320"/>
  <c r="F320"/>
  <c r="C320"/>
  <c r="K319"/>
  <c r="J319"/>
  <c r="G319"/>
  <c r="F319"/>
  <c r="C319"/>
  <c r="K318"/>
  <c r="J318"/>
  <c r="G318"/>
  <c r="F318"/>
  <c r="C318"/>
  <c r="K317"/>
  <c r="J317"/>
  <c r="G317"/>
  <c r="F317"/>
  <c r="C317"/>
  <c r="K316"/>
  <c r="J316"/>
  <c r="G316"/>
  <c r="F316"/>
  <c r="C316"/>
  <c r="K315"/>
  <c r="J315"/>
  <c r="G315"/>
  <c r="F315"/>
  <c r="C315"/>
  <c r="K314"/>
  <c r="J314"/>
  <c r="G314"/>
  <c r="F314"/>
  <c r="C314"/>
  <c r="K313"/>
  <c r="J313"/>
  <c r="G313"/>
  <c r="F313"/>
  <c r="C313"/>
  <c r="K312"/>
  <c r="J312"/>
  <c r="G312"/>
  <c r="F312"/>
  <c r="C312"/>
  <c r="K311"/>
  <c r="J311"/>
  <c r="G311"/>
  <c r="F311"/>
  <c r="C311"/>
  <c r="K310"/>
  <c r="J310"/>
  <c r="G310"/>
  <c r="F310"/>
  <c r="C310"/>
  <c r="K309"/>
  <c r="J309"/>
  <c r="G309"/>
  <c r="F309"/>
  <c r="C309"/>
  <c r="K308"/>
  <c r="J308"/>
  <c r="G308"/>
  <c r="F308"/>
  <c r="C308"/>
  <c r="K307"/>
  <c r="J307"/>
  <c r="G307"/>
  <c r="F307"/>
  <c r="C307"/>
  <c r="K306"/>
  <c r="J306"/>
  <c r="G306"/>
  <c r="F306"/>
  <c r="C306"/>
  <c r="K305"/>
  <c r="J305"/>
  <c r="G305"/>
  <c r="F305"/>
  <c r="C305"/>
  <c r="K304"/>
  <c r="J304"/>
  <c r="G304"/>
  <c r="F304"/>
  <c r="C304"/>
  <c r="K303"/>
  <c r="J303"/>
  <c r="G303"/>
  <c r="F303"/>
  <c r="C303"/>
  <c r="K302"/>
  <c r="J302"/>
  <c r="G302"/>
  <c r="F302"/>
  <c r="C302"/>
  <c r="K301"/>
  <c r="J301"/>
  <c r="G301"/>
  <c r="F301"/>
  <c r="C301"/>
  <c r="K300"/>
  <c r="J300"/>
  <c r="G300"/>
  <c r="F300"/>
  <c r="C300"/>
  <c r="K299"/>
  <c r="J299"/>
  <c r="G299"/>
  <c r="F299"/>
  <c r="C299"/>
  <c r="K298"/>
  <c r="J298"/>
  <c r="G298"/>
  <c r="F298"/>
  <c r="C298"/>
  <c r="K297"/>
  <c r="J297"/>
  <c r="G297"/>
  <c r="F297"/>
  <c r="C297"/>
  <c r="K296"/>
  <c r="J296"/>
  <c r="G296"/>
  <c r="F296"/>
  <c r="C296"/>
  <c r="K295"/>
  <c r="J295"/>
  <c r="G295"/>
  <c r="F295"/>
  <c r="C295"/>
  <c r="K294"/>
  <c r="J294"/>
  <c r="G294"/>
  <c r="F294"/>
  <c r="C294"/>
  <c r="K293"/>
  <c r="J293"/>
  <c r="G293"/>
  <c r="F293"/>
  <c r="C293"/>
  <c r="K292"/>
  <c r="J292"/>
  <c r="G292"/>
  <c r="F292"/>
  <c r="C292"/>
  <c r="K291"/>
  <c r="J291"/>
  <c r="G291"/>
  <c r="F291"/>
  <c r="C291"/>
  <c r="K290"/>
  <c r="J290"/>
  <c r="G290"/>
  <c r="F290"/>
  <c r="C290"/>
  <c r="K289"/>
  <c r="J289"/>
  <c r="G289"/>
  <c r="F289"/>
  <c r="C289"/>
  <c r="K288"/>
  <c r="J288"/>
  <c r="G288"/>
  <c r="F288"/>
  <c r="C288"/>
  <c r="K287"/>
  <c r="J287"/>
  <c r="G287"/>
  <c r="F287"/>
  <c r="C287"/>
  <c r="K286"/>
  <c r="J286"/>
  <c r="G286"/>
  <c r="F286"/>
  <c r="C286"/>
  <c r="K285"/>
  <c r="J285"/>
  <c r="G285"/>
  <c r="F285"/>
  <c r="C285"/>
  <c r="K284"/>
  <c r="J284"/>
  <c r="G284"/>
  <c r="F284"/>
  <c r="C284"/>
  <c r="K283"/>
  <c r="G283"/>
  <c r="F283"/>
  <c r="C283"/>
  <c r="K282"/>
  <c r="J282"/>
  <c r="G282"/>
  <c r="F282"/>
  <c r="C282"/>
  <c r="K281"/>
  <c r="G281"/>
  <c r="F281"/>
  <c r="C281"/>
  <c r="K280"/>
  <c r="J280"/>
  <c r="G280"/>
  <c r="F280"/>
  <c r="C280"/>
  <c r="K279"/>
  <c r="G279"/>
  <c r="F279"/>
  <c r="C279"/>
  <c r="K278"/>
  <c r="J278"/>
  <c r="G278"/>
  <c r="F278"/>
  <c r="C278"/>
  <c r="K277"/>
  <c r="J277"/>
  <c r="G277"/>
  <c r="F277"/>
  <c r="C277"/>
  <c r="K276"/>
  <c r="J276"/>
  <c r="G276"/>
  <c r="F276"/>
  <c r="C276"/>
  <c r="K275"/>
  <c r="G275"/>
  <c r="F275"/>
  <c r="C275"/>
  <c r="K274"/>
  <c r="J274"/>
  <c r="G274"/>
  <c r="F274"/>
  <c r="C274"/>
  <c r="K273"/>
  <c r="J273"/>
  <c r="G273"/>
  <c r="F273"/>
  <c r="C273"/>
  <c r="K272"/>
  <c r="J272"/>
  <c r="G272"/>
  <c r="F272"/>
  <c r="C272"/>
  <c r="K271"/>
  <c r="J271"/>
  <c r="G271"/>
  <c r="F271"/>
  <c r="C271"/>
  <c r="K270"/>
  <c r="J270"/>
  <c r="G270"/>
  <c r="F270"/>
  <c r="C270"/>
  <c r="K269"/>
  <c r="J269"/>
  <c r="G269"/>
  <c r="F269"/>
  <c r="C269"/>
  <c r="K268"/>
  <c r="J268"/>
  <c r="G268"/>
  <c r="F268"/>
  <c r="C268"/>
  <c r="K267"/>
  <c r="J267"/>
  <c r="G267"/>
  <c r="F267"/>
  <c r="C267"/>
  <c r="K266"/>
  <c r="J266"/>
  <c r="G266"/>
  <c r="F266"/>
  <c r="C266"/>
  <c r="K265"/>
  <c r="J265"/>
  <c r="G265"/>
  <c r="F265"/>
  <c r="C265"/>
  <c r="K264"/>
  <c r="J264"/>
  <c r="G264"/>
  <c r="F264"/>
  <c r="C264"/>
  <c r="K263"/>
  <c r="J263"/>
  <c r="G263"/>
  <c r="F263"/>
  <c r="C263"/>
  <c r="K262"/>
  <c r="J262"/>
  <c r="G262"/>
  <c r="F262"/>
  <c r="C262"/>
  <c r="K261"/>
  <c r="J261"/>
  <c r="G261"/>
  <c r="F261"/>
  <c r="C261"/>
  <c r="K260"/>
  <c r="J260"/>
  <c r="G260"/>
  <c r="F260"/>
  <c r="C260"/>
  <c r="K259"/>
  <c r="J259"/>
  <c r="G259"/>
  <c r="F259"/>
  <c r="C259"/>
  <c r="K258"/>
  <c r="J258"/>
  <c r="G258"/>
  <c r="F258"/>
  <c r="C258"/>
  <c r="K257"/>
  <c r="J257"/>
  <c r="G257"/>
  <c r="F257"/>
  <c r="C257"/>
  <c r="K256"/>
  <c r="J256"/>
  <c r="G256"/>
  <c r="F256"/>
  <c r="C256"/>
  <c r="K255"/>
  <c r="J255"/>
  <c r="G255"/>
  <c r="F255"/>
  <c r="C255"/>
  <c r="K254"/>
  <c r="J254"/>
  <c r="G254"/>
  <c r="F254"/>
  <c r="C254"/>
  <c r="K253"/>
  <c r="J253"/>
  <c r="G253"/>
  <c r="F253"/>
  <c r="C253"/>
  <c r="K252"/>
  <c r="J252"/>
  <c r="G252"/>
  <c r="F252"/>
  <c r="C252"/>
  <c r="K251"/>
  <c r="J251"/>
  <c r="G251"/>
  <c r="F251"/>
  <c r="C251"/>
  <c r="K250"/>
  <c r="J250"/>
  <c r="G250"/>
  <c r="F250"/>
  <c r="C250"/>
  <c r="K249"/>
  <c r="J249"/>
  <c r="G249"/>
  <c r="F249"/>
  <c r="C249"/>
  <c r="K248"/>
  <c r="J248"/>
  <c r="G248"/>
  <c r="F248"/>
  <c r="C248"/>
  <c r="K247"/>
  <c r="J247"/>
  <c r="G247"/>
  <c r="F247"/>
  <c r="C247"/>
  <c r="K246"/>
  <c r="J246"/>
  <c r="G246"/>
  <c r="F246"/>
  <c r="C246"/>
  <c r="K245"/>
  <c r="J245"/>
  <c r="G245"/>
  <c r="F245"/>
  <c r="C245"/>
  <c r="K244"/>
  <c r="J244"/>
  <c r="G244"/>
  <c r="F244"/>
  <c r="C244"/>
  <c r="K243"/>
  <c r="J243"/>
  <c r="G243"/>
  <c r="F243"/>
  <c r="C243"/>
  <c r="K242"/>
  <c r="G242"/>
  <c r="F242"/>
  <c r="C242"/>
  <c r="K241"/>
  <c r="J241"/>
  <c r="G241"/>
  <c r="F241"/>
  <c r="C241"/>
  <c r="K240"/>
  <c r="J240"/>
  <c r="G240"/>
  <c r="F240"/>
  <c r="C240"/>
  <c r="K239"/>
  <c r="J239"/>
  <c r="G239"/>
  <c r="F239"/>
  <c r="C239"/>
  <c r="K238"/>
  <c r="J238"/>
  <c r="G238"/>
  <c r="F238"/>
  <c r="C238"/>
  <c r="K237"/>
  <c r="J237"/>
  <c r="G237"/>
  <c r="F237"/>
  <c r="C237"/>
  <c r="K236"/>
  <c r="J236"/>
  <c r="G236"/>
  <c r="F236"/>
  <c r="C236"/>
  <c r="K235"/>
  <c r="J235"/>
  <c r="G235"/>
  <c r="F235"/>
  <c r="C235"/>
  <c r="K234"/>
  <c r="J234"/>
  <c r="G234"/>
  <c r="F234"/>
  <c r="C234"/>
  <c r="K233"/>
  <c r="J233"/>
  <c r="G233"/>
  <c r="F233"/>
  <c r="C233"/>
  <c r="K232"/>
  <c r="J232"/>
  <c r="G232"/>
  <c r="F232"/>
  <c r="C232"/>
  <c r="K231"/>
  <c r="J231"/>
  <c r="G231"/>
  <c r="F231"/>
  <c r="C231"/>
  <c r="K230"/>
  <c r="J230"/>
  <c r="G230"/>
  <c r="F230"/>
  <c r="C230"/>
  <c r="K229"/>
  <c r="J229"/>
  <c r="G229"/>
  <c r="F229"/>
  <c r="C229"/>
  <c r="K228"/>
  <c r="J228"/>
  <c r="G228"/>
  <c r="F228"/>
  <c r="C228"/>
  <c r="K227"/>
  <c r="J227"/>
  <c r="G227"/>
  <c r="F227"/>
  <c r="C227"/>
  <c r="K226"/>
  <c r="J226"/>
  <c r="G226"/>
  <c r="F226"/>
  <c r="C226"/>
  <c r="K225"/>
  <c r="J225"/>
  <c r="G225"/>
  <c r="F225"/>
  <c r="C225"/>
  <c r="K224"/>
  <c r="J224"/>
  <c r="G224"/>
  <c r="F224"/>
  <c r="C224"/>
  <c r="K223"/>
  <c r="J223"/>
  <c r="G223"/>
  <c r="F223"/>
  <c r="C223"/>
  <c r="K222"/>
  <c r="J222"/>
  <c r="G222"/>
  <c r="F222"/>
  <c r="C222"/>
  <c r="K221"/>
  <c r="J221"/>
  <c r="G221"/>
  <c r="F221"/>
  <c r="C221"/>
  <c r="K220"/>
  <c r="J220"/>
  <c r="G220"/>
  <c r="F220"/>
  <c r="C220"/>
  <c r="K219"/>
  <c r="J219"/>
  <c r="G219"/>
  <c r="F219"/>
  <c r="C219"/>
  <c r="K218"/>
  <c r="J218"/>
  <c r="G218"/>
  <c r="F218"/>
  <c r="C218"/>
  <c r="K217"/>
  <c r="J217"/>
  <c r="G217"/>
  <c r="F217"/>
  <c r="C217"/>
  <c r="K216"/>
  <c r="J216"/>
  <c r="G216"/>
  <c r="F216"/>
  <c r="C216"/>
  <c r="K215"/>
  <c r="J215"/>
  <c r="G215"/>
  <c r="F215"/>
  <c r="C215"/>
  <c r="K214"/>
  <c r="J214"/>
  <c r="G214"/>
  <c r="F214"/>
  <c r="C214"/>
  <c r="K213"/>
  <c r="J213"/>
  <c r="G213"/>
  <c r="F213"/>
  <c r="C213"/>
  <c r="K212"/>
  <c r="J212"/>
  <c r="G212"/>
  <c r="F212"/>
  <c r="C212"/>
  <c r="K211"/>
  <c r="J211"/>
  <c r="G211"/>
  <c r="F211"/>
  <c r="C211"/>
  <c r="K210"/>
  <c r="J210"/>
  <c r="G210"/>
  <c r="F210"/>
  <c r="C210"/>
  <c r="K209"/>
  <c r="J209"/>
  <c r="G209"/>
  <c r="F209"/>
  <c r="C209"/>
  <c r="K208"/>
  <c r="J208"/>
  <c r="G208"/>
  <c r="F208"/>
  <c r="C208"/>
  <c r="K207"/>
  <c r="J207"/>
  <c r="G207"/>
  <c r="F207"/>
  <c r="C207"/>
  <c r="K206"/>
  <c r="J206"/>
  <c r="G206"/>
  <c r="F206"/>
  <c r="C206"/>
  <c r="K205"/>
  <c r="J205"/>
  <c r="G205"/>
  <c r="F205"/>
  <c r="C205"/>
  <c r="K204"/>
  <c r="J204"/>
  <c r="G204"/>
  <c r="F204"/>
  <c r="C204"/>
  <c r="K203"/>
  <c r="J203"/>
  <c r="G203"/>
  <c r="F203"/>
  <c r="C203"/>
  <c r="K202"/>
  <c r="J202"/>
  <c r="G202"/>
  <c r="F202"/>
  <c r="C202"/>
  <c r="K201"/>
  <c r="J201"/>
  <c r="G201"/>
  <c r="F201"/>
  <c r="C201"/>
  <c r="K200"/>
  <c r="J200"/>
  <c r="G200"/>
  <c r="F200"/>
  <c r="C200"/>
  <c r="K199"/>
  <c r="J199"/>
  <c r="G199"/>
  <c r="F199"/>
  <c r="C199"/>
  <c r="K198"/>
  <c r="J198"/>
  <c r="G198"/>
  <c r="F198"/>
  <c r="C198"/>
  <c r="K197"/>
  <c r="J197"/>
  <c r="G197"/>
  <c r="F197"/>
  <c r="C197"/>
  <c r="K196"/>
  <c r="J196"/>
  <c r="G196"/>
  <c r="F196"/>
  <c r="C196"/>
  <c r="K195"/>
  <c r="J195"/>
  <c r="G195"/>
  <c r="F195"/>
  <c r="C195"/>
  <c r="K194"/>
  <c r="J194"/>
  <c r="G194"/>
  <c r="F194"/>
  <c r="C194"/>
  <c r="K193"/>
  <c r="J193"/>
  <c r="G193"/>
  <c r="F193"/>
  <c r="C193"/>
  <c r="K192"/>
  <c r="J192"/>
  <c r="G192"/>
  <c r="F192"/>
  <c r="C192"/>
  <c r="K191"/>
  <c r="J191"/>
  <c r="G191"/>
  <c r="F191"/>
  <c r="C191"/>
  <c r="K190"/>
  <c r="J190"/>
  <c r="G190"/>
  <c r="F190"/>
  <c r="C190"/>
  <c r="K189"/>
  <c r="J189"/>
  <c r="G189"/>
  <c r="F189"/>
  <c r="C189"/>
  <c r="K188"/>
  <c r="J188"/>
  <c r="G188"/>
  <c r="F188"/>
  <c r="C188"/>
  <c r="K187"/>
  <c r="J187"/>
  <c r="G187"/>
  <c r="F187"/>
  <c r="C187"/>
  <c r="K186"/>
  <c r="J186"/>
  <c r="G186"/>
  <c r="F186"/>
  <c r="C186"/>
  <c r="K185"/>
  <c r="J185"/>
  <c r="G185"/>
  <c r="F185"/>
  <c r="C185"/>
  <c r="K184"/>
  <c r="J184"/>
  <c r="G184"/>
  <c r="F184"/>
  <c r="C184"/>
  <c r="K183"/>
  <c r="J183"/>
  <c r="G183"/>
  <c r="F183"/>
  <c r="C183"/>
  <c r="K182"/>
  <c r="J182"/>
  <c r="G182"/>
  <c r="F182"/>
  <c r="C182"/>
  <c r="K181"/>
  <c r="J181"/>
  <c r="G181"/>
  <c r="F181"/>
  <c r="C181"/>
  <c r="K180"/>
  <c r="J180"/>
  <c r="G180"/>
  <c r="F180"/>
  <c r="C180"/>
  <c r="K179"/>
  <c r="J179"/>
  <c r="G179"/>
  <c r="F179"/>
  <c r="C179"/>
  <c r="K178"/>
  <c r="J178"/>
  <c r="G178"/>
  <c r="F178"/>
  <c r="C178"/>
  <c r="K177"/>
  <c r="J177"/>
  <c r="G177"/>
  <c r="F177"/>
  <c r="C177"/>
  <c r="K176"/>
  <c r="J176"/>
  <c r="G176"/>
  <c r="F176"/>
  <c r="C176"/>
  <c r="K175"/>
  <c r="J175"/>
  <c r="G175"/>
  <c r="F175"/>
  <c r="C175"/>
  <c r="K174"/>
  <c r="J174"/>
  <c r="G174"/>
  <c r="F174"/>
  <c r="C174"/>
  <c r="K173"/>
  <c r="J173"/>
  <c r="G173"/>
  <c r="F173"/>
  <c r="C173"/>
  <c r="K172"/>
  <c r="J172"/>
  <c r="G172"/>
  <c r="F172"/>
  <c r="C172"/>
  <c r="K171"/>
  <c r="J171"/>
  <c r="G171"/>
  <c r="F171"/>
  <c r="C171"/>
  <c r="K170"/>
  <c r="J170"/>
  <c r="G170"/>
  <c r="F170"/>
  <c r="C170"/>
  <c r="K169"/>
  <c r="J169"/>
  <c r="G169"/>
  <c r="F169"/>
  <c r="C169"/>
  <c r="K168"/>
  <c r="J168"/>
  <c r="G168"/>
  <c r="F168"/>
  <c r="C168"/>
  <c r="K167"/>
  <c r="J167"/>
  <c r="G167"/>
  <c r="F167"/>
  <c r="C167"/>
  <c r="K166"/>
  <c r="J166"/>
  <c r="G166"/>
  <c r="F166"/>
  <c r="C166"/>
  <c r="K165"/>
  <c r="J165"/>
  <c r="G165"/>
  <c r="F165"/>
  <c r="C165"/>
  <c r="K164"/>
  <c r="J164"/>
  <c r="G164"/>
  <c r="F164"/>
  <c r="C164"/>
  <c r="K163"/>
  <c r="J163"/>
  <c r="G163"/>
  <c r="F163"/>
  <c r="C163"/>
  <c r="K162"/>
  <c r="J162"/>
  <c r="G162"/>
  <c r="F162"/>
  <c r="C162"/>
  <c r="K161"/>
  <c r="J161"/>
  <c r="G161"/>
  <c r="F161"/>
  <c r="C161"/>
  <c r="K160"/>
  <c r="J160"/>
  <c r="G160"/>
  <c r="F160"/>
  <c r="C160"/>
  <c r="K159"/>
  <c r="J159"/>
  <c r="G159"/>
  <c r="F159"/>
  <c r="C159"/>
  <c r="K158"/>
  <c r="J158"/>
  <c r="G158"/>
  <c r="F158"/>
  <c r="C158"/>
  <c r="K157"/>
  <c r="J157"/>
  <c r="G157"/>
  <c r="F157"/>
  <c r="C157"/>
  <c r="K156"/>
  <c r="J156"/>
  <c r="G156"/>
  <c r="F156"/>
  <c r="C156"/>
  <c r="K155"/>
  <c r="J155"/>
  <c r="G155"/>
  <c r="F155"/>
  <c r="C155"/>
  <c r="K154"/>
  <c r="J154"/>
  <c r="G154"/>
  <c r="F154"/>
  <c r="C154"/>
  <c r="K153"/>
  <c r="J153"/>
  <c r="G153"/>
  <c r="F153"/>
  <c r="C153"/>
  <c r="K152"/>
  <c r="J152"/>
  <c r="G152"/>
  <c r="F152"/>
  <c r="C152"/>
  <c r="K151"/>
  <c r="J151"/>
  <c r="G151"/>
  <c r="F151"/>
  <c r="C151"/>
  <c r="K150"/>
  <c r="J150"/>
  <c r="G150"/>
  <c r="F150"/>
  <c r="C150"/>
  <c r="K149"/>
  <c r="J149"/>
  <c r="G149"/>
  <c r="F149"/>
  <c r="C149"/>
  <c r="K148"/>
  <c r="J148"/>
  <c r="G148"/>
  <c r="F148"/>
  <c r="C148"/>
  <c r="K147"/>
  <c r="J147"/>
  <c r="G147"/>
  <c r="F147"/>
  <c r="C147"/>
  <c r="K146"/>
  <c r="J146"/>
  <c r="G146"/>
  <c r="F146"/>
  <c r="C146"/>
  <c r="K145"/>
  <c r="J145"/>
  <c r="G145"/>
  <c r="F145"/>
  <c r="C145"/>
  <c r="K144"/>
  <c r="J144"/>
  <c r="G144"/>
  <c r="F144"/>
  <c r="C144"/>
  <c r="K143"/>
  <c r="J143"/>
  <c r="G143"/>
  <c r="F143"/>
  <c r="C143"/>
  <c r="K142"/>
  <c r="J142"/>
  <c r="G142"/>
  <c r="F142"/>
  <c r="C142"/>
  <c r="K141"/>
  <c r="J141"/>
  <c r="G141"/>
  <c r="F141"/>
  <c r="C141"/>
  <c r="K140"/>
  <c r="J140"/>
  <c r="G140"/>
  <c r="F140"/>
  <c r="C140"/>
  <c r="K139"/>
  <c r="J139"/>
  <c r="G139"/>
  <c r="F139"/>
  <c r="C139"/>
  <c r="K138"/>
  <c r="J138"/>
  <c r="G138"/>
  <c r="F138"/>
  <c r="C138"/>
  <c r="K137"/>
  <c r="J137"/>
  <c r="G137"/>
  <c r="F137"/>
  <c r="C137"/>
  <c r="K136"/>
  <c r="J136"/>
  <c r="G136"/>
  <c r="F136"/>
  <c r="C136"/>
  <c r="K135"/>
  <c r="J135"/>
  <c r="G135"/>
  <c r="F135"/>
  <c r="C135"/>
  <c r="K134"/>
  <c r="J134"/>
  <c r="G134"/>
  <c r="F134"/>
  <c r="C134"/>
  <c r="K133"/>
  <c r="J133"/>
  <c r="G133"/>
  <c r="F133"/>
  <c r="C133"/>
  <c r="K132"/>
  <c r="J132"/>
  <c r="G132"/>
  <c r="F132"/>
  <c r="C132"/>
  <c r="K131"/>
  <c r="J131"/>
  <c r="G131"/>
  <c r="F131"/>
  <c r="C131"/>
  <c r="K130"/>
  <c r="J130"/>
  <c r="G130"/>
  <c r="F130"/>
  <c r="C130"/>
  <c r="K129"/>
  <c r="J129"/>
  <c r="G129"/>
  <c r="F129"/>
  <c r="C129"/>
  <c r="K128"/>
  <c r="J128"/>
  <c r="G128"/>
  <c r="F128"/>
  <c r="C128"/>
  <c r="K127"/>
  <c r="J127"/>
  <c r="G127"/>
  <c r="F127"/>
  <c r="C127"/>
  <c r="K126"/>
  <c r="J126"/>
  <c r="G126"/>
  <c r="F126"/>
  <c r="C126"/>
  <c r="K125"/>
  <c r="J125"/>
  <c r="G125"/>
  <c r="F125"/>
  <c r="C125"/>
  <c r="K124"/>
  <c r="J124"/>
  <c r="G124"/>
  <c r="F124"/>
  <c r="C124"/>
  <c r="K123"/>
  <c r="J123"/>
  <c r="G123"/>
  <c r="F123"/>
  <c r="C123"/>
  <c r="K122"/>
  <c r="J122"/>
  <c r="G122"/>
  <c r="F122"/>
  <c r="C122"/>
  <c r="K121"/>
  <c r="J121"/>
  <c r="G121"/>
  <c r="F121"/>
  <c r="C121"/>
  <c r="K120"/>
  <c r="J120"/>
  <c r="G120"/>
  <c r="F120"/>
  <c r="C120"/>
  <c r="K119"/>
  <c r="J119"/>
  <c r="G119"/>
  <c r="F119"/>
  <c r="C119"/>
  <c r="K118"/>
  <c r="J118"/>
  <c r="G118"/>
  <c r="F118"/>
  <c r="C118"/>
  <c r="K117"/>
  <c r="J117"/>
  <c r="G117"/>
  <c r="F117"/>
  <c r="C117"/>
  <c r="K116"/>
  <c r="J116"/>
  <c r="G116"/>
  <c r="F116"/>
  <c r="C116"/>
  <c r="K115"/>
  <c r="J115"/>
  <c r="G115"/>
  <c r="F115"/>
  <c r="C115"/>
  <c r="K114"/>
  <c r="J114"/>
  <c r="G114"/>
  <c r="F114"/>
  <c r="C114"/>
  <c r="K113"/>
  <c r="J113"/>
  <c r="G113"/>
  <c r="F113"/>
  <c r="C113"/>
  <c r="K112"/>
  <c r="J112"/>
  <c r="G112"/>
  <c r="F112"/>
  <c r="C112"/>
  <c r="K111"/>
  <c r="J111"/>
  <c r="G111"/>
  <c r="F111"/>
  <c r="C111"/>
  <c r="K110"/>
  <c r="J110"/>
  <c r="G110"/>
  <c r="F110"/>
  <c r="C110"/>
  <c r="K109"/>
  <c r="J109"/>
  <c r="G109"/>
  <c r="F109"/>
  <c r="C109"/>
  <c r="K108"/>
  <c r="J108"/>
  <c r="G108"/>
  <c r="F108"/>
  <c r="C108"/>
  <c r="K107"/>
  <c r="J107"/>
  <c r="G107"/>
  <c r="F107"/>
  <c r="C107"/>
  <c r="K106"/>
  <c r="J106"/>
  <c r="G106"/>
  <c r="F106"/>
  <c r="C106"/>
  <c r="K105"/>
  <c r="J105"/>
  <c r="G105"/>
  <c r="F105"/>
  <c r="C105"/>
  <c r="K104"/>
  <c r="J104"/>
  <c r="G104"/>
  <c r="F104"/>
  <c r="C104"/>
  <c r="K103"/>
  <c r="J103"/>
  <c r="G103"/>
  <c r="F103"/>
  <c r="C103"/>
  <c r="K102"/>
  <c r="J102"/>
  <c r="G102"/>
  <c r="F102"/>
  <c r="C102"/>
  <c r="K101"/>
  <c r="J101"/>
  <c r="G101"/>
  <c r="F101"/>
  <c r="C101"/>
  <c r="K100"/>
  <c r="J100"/>
  <c r="G100"/>
  <c r="F100"/>
  <c r="C100"/>
  <c r="K99"/>
  <c r="J99"/>
  <c r="G99"/>
  <c r="F99"/>
  <c r="C99"/>
  <c r="K98"/>
  <c r="J98"/>
  <c r="G98"/>
  <c r="F98"/>
  <c r="C98"/>
  <c r="K97"/>
  <c r="J97"/>
  <c r="G97"/>
  <c r="F97"/>
  <c r="C97"/>
  <c r="K96"/>
  <c r="J96"/>
  <c r="G96"/>
  <c r="F96"/>
  <c r="C96"/>
  <c r="K95"/>
  <c r="J95"/>
  <c r="G95"/>
  <c r="F95"/>
  <c r="C95"/>
  <c r="K94"/>
  <c r="J94"/>
  <c r="G94"/>
  <c r="F94"/>
  <c r="C94"/>
  <c r="K93"/>
  <c r="J93"/>
  <c r="G93"/>
  <c r="F93"/>
  <c r="C93"/>
  <c r="K92"/>
  <c r="J92"/>
  <c r="G92"/>
  <c r="F92"/>
  <c r="C92"/>
  <c r="K91"/>
  <c r="J91"/>
  <c r="G91"/>
  <c r="F91"/>
  <c r="C91"/>
  <c r="K90"/>
  <c r="J90"/>
  <c r="G90"/>
  <c r="F90"/>
  <c r="C90"/>
  <c r="K89"/>
  <c r="J89"/>
  <c r="G89"/>
  <c r="F89"/>
  <c r="C89"/>
  <c r="K88"/>
  <c r="J88"/>
  <c r="G88"/>
  <c r="F88"/>
  <c r="C88"/>
  <c r="K87"/>
  <c r="J87"/>
  <c r="G87"/>
  <c r="F87"/>
  <c r="C87"/>
  <c r="K86"/>
  <c r="J86"/>
  <c r="G86"/>
  <c r="F86"/>
  <c r="C86"/>
  <c r="K85"/>
  <c r="J85"/>
  <c r="G85"/>
  <c r="F85"/>
  <c r="C85"/>
  <c r="K84"/>
  <c r="J84"/>
  <c r="G84"/>
  <c r="F84"/>
  <c r="C84"/>
  <c r="K83"/>
  <c r="J83"/>
  <c r="G83"/>
  <c r="F83"/>
  <c r="C83"/>
  <c r="K82"/>
  <c r="J82"/>
  <c r="G82"/>
  <c r="F82"/>
  <c r="C82"/>
  <c r="K81"/>
  <c r="J81"/>
  <c r="G81"/>
  <c r="F81"/>
  <c r="C81"/>
  <c r="K80"/>
  <c r="J80"/>
  <c r="G80"/>
  <c r="F80"/>
  <c r="C80"/>
  <c r="K79"/>
  <c r="J79"/>
  <c r="G79"/>
  <c r="F79"/>
  <c r="C79"/>
  <c r="K78"/>
  <c r="J78"/>
  <c r="G78"/>
  <c r="F78"/>
  <c r="C78"/>
  <c r="K77"/>
  <c r="J77"/>
  <c r="G77"/>
  <c r="F77"/>
  <c r="C77"/>
  <c r="K76"/>
  <c r="J76"/>
  <c r="G76"/>
  <c r="F76"/>
  <c r="C76"/>
  <c r="K75"/>
  <c r="J75"/>
  <c r="G75"/>
  <c r="F75"/>
  <c r="C75"/>
  <c r="K74"/>
  <c r="J74"/>
  <c r="G74"/>
  <c r="F74"/>
  <c r="C74"/>
  <c r="K73"/>
  <c r="J73"/>
  <c r="G73"/>
  <c r="F73"/>
  <c r="C73"/>
  <c r="K72"/>
  <c r="J72"/>
  <c r="G72"/>
  <c r="F72"/>
  <c r="C72"/>
  <c r="K71"/>
  <c r="J71"/>
  <c r="G71"/>
  <c r="F71"/>
  <c r="C71"/>
  <c r="K70"/>
  <c r="J70"/>
  <c r="G70"/>
  <c r="F70"/>
  <c r="C70"/>
  <c r="K69"/>
  <c r="J69"/>
  <c r="G69"/>
  <c r="F69"/>
  <c r="C69"/>
  <c r="K68"/>
  <c r="J68"/>
  <c r="G68"/>
  <c r="F68"/>
  <c r="C68"/>
  <c r="K67"/>
  <c r="J67"/>
  <c r="G67"/>
  <c r="F67"/>
  <c r="C67"/>
  <c r="K66"/>
  <c r="J66"/>
  <c r="G66"/>
  <c r="F66"/>
  <c r="C66"/>
  <c r="K65"/>
  <c r="J65"/>
  <c r="G65"/>
  <c r="F65"/>
  <c r="C65"/>
  <c r="K64"/>
  <c r="J64"/>
  <c r="G64"/>
  <c r="F64"/>
  <c r="C64"/>
  <c r="K63"/>
  <c r="J63"/>
  <c r="G63"/>
  <c r="F63"/>
  <c r="C63"/>
  <c r="K62"/>
  <c r="J62"/>
  <c r="G62"/>
  <c r="F62"/>
  <c r="C62"/>
  <c r="K61"/>
  <c r="J61"/>
  <c r="G61"/>
  <c r="F61"/>
  <c r="C61"/>
  <c r="K60"/>
  <c r="J60"/>
  <c r="G60"/>
  <c r="F60"/>
  <c r="C60"/>
  <c r="K59"/>
  <c r="J59"/>
  <c r="G59"/>
  <c r="F59"/>
  <c r="C59"/>
  <c r="K58"/>
  <c r="J58"/>
  <c r="G58"/>
  <c r="F58"/>
  <c r="C58"/>
  <c r="K57"/>
  <c r="J57"/>
  <c r="G57"/>
  <c r="F57"/>
  <c r="C57"/>
  <c r="K56"/>
  <c r="J56"/>
  <c r="G56"/>
  <c r="F56"/>
  <c r="C56"/>
  <c r="K55"/>
  <c r="J55"/>
  <c r="G55"/>
  <c r="F55"/>
  <c r="C55"/>
  <c r="K54"/>
  <c r="J54"/>
  <c r="G54"/>
  <c r="F54"/>
  <c r="C54"/>
  <c r="K53"/>
  <c r="J53"/>
  <c r="G53"/>
  <c r="F53"/>
  <c r="C53"/>
  <c r="K52"/>
  <c r="J52"/>
  <c r="G52"/>
  <c r="F52"/>
  <c r="C52"/>
  <c r="K51"/>
  <c r="J51"/>
  <c r="G51"/>
  <c r="F51"/>
  <c r="C51"/>
  <c r="K50"/>
  <c r="J50"/>
  <c r="G50"/>
  <c r="F50"/>
  <c r="C50"/>
  <c r="K49"/>
  <c r="J49"/>
  <c r="G49"/>
  <c r="F49"/>
  <c r="C49"/>
  <c r="K48"/>
  <c r="J48"/>
  <c r="G48"/>
  <c r="F48"/>
  <c r="C48"/>
  <c r="K47"/>
  <c r="J47"/>
  <c r="G47"/>
  <c r="F47"/>
  <c r="C47"/>
  <c r="K46"/>
  <c r="J46"/>
  <c r="G46"/>
  <c r="F46"/>
  <c r="C46"/>
  <c r="K45"/>
  <c r="J45"/>
  <c r="G45"/>
  <c r="F45"/>
  <c r="C45"/>
  <c r="K44"/>
  <c r="J44"/>
  <c r="G44"/>
  <c r="F44"/>
  <c r="C44"/>
  <c r="K43"/>
  <c r="J43"/>
  <c r="G43"/>
  <c r="F43"/>
  <c r="C43"/>
  <c r="K42"/>
  <c r="J42"/>
  <c r="G42"/>
  <c r="F42"/>
  <c r="C42"/>
  <c r="K41"/>
  <c r="J41"/>
  <c r="G41"/>
  <c r="F41"/>
  <c r="C41"/>
  <c r="K40"/>
  <c r="J40"/>
  <c r="G40"/>
  <c r="F40"/>
  <c r="C40"/>
  <c r="K39"/>
  <c r="J39"/>
  <c r="G39"/>
  <c r="F39"/>
  <c r="C39"/>
  <c r="K38"/>
  <c r="J38"/>
  <c r="G38"/>
  <c r="F38"/>
  <c r="C38"/>
  <c r="K37"/>
  <c r="J37"/>
  <c r="G37"/>
  <c r="F37"/>
  <c r="C37"/>
  <c r="K36"/>
  <c r="J36"/>
  <c r="G36"/>
  <c r="F36"/>
  <c r="C36"/>
  <c r="K35"/>
  <c r="J35"/>
  <c r="G35"/>
  <c r="F35"/>
  <c r="C35"/>
  <c r="K34"/>
  <c r="J34"/>
  <c r="G34"/>
  <c r="F34"/>
  <c r="C34"/>
  <c r="K33"/>
  <c r="J33"/>
  <c r="G33"/>
  <c r="F33"/>
  <c r="C33"/>
  <c r="K32"/>
  <c r="J32"/>
  <c r="G32"/>
  <c r="F32"/>
  <c r="C32"/>
  <c r="K31"/>
  <c r="J31"/>
  <c r="G31"/>
  <c r="F31"/>
  <c r="C31"/>
  <c r="K30"/>
  <c r="J30"/>
  <c r="G30"/>
  <c r="F30"/>
  <c r="C30"/>
  <c r="K29"/>
  <c r="J29"/>
  <c r="G29"/>
  <c r="F29"/>
  <c r="C29"/>
  <c r="K28"/>
  <c r="J28"/>
  <c r="G28"/>
  <c r="F28"/>
  <c r="C28"/>
  <c r="K27"/>
  <c r="J27"/>
  <c r="G27"/>
  <c r="F27"/>
  <c r="C27"/>
  <c r="K26"/>
  <c r="J26"/>
  <c r="G26"/>
  <c r="F26"/>
  <c r="C26"/>
  <c r="K25"/>
  <c r="J25"/>
  <c r="G25"/>
  <c r="F25"/>
  <c r="C25"/>
  <c r="K24"/>
  <c r="J24"/>
  <c r="G24"/>
  <c r="F24"/>
  <c r="C24"/>
  <c r="K23"/>
  <c r="J23"/>
  <c r="G23"/>
  <c r="F23"/>
  <c r="C23"/>
  <c r="K22"/>
  <c r="J22"/>
  <c r="G22"/>
  <c r="F22"/>
  <c r="C22"/>
  <c r="K21"/>
  <c r="J21"/>
  <c r="G21"/>
  <c r="F21"/>
  <c r="C21"/>
  <c r="K20"/>
  <c r="J20"/>
  <c r="G20"/>
  <c r="F20"/>
  <c r="C20"/>
  <c r="K19"/>
  <c r="J19"/>
  <c r="G19"/>
  <c r="F19"/>
  <c r="C19"/>
  <c r="K18"/>
  <c r="J18"/>
  <c r="G18"/>
  <c r="F18"/>
  <c r="C18"/>
  <c r="K17"/>
  <c r="J17"/>
  <c r="G17"/>
  <c r="F17"/>
  <c r="C17"/>
  <c r="K16"/>
  <c r="J16"/>
  <c r="G16"/>
  <c r="F16"/>
  <c r="C16"/>
  <c r="K15"/>
  <c r="J15"/>
  <c r="G15"/>
  <c r="F15"/>
  <c r="C15"/>
  <c r="K14"/>
  <c r="J14"/>
  <c r="G14"/>
  <c r="F14"/>
  <c r="C14"/>
  <c r="K13"/>
  <c r="J13"/>
  <c r="G13"/>
  <c r="F13"/>
  <c r="C13"/>
  <c r="K12"/>
  <c r="J12"/>
  <c r="G12"/>
  <c r="F12"/>
  <c r="C12"/>
  <c r="K11"/>
  <c r="J11"/>
  <c r="G11"/>
  <c r="F11"/>
  <c r="C11"/>
  <c r="K10"/>
  <c r="J10"/>
  <c r="G10"/>
  <c r="F10"/>
  <c r="C10"/>
  <c r="K9"/>
  <c r="J9"/>
  <c r="G9"/>
  <c r="F9"/>
  <c r="C9"/>
  <c r="K8"/>
  <c r="J8"/>
  <c r="G8"/>
  <c r="F8"/>
  <c r="C8"/>
  <c r="K7"/>
  <c r="J7"/>
  <c r="G7"/>
  <c r="F7"/>
  <c r="C7"/>
  <c r="K6"/>
  <c r="J6"/>
  <c r="G6"/>
  <c r="F6"/>
  <c r="C6"/>
</calcChain>
</file>

<file path=xl/sharedStrings.xml><?xml version="1.0" encoding="utf-8"?>
<sst xmlns="http://schemas.openxmlformats.org/spreadsheetml/2006/main" count="13123" uniqueCount="1096">
  <si>
    <t>IFES</t>
  </si>
  <si>
    <t xml:space="preserve">FESTO                                                                                                                                                                                                                                                     </t>
  </si>
  <si>
    <t>Skynet In-House Manifest</t>
  </si>
  <si>
    <t>DATE</t>
  </si>
  <si>
    <t>08/01/2020</t>
  </si>
  <si>
    <t>TIME</t>
  </si>
  <si>
    <t>Date</t>
  </si>
  <si>
    <t>Time</t>
  </si>
  <si>
    <t>Waybill</t>
  </si>
  <si>
    <t>Sender</t>
  </si>
  <si>
    <t>Consignee</t>
  </si>
  <si>
    <t>Client Ref</t>
  </si>
  <si>
    <t>Service</t>
  </si>
  <si>
    <t>Send Branch</t>
  </si>
  <si>
    <t>Dest Branch</t>
  </si>
  <si>
    <t>Special Instr</t>
  </si>
  <si>
    <t>Parcel No</t>
  </si>
  <si>
    <t>No Prcls</t>
  </si>
  <si>
    <t>Tot Kgs</t>
  </si>
  <si>
    <t xml:space="preserve">Festo               </t>
  </si>
  <si>
    <t xml:space="preserve">RCL FOODS CONSUMER (PTY) LTD            </t>
  </si>
  <si>
    <t>JNX</t>
  </si>
  <si>
    <t>HAMMARSDALE</t>
  </si>
  <si>
    <t xml:space="preserve">DIVFOOD A DIV OF NAMPAK PRODUCTS LTD    </t>
  </si>
  <si>
    <t>MOBENI</t>
  </si>
  <si>
    <t xml:space="preserve">UNILEVER SOUTH AFRICA (PTY)LTD          </t>
  </si>
  <si>
    <t>MAYDON WHARF</t>
  </si>
  <si>
    <t>KERRY INGREDIENTS SOUTH AFRICA (PTY) LTD</t>
  </si>
  <si>
    <t>DURBAN</t>
  </si>
  <si>
    <t xml:space="preserve">RCL FOODS CONSUMER (PTY)LTD             </t>
  </si>
  <si>
    <t xml:space="preserve">CLIFFORD MACHINES &amp; TECHNOLOGY PTY LTD  </t>
  </si>
  <si>
    <t>PIETERMARITZBURG</t>
  </si>
  <si>
    <t xml:space="preserve">RAINBOW FARMS PTY LTD P2                </t>
  </si>
  <si>
    <t xml:space="preserve">PROMAX                                  </t>
  </si>
  <si>
    <t>PRETORIA</t>
  </si>
  <si>
    <t xml:space="preserve">FAURECIA EXHAUST SYSTEMS (PTY) LTD      </t>
  </si>
  <si>
    <t>NEAVE TSP</t>
  </si>
  <si>
    <t xml:space="preserve">CONTINENTAL TYRE SA                     </t>
  </si>
  <si>
    <t>STRUANDALE</t>
  </si>
  <si>
    <t xml:space="preserve">EXPERSE A DIVISION OF AECI LIMITED      </t>
  </si>
  <si>
    <t>UMBOGINTWINI</t>
  </si>
  <si>
    <t>ALBANY BAKERY A DIVISION OF TIGER BRANDS</t>
  </si>
  <si>
    <t xml:space="preserve">MONDI LIMITED                           </t>
  </si>
  <si>
    <t>MEREBANK</t>
  </si>
  <si>
    <t xml:space="preserve">THE SOUTH AFRICAN BREWERIES LTD         </t>
  </si>
  <si>
    <t>PROSPECTON</t>
  </si>
  <si>
    <t xml:space="preserve">BMG EAST LONDON                         </t>
  </si>
  <si>
    <t>EAST LONDON</t>
  </si>
  <si>
    <t xml:space="preserve">VOLKSWAGEN OF SA                        </t>
  </si>
  <si>
    <t>UITENHAGE</t>
  </si>
  <si>
    <t xml:space="preserve">DALEIN AGRI PLAN PTY LTD                </t>
  </si>
  <si>
    <t>LEEUWFONTEIN</t>
  </si>
  <si>
    <t xml:space="preserve">PRIME INSTRUMENTATION CC                </t>
  </si>
  <si>
    <t>RUSTENBURG</t>
  </si>
  <si>
    <t xml:space="preserve">DIYA VALVES INTERNATIONALS CC           </t>
  </si>
  <si>
    <t xml:space="preserve">CROWN CHICKENS                          </t>
  </si>
  <si>
    <t>ANDEON</t>
  </si>
  <si>
    <t xml:space="preserve">UNIQUE DAIRY PRODUCTS                   </t>
  </si>
  <si>
    <t>HERMANSTAD</t>
  </si>
  <si>
    <t xml:space="preserve">EXCEL TOOLING                           </t>
  </si>
  <si>
    <t>NORTH END</t>
  </si>
  <si>
    <t xml:space="preserve">UNILEVER SOUTH AFRICA (PTY) LTD         </t>
  </si>
  <si>
    <t xml:space="preserve">CLOVER SA (PTY) LTD                     </t>
  </si>
  <si>
    <t>PERSEVERANCE</t>
  </si>
  <si>
    <t xml:space="preserve">JENDAMARK AUTOMATION PTY LTD            </t>
  </si>
  <si>
    <t xml:space="preserve">NEW PNEUMATICS DISTRIBUTORS &amp; EXPORTERS </t>
  </si>
  <si>
    <t>CROYDON</t>
  </si>
  <si>
    <t xml:space="preserve">DISTELL (PTY) LTD                       </t>
  </si>
  <si>
    <t xml:space="preserve">S4 INTEGRATION (PTY) LTD                </t>
  </si>
  <si>
    <t>PORT ELIZABETH</t>
  </si>
  <si>
    <t xml:space="preserve">WOODTECH                                </t>
  </si>
  <si>
    <t>KORSTEN</t>
  </si>
  <si>
    <t xml:space="preserve">FAMOUS BRANDS MANAGEMENT                </t>
  </si>
  <si>
    <t>MIDRAND</t>
  </si>
  <si>
    <t xml:space="preserve">ANALOG &amp; DIGITAL POWER ELECTRONICS      </t>
  </si>
  <si>
    <t xml:space="preserve">MAIN STREET 1310(PTY) L.T.D             </t>
  </si>
  <si>
    <t>KLIPRIVIER</t>
  </si>
  <si>
    <t xml:space="preserve">ACCUTECH WEIGHING SERVICES              </t>
  </si>
  <si>
    <t>KYA SAND</t>
  </si>
  <si>
    <t xml:space="preserve">TEMPERATURE MANAGEMENT SYSTEM           </t>
  </si>
  <si>
    <t>RICHARDS BAY</t>
  </si>
  <si>
    <t>CSM BEARING AND PNEUMATIC SUPPLIES PTY L</t>
  </si>
  <si>
    <t xml:space="preserve">POLYOAK PACKAGING (PTY) LTD             </t>
  </si>
  <si>
    <t>DIEP RIVER</t>
  </si>
  <si>
    <t xml:space="preserve">MARCOM PLASTICS CC                      </t>
  </si>
  <si>
    <t>ROSSLYN</t>
  </si>
  <si>
    <t xml:space="preserve">DKT &amp; PARTNERS                          </t>
  </si>
  <si>
    <t xml:space="preserve">REEF CONSTRUCTION MACHINERY             </t>
  </si>
  <si>
    <t>JET PARK</t>
  </si>
  <si>
    <t xml:space="preserve">OMNIA FERTILIZER                        </t>
  </si>
  <si>
    <t>SASOLBURG</t>
  </si>
  <si>
    <t xml:space="preserve">MEATPACK IT CC                          </t>
  </si>
  <si>
    <t>DELVILLE</t>
  </si>
  <si>
    <t xml:space="preserve">PLEXIPHON 190 CC                        </t>
  </si>
  <si>
    <t>MARLANDS</t>
  </si>
  <si>
    <t xml:space="preserve">MARTIN &amp; MARTIN PTY LTD                 </t>
  </si>
  <si>
    <t>ISANDO</t>
  </si>
  <si>
    <t xml:space="preserve">STEELWOOD INTERNATIONAL PTY LTD         </t>
  </si>
  <si>
    <t>LANSERIA</t>
  </si>
  <si>
    <t xml:space="preserve">WORLD POWER PRODUCTS                    </t>
  </si>
  <si>
    <t>TURFFONTEIN</t>
  </si>
  <si>
    <t xml:space="preserve">BEARING MAN GROUP                       </t>
  </si>
  <si>
    <t>DROSTE PARK</t>
  </si>
  <si>
    <t xml:space="preserve">SUPERFECTA FOOD                         </t>
  </si>
  <si>
    <t>KRUGERSDORP</t>
  </si>
  <si>
    <t xml:space="preserve">COREL INSTRUMENTATION &amp; CONTRO          </t>
  </si>
  <si>
    <t>VAALPARK</t>
  </si>
  <si>
    <t xml:space="preserve">ECHO FLOORS (PTY)LTD                    </t>
  </si>
  <si>
    <t>DRIEFONTEIN</t>
  </si>
  <si>
    <t xml:space="preserve">JESSOP &amp; ASSOCIATES (PTY) LTD           </t>
  </si>
  <si>
    <t>THREE RIVERS</t>
  </si>
  <si>
    <t xml:space="preserve">PRODUCTIVE SYSTEMS CC                   </t>
  </si>
  <si>
    <t>ROOIHUISKRAAL</t>
  </si>
  <si>
    <t xml:space="preserve">ACK SOLUTIONS PTY LTD                   </t>
  </si>
  <si>
    <t>PAARL</t>
  </si>
  <si>
    <t xml:space="preserve">TENNECO EMISSION CONTROL                </t>
  </si>
  <si>
    <t xml:space="preserve">THE SIMBA GROUP PTY LTD                 </t>
  </si>
  <si>
    <t xml:space="preserve">EBERSPACHER ROSSLYN                     </t>
  </si>
  <si>
    <t xml:space="preserve">AMS BEARING CC                          </t>
  </si>
  <si>
    <t>JACOBS</t>
  </si>
  <si>
    <t xml:space="preserve">EBERSPACHER SOUTH AFRICA (PTY) LTD      </t>
  </si>
  <si>
    <t>DEAL PARTY</t>
  </si>
  <si>
    <t xml:space="preserve">SILVER CONTROLS SYSTEM Cc               </t>
  </si>
  <si>
    <t>MILNERTON</t>
  </si>
  <si>
    <t xml:space="preserve">PREMIER FMCG (PTY) LTD                  </t>
  </si>
  <si>
    <t>KROONSTAD</t>
  </si>
  <si>
    <t xml:space="preserve">CAPE GATE                               </t>
  </si>
  <si>
    <t>VANDERBIJLPARK</t>
  </si>
  <si>
    <t xml:space="preserve">PIONEER FOODS (PTY) LTD                 </t>
  </si>
  <si>
    <t>BELLAIR</t>
  </si>
  <si>
    <t xml:space="preserve">ABI DIV OF SAB LTD                      </t>
  </si>
  <si>
    <t>PHOENIX INDUSTRIAL AREA</t>
  </si>
  <si>
    <t xml:space="preserve">HACKMACK ENTERPRISES                    </t>
  </si>
  <si>
    <t>ARCADIA</t>
  </si>
  <si>
    <t xml:space="preserve">BMG BELLVILLE 0120                      </t>
  </si>
  <si>
    <t>STIKLAND</t>
  </si>
  <si>
    <t xml:space="preserve">RCL FOODS CONSUMER PTY                  </t>
  </si>
  <si>
    <t>WORCESTER</t>
  </si>
  <si>
    <t xml:space="preserve">FAIR CAPE DAIRIES (PTY) LTD             </t>
  </si>
  <si>
    <t>KILLARNEY GARDENS</t>
  </si>
  <si>
    <t xml:space="preserve">DIRECTECH                               </t>
  </si>
  <si>
    <t xml:space="preserve">SASOL CHEMICALS SA                      </t>
  </si>
  <si>
    <t xml:space="preserve">VICTORY ELECTRICAL CC                   </t>
  </si>
  <si>
    <t xml:space="preserve">GRW ENGINERING                          </t>
  </si>
  <si>
    <t xml:space="preserve">FOODCORP PTY LTD MILLING                </t>
  </si>
  <si>
    <t xml:space="preserve">AMARO FOODS                             </t>
  </si>
  <si>
    <t>EPPING INDUSTRIAL</t>
  </si>
  <si>
    <t xml:space="preserve">SP AUTOMOTIVE PROFILE SCALING           </t>
  </si>
  <si>
    <t>PAROW</t>
  </si>
  <si>
    <t xml:space="preserve">IRVIN &amp; JOHNSON LTD                     </t>
  </si>
  <si>
    <t>WOODSTOCK</t>
  </si>
  <si>
    <t xml:space="preserve">CIM AUTOMATION                          </t>
  </si>
  <si>
    <t>MONTAGUE GARDENS</t>
  </si>
  <si>
    <t xml:space="preserve">KIMBERLEY-CLARK S.A                     </t>
  </si>
  <si>
    <t xml:space="preserve">PREEKSTOEL WTW                          </t>
  </si>
  <si>
    <t>EASTCLIFF</t>
  </si>
  <si>
    <t xml:space="preserve">BMW ROSSLYN                             </t>
  </si>
  <si>
    <t xml:space="preserve">FESTO CPT                               </t>
  </si>
  <si>
    <t>YSTERPLAAT</t>
  </si>
  <si>
    <t xml:space="preserve">FUSE - A - TRON CC                      </t>
  </si>
  <si>
    <t xml:space="preserve">SANMIK AGENCIES CC                      </t>
  </si>
  <si>
    <t>GEORGE INDUSTRIA</t>
  </si>
  <si>
    <t xml:space="preserve">COCA -COLA BEVERAGES SOUTH AFRICA (PTY) </t>
  </si>
  <si>
    <t>PHOENIX INDUSTRIAL PARK</t>
  </si>
  <si>
    <t xml:space="preserve">MEXAN PRODUCTS                          </t>
  </si>
  <si>
    <t>PINETOWN</t>
  </si>
  <si>
    <t xml:space="preserve">TONGAAT HULETTS GROUP LIMITED           </t>
  </si>
  <si>
    <t>RED HILL</t>
  </si>
  <si>
    <t xml:space="preserve">FAIRFIELD DAIRY PTY LTD                 </t>
  </si>
  <si>
    <t>HOWICK</t>
  </si>
  <si>
    <t xml:space="preserve">BORBET SA (PTY) LTD                     </t>
  </si>
  <si>
    <t xml:space="preserve">NESTLE SOUTH AFRICA (PTY) L.T.D         </t>
  </si>
  <si>
    <t xml:space="preserve">BRADCHER INDUSTRIAL WHOLESALER          </t>
  </si>
  <si>
    <t>RYNFIELD</t>
  </si>
  <si>
    <t xml:space="preserve">CAVALETTO 98                            </t>
  </si>
  <si>
    <t>UMBILO</t>
  </si>
  <si>
    <t xml:space="preserve">NATIONAL BRANDS LOMITED                 </t>
  </si>
  <si>
    <t xml:space="preserve">BEIER ENVIROTEC                         </t>
  </si>
  <si>
    <t xml:space="preserve">TRUDA SNACKS                            </t>
  </si>
  <si>
    <t>MKONDENI</t>
  </si>
  <si>
    <t xml:space="preserve">GUD HOLDINGS (PTY)LTD                   </t>
  </si>
  <si>
    <t xml:space="preserve">PIONEER FOODS                           </t>
  </si>
  <si>
    <t xml:space="preserve">COCA COLA PENINSULA BEVERAGES           </t>
  </si>
  <si>
    <t>PAROW INDUSTRIA</t>
  </si>
  <si>
    <t xml:space="preserve">GOODYEAR SOUTH AFRICA PTY LTD           </t>
  </si>
  <si>
    <t xml:space="preserve">FIRST NATIONAL BATTERY                  </t>
  </si>
  <si>
    <t xml:space="preserve">TSITSIKAMMA CRYSTAL WATER               </t>
  </si>
  <si>
    <t>TSITSIKAMMA</t>
  </si>
  <si>
    <t xml:space="preserve">MCCAIN FOOD SOUTH AFRICA PTY LTD        </t>
  </si>
  <si>
    <t>DELMAS EXT 1</t>
  </si>
  <si>
    <t xml:space="preserve">COCA COLA BEVERAGES S.A(PTY)LTD         </t>
  </si>
  <si>
    <t>HERCULES</t>
  </si>
  <si>
    <t xml:space="preserve">TFM INDUSTRIES PTY LTD                  </t>
  </si>
  <si>
    <t>CLAYVILLE</t>
  </si>
  <si>
    <t xml:space="preserve">BEVCAN A DIV OF NAMPAK PRODUCT LTD      </t>
  </si>
  <si>
    <t xml:space="preserve">SUPPLYTECH                              </t>
  </si>
  <si>
    <t>WITBANK</t>
  </si>
  <si>
    <t xml:space="preserve">UNILEVER ANDERBOLT HOMECARE LIQUIDS     </t>
  </si>
  <si>
    <t>ANDERBOLT</t>
  </si>
  <si>
    <t xml:space="preserve">AEL MINING SERVICES LIMITED             </t>
  </si>
  <si>
    <t>MODDERFONTEIN</t>
  </si>
  <si>
    <t xml:space="preserve">DANONE SA PTY LTD                       </t>
  </si>
  <si>
    <t>BOKSBURG</t>
  </si>
  <si>
    <t xml:space="preserve">Ctp Flexibles                           </t>
  </si>
  <si>
    <t>NDABENI</t>
  </si>
  <si>
    <t xml:space="preserve">RAPID INDUSTRIAL SUPPLIES PTY LTD       </t>
  </si>
  <si>
    <t xml:space="preserve">FOXOLUTION SYSTEMS ENG CC               </t>
  </si>
  <si>
    <t>SUNNYDALE</t>
  </si>
  <si>
    <t xml:space="preserve">BEVCAN                                  </t>
  </si>
  <si>
    <t>NUFFIELD</t>
  </si>
  <si>
    <t xml:space="preserve">SUPPLYRITE CC                           </t>
  </si>
  <si>
    <t>GOSFORTH PARK</t>
  </si>
  <si>
    <t xml:space="preserve">KHP HYDRAULICS &amp; PNEUMATICS (PTY) LTD   </t>
  </si>
  <si>
    <t>DUNCANVILLE</t>
  </si>
  <si>
    <t xml:space="preserve">SCHAEFFLER SOUTH AFRICA                 </t>
  </si>
  <si>
    <t>ESTADEAL</t>
  </si>
  <si>
    <t xml:space="preserve">GOSSAMER STRUCTURES CC                  </t>
  </si>
  <si>
    <t>SOMERSET WEST</t>
  </si>
  <si>
    <t xml:space="preserve">BENTELER AUTOMOTIVE SA (PTY) LTD        </t>
  </si>
  <si>
    <t xml:space="preserve">SUBTECH PTY LRD                         </t>
  </si>
  <si>
    <t>AUSTERVILLE</t>
  </si>
  <si>
    <t xml:space="preserve">MAGNACORP 397 CC/TA CONCEPT             </t>
  </si>
  <si>
    <t xml:space="preserve">COMPRESSED AIR EQUIPMENT                </t>
  </si>
  <si>
    <t xml:space="preserve">SMITHS MANUFACTURING PTY LTD            </t>
  </si>
  <si>
    <t xml:space="preserve">NESTLE SA                               </t>
  </si>
  <si>
    <t>HARRISMITH</t>
  </si>
  <si>
    <t xml:space="preserve">FELTEX AUTOMOTIVE TRIM                  </t>
  </si>
  <si>
    <t xml:space="preserve">WOOL TESTING BUREAU SA                  </t>
  </si>
  <si>
    <t>SUMMERSTRAND</t>
  </si>
  <si>
    <t xml:space="preserve">MAHLE BEHR SOUTH AFRCA (PTY) LTD        </t>
  </si>
  <si>
    <t>NEW GERMANY</t>
  </si>
  <si>
    <t xml:space="preserve">ELECTRO TECHNICAL AGENCIES              </t>
  </si>
  <si>
    <t xml:space="preserve">CONSOL GLASS                            </t>
  </si>
  <si>
    <t>OLIFANTSFONTEIN</t>
  </si>
  <si>
    <t xml:space="preserve">RCL FOODS CONSUMER BEVERAGES            </t>
  </si>
  <si>
    <t>PRETORIA WEST</t>
  </si>
  <si>
    <t xml:space="preserve">CONTROL SYSTEM TECHNOLOGY CC            </t>
  </si>
  <si>
    <t>HENNOPSPARK</t>
  </si>
  <si>
    <t xml:space="preserve">NON FERROUS METAL WORKS                 </t>
  </si>
  <si>
    <t xml:space="preserve">PNEUMATIC AID                           </t>
  </si>
  <si>
    <t xml:space="preserve">CULINARY A DIV OF TIGER CONSUMER BRANDS </t>
  </si>
  <si>
    <t>BOKSBURG EAST</t>
  </si>
  <si>
    <t xml:space="preserve">EMENEM INDUSTRIAL CC                    </t>
  </si>
  <si>
    <t xml:space="preserve">FRESENIUS KABI MANUFACTURING            </t>
  </si>
  <si>
    <t xml:space="preserve">FORD MOTOR CO. SA MANUFACTURING         </t>
  </si>
  <si>
    <t xml:space="preserve">NATIONAL BRANDS BIS / SNK DIV           </t>
  </si>
  <si>
    <t xml:space="preserve">COCA COLA CANNERS OF SA                 </t>
  </si>
  <si>
    <t>WADEVILLE</t>
  </si>
  <si>
    <t xml:space="preserve">DISTELL                                 </t>
  </si>
  <si>
    <t>ALRODE</t>
  </si>
  <si>
    <t xml:space="preserve">BRANDLINE PACKAGING (PTY)LTD            </t>
  </si>
  <si>
    <t xml:space="preserve">THE SIMBA GROUP LTD                     </t>
  </si>
  <si>
    <t xml:space="preserve">TF DESIGN (PTY) LTD                     </t>
  </si>
  <si>
    <t>STELLENBOSCH</t>
  </si>
  <si>
    <t xml:space="preserve">STRAIT ACCESS TECHNOLOGIES HOLDINGS     </t>
  </si>
  <si>
    <t>OBSERVATORY</t>
  </si>
  <si>
    <t xml:space="preserve">CSM BEARING &amp; PNUEMATIC SUPPLIES        </t>
  </si>
  <si>
    <t>MOSSEL BAY</t>
  </si>
  <si>
    <t xml:space="preserve">ACAP HYDRO PNEUMATIC SUPPLY CC          </t>
  </si>
  <si>
    <t xml:space="preserve">HYDROMATIC                              </t>
  </si>
  <si>
    <t>PAARDENEILAND</t>
  </si>
  <si>
    <t xml:space="preserve">ACEPAK PACKAGING SYSTEMS                </t>
  </si>
  <si>
    <t xml:space="preserve">FILMATIC PACKAGING SYSTEM (PTY) LTD     </t>
  </si>
  <si>
    <t xml:space="preserve">SOUTHWAY CONVEYORS AND MAINTANACE CC    </t>
  </si>
  <si>
    <t>BUFFELS BOSCH</t>
  </si>
  <si>
    <t xml:space="preserve">TIGER BRANDS CHOCOLATE UNIT             </t>
  </si>
  <si>
    <t xml:space="preserve">ABSOLUTE AFRICA                         </t>
  </si>
  <si>
    <t>MARLBORO</t>
  </si>
  <si>
    <t xml:space="preserve">PAILPRINT PTY LTD                       </t>
  </si>
  <si>
    <t xml:space="preserve">PRODUCTIVE ENGINEERING CC               </t>
  </si>
  <si>
    <t>CAPE TOWN</t>
  </si>
  <si>
    <t xml:space="preserve">GRW ENGINEERING PTY LTD                 </t>
  </si>
  <si>
    <t>BELLVILLE</t>
  </si>
  <si>
    <t xml:space="preserve">LIQUI BOX (PTY)LTD                      </t>
  </si>
  <si>
    <t>ATHLONE INDUSTRIA 2</t>
  </si>
  <si>
    <t xml:space="preserve">PG BISON A DIV OF KAP DIVERSIFIED       </t>
  </si>
  <si>
    <t xml:space="preserve">SEALED AIR AFRICA (PTY) LTD             </t>
  </si>
  <si>
    <t>SPARTAN</t>
  </si>
  <si>
    <t xml:space="preserve">BASF SA PTY LTD                         </t>
  </si>
  <si>
    <t xml:space="preserve">GRANROTH (PTY)LTD                       </t>
  </si>
  <si>
    <t xml:space="preserve">VIDEX WIRE PRODUCTS PTY LTD             </t>
  </si>
  <si>
    <t xml:space="preserve">SIME DARBY HUDSON &amp; KINGHT              </t>
  </si>
  <si>
    <t xml:space="preserve">CROWN CHICKENS (PTY) LTD                </t>
  </si>
  <si>
    <t xml:space="preserve">BRITISH AMERICAN TOBACCO SA (PTY) LTD   </t>
  </si>
  <si>
    <t>HEIDELBERG</t>
  </si>
  <si>
    <t xml:space="preserve">NATIONAL BRAND                          </t>
  </si>
  <si>
    <t xml:space="preserve">VENUS STAR 120CC                        </t>
  </si>
  <si>
    <t xml:space="preserve">BRIDGESTONE FIRESTONE SA PTY LTD        </t>
  </si>
  <si>
    <t>BRITS</t>
  </si>
  <si>
    <t xml:space="preserve">BEARING &amp; HYDRAULIC SPARES              </t>
  </si>
  <si>
    <t xml:space="preserve">TRANSNET ENGINEERING                    </t>
  </si>
  <si>
    <t>KOEDOESPOORT</t>
  </si>
  <si>
    <t>KROMBERG &amp; SCHUBERT CABLE &amp; WIRE PTY LTD</t>
  </si>
  <si>
    <t xml:space="preserve">ILLOVO SUGAR LTD                        </t>
  </si>
  <si>
    <t>EDENVALE</t>
  </si>
  <si>
    <t xml:space="preserve">MATLHABA WA ITHABELA TRADING            </t>
  </si>
  <si>
    <t>MOKOPANE EXT 17</t>
  </si>
  <si>
    <t>NORTHDENE</t>
  </si>
  <si>
    <t xml:space="preserve">BUILD IT BETLHEHEM                      </t>
  </si>
  <si>
    <t>BETHLEHEM</t>
  </si>
  <si>
    <t xml:space="preserve">SAPPI SA                                </t>
  </si>
  <si>
    <t>STANGER</t>
  </si>
  <si>
    <t xml:space="preserve">FILTEC AUTOMATION PTY LTD               </t>
  </si>
  <si>
    <t>MOUNT EDGECOMBE</t>
  </si>
  <si>
    <t xml:space="preserve">BAGTECH INTERNATIONAL (PTY)LTD          </t>
  </si>
  <si>
    <t>Durban</t>
  </si>
  <si>
    <t xml:space="preserve">FESTO PLZ                               </t>
  </si>
  <si>
    <t>NEWTON PARK</t>
  </si>
  <si>
    <t xml:space="preserve">MERCEDES BENZ SOUTH AFRICA LIMITED      </t>
  </si>
  <si>
    <t>GATELY TSP</t>
  </si>
  <si>
    <t xml:space="preserve">LADYSMITH TRADING CO.                   </t>
  </si>
  <si>
    <t>LADYSMITH</t>
  </si>
  <si>
    <t xml:space="preserve">ISEGEN S. A                             </t>
  </si>
  <si>
    <t>ISIPINGO</t>
  </si>
  <si>
    <t xml:space="preserve">BLENDCOR (PTY) LTD                      </t>
  </si>
  <si>
    <t>FYNNLAND</t>
  </si>
  <si>
    <t xml:space="preserve">TROPICAL PLASTICS &amp; PACKAGING (PTY) LTD </t>
  </si>
  <si>
    <t xml:space="preserve">FV PACKING SYSTEM                       </t>
  </si>
  <si>
    <t>ALLANDALE EXT 11</t>
  </si>
  <si>
    <t xml:space="preserve">LESEDI NUCLEAR                          </t>
  </si>
  <si>
    <t>CENTURION</t>
  </si>
  <si>
    <t xml:space="preserve">MITTAL STEEL SOUTH AFRICA LIMITED       </t>
  </si>
  <si>
    <t xml:space="preserve">PRO PROJECT MACHINERY PTY LTD           </t>
  </si>
  <si>
    <t>BLACKHEATH</t>
  </si>
  <si>
    <t xml:space="preserve">HYDRAQUIP                               </t>
  </si>
  <si>
    <t>DAL JOSAFAT</t>
  </si>
  <si>
    <t xml:space="preserve">J.J PRECISION PLASTICS                  </t>
  </si>
  <si>
    <t xml:space="preserve">VAKTIN HYDRAULICS (PTY)LTD              </t>
  </si>
  <si>
    <t xml:space="preserve">GRAPHICARE                              </t>
  </si>
  <si>
    <t>SELBY</t>
  </si>
  <si>
    <t xml:space="preserve">ZIPCORD INDUSTRIES (PTY)LTD             </t>
  </si>
  <si>
    <t xml:space="preserve">ILLOVO SUGAR                            </t>
  </si>
  <si>
    <t xml:space="preserve">PREMIER BAKERY                          </t>
  </si>
  <si>
    <t xml:space="preserve">TALI DISGITAL CC                        </t>
  </si>
  <si>
    <t>WYNBERG</t>
  </si>
  <si>
    <t xml:space="preserve">MMAPOLASE TRADING AND PROJECT           </t>
  </si>
  <si>
    <t>ATTERIDGEVILLE</t>
  </si>
  <si>
    <t xml:space="preserve">KSNACKS                                 </t>
  </si>
  <si>
    <t>GERMISTON</t>
  </si>
  <si>
    <t xml:space="preserve">UNIVERSAL PAPER &amp; PLASTIC               </t>
  </si>
  <si>
    <t>GA-RANKUWA</t>
  </si>
  <si>
    <t xml:space="preserve">BLANES INSTRUMENTS                      </t>
  </si>
  <si>
    <t xml:space="preserve">COCA COLA BEVERAGES SA                  </t>
  </si>
  <si>
    <t xml:space="preserve">POLYOAK PACKAGING PTY LTD               </t>
  </si>
  <si>
    <t>AEROTON</t>
  </si>
  <si>
    <t xml:space="preserve">MERENSKY THIMBER (PTY)LTD               </t>
  </si>
  <si>
    <t>TZANEEN</t>
  </si>
  <si>
    <t xml:space="preserve">RCL FOODS SUGAR &amp; MILING (PTY)LTD       </t>
  </si>
  <si>
    <t>BERLIN</t>
  </si>
  <si>
    <t xml:space="preserve">MA AUTOMOTIVE TOOL &amp; DIE                </t>
  </si>
  <si>
    <t xml:space="preserve">PRIME INSTRUMENTATION Cc                </t>
  </si>
  <si>
    <t>KLERKSDORP</t>
  </si>
  <si>
    <t xml:space="preserve">H.G MOLENAAR (PTY) LTD                  </t>
  </si>
  <si>
    <t xml:space="preserve">SPICER AXLE (PTY) LTD                   </t>
  </si>
  <si>
    <t xml:space="preserve">PFG BUILDING GLASS                      </t>
  </si>
  <si>
    <t>SPRINGS</t>
  </si>
  <si>
    <t xml:space="preserve">VALIDUS MEDICAL (PTY) LTD               </t>
  </si>
  <si>
    <t>BRONKHORSTSPRUIT</t>
  </si>
  <si>
    <t xml:space="preserve">FELTEX AUTOMOTIVE DIVISION              </t>
  </si>
  <si>
    <t xml:space="preserve">BBF SAFETY GROUP PTY LTD                </t>
  </si>
  <si>
    <t xml:space="preserve">ILLOVO SUGAR LTD - SEZELA               </t>
  </si>
  <si>
    <t xml:space="preserve">XPANDA PTY LTD                          </t>
  </si>
  <si>
    <t>ASHWOOD</t>
  </si>
  <si>
    <t xml:space="preserve">PROCESS DYNAMICS PTY LTD                </t>
  </si>
  <si>
    <t>RHODESFIELD</t>
  </si>
  <si>
    <t xml:space="preserve">KRONES SA PTY LTD                       </t>
  </si>
  <si>
    <t>NORTH RIDING</t>
  </si>
  <si>
    <t xml:space="preserve">ECOFRESH DIRECT                         </t>
  </si>
  <si>
    <t>CITY DEEP</t>
  </si>
  <si>
    <t xml:space="preserve">TOTAL MINING CC                         </t>
  </si>
  <si>
    <t xml:space="preserve">HARVARD PROJECTS                        </t>
  </si>
  <si>
    <t>MARAISBURG</t>
  </si>
  <si>
    <t xml:space="preserve">KANSAI PLASCON KRUGERSDORP              </t>
  </si>
  <si>
    <t>FACTORIA</t>
  </si>
  <si>
    <t xml:space="preserve">PREMIER FOODS (PTY) LTD                 </t>
  </si>
  <si>
    <t>VEREENIGING</t>
  </si>
  <si>
    <t xml:space="preserve">PIONEER FOOD GROCERIES PTY LTD          </t>
  </si>
  <si>
    <t>CERES</t>
  </si>
  <si>
    <t xml:space="preserve">DE BEERS GROUP SERVICES                 </t>
  </si>
  <si>
    <t>BOOYSENS RESERVE</t>
  </si>
  <si>
    <t xml:space="preserve">TUPPERWARE SA                           </t>
  </si>
  <si>
    <t>BRAKPAN</t>
  </si>
  <si>
    <t xml:space="preserve">AER O CURE CC                           </t>
  </si>
  <si>
    <t xml:space="preserve">CTP PRINTERS CPT                        </t>
  </si>
  <si>
    <t xml:space="preserve">NOVUS PRINT PTY LTD                     </t>
  </si>
  <si>
    <t xml:space="preserve">TIGER CONSUMER BRANDS                   </t>
  </si>
  <si>
    <t>MAITLAND</t>
  </si>
  <si>
    <t xml:space="preserve">SIQALO FOODS (PTY)LTD                   </t>
  </si>
  <si>
    <t xml:space="preserve">CTP GRAVURE                             </t>
  </si>
  <si>
    <t>ELANDSFONTEIN</t>
  </si>
  <si>
    <t xml:space="preserve">AUTOCAST SOUTH AFRICA (PTY) LTD         </t>
  </si>
  <si>
    <t xml:space="preserve">TETRA PAK S.A (PTY) LTD                 </t>
  </si>
  <si>
    <t>PLATTEKLOOF</t>
  </si>
  <si>
    <t xml:space="preserve">BUHLER PTY LTD                          </t>
  </si>
  <si>
    <t>HONEY DEW</t>
  </si>
  <si>
    <t xml:space="preserve">PAARL PNEUMATICS CC                     </t>
  </si>
  <si>
    <t>PAROW EAST</t>
  </si>
  <si>
    <t xml:space="preserve">SUPERIOR PACKAGING INDUSTRIES (PTY) LTD </t>
  </si>
  <si>
    <t xml:space="preserve">SHATTERPRUFE TRADING                    </t>
  </si>
  <si>
    <t>GARANKUWA</t>
  </si>
  <si>
    <t xml:space="preserve">CTP WEB PRINTERS JOHANNESBURG           </t>
  </si>
  <si>
    <t xml:space="preserve">IMANA FOODS SA (PTY) LTD                </t>
  </si>
  <si>
    <t xml:space="preserve">FLOWROX PTY LTD                         </t>
  </si>
  <si>
    <t>BENONI</t>
  </si>
  <si>
    <t xml:space="preserve">UNILEVER SA                             </t>
  </si>
  <si>
    <t>NOLLSWORTH PARK</t>
  </si>
  <si>
    <t xml:space="preserve">CRABTREE ELECTRICAL ACCESSORIE          </t>
  </si>
  <si>
    <t xml:space="preserve">CALDEIRA ENGENEERING                    </t>
  </si>
  <si>
    <t>WESTMEAD</t>
  </si>
  <si>
    <t xml:space="preserve">MAXION WHEELS SA                        </t>
  </si>
  <si>
    <t xml:space="preserve">NAMPAK LIQUID PACKAGING                 </t>
  </si>
  <si>
    <t xml:space="preserve">ASPEN EXPORT                            </t>
  </si>
  <si>
    <t>SANDTON</t>
  </si>
  <si>
    <t xml:space="preserve">M &amp; C BEARINGS &amp; TRANSMISSION           </t>
  </si>
  <si>
    <t>NIGEL</t>
  </si>
  <si>
    <t xml:space="preserve">WILMAR CONTINENTAL EDIBLE OILS          </t>
  </si>
  <si>
    <t>RANDFONTEIN</t>
  </si>
  <si>
    <t xml:space="preserve">FRESENIUS KABI SA (PTY) L.T.D           </t>
  </si>
  <si>
    <t xml:space="preserve">MASSAMATIC PTY LTD                      </t>
  </si>
  <si>
    <t xml:space="preserve">MECHATRONICS                            </t>
  </si>
  <si>
    <t xml:space="preserve">ERGO BUSINESS DEVELOPMENT               </t>
  </si>
  <si>
    <t xml:space="preserve">NEDBANK (NEDFLEET)                      </t>
  </si>
  <si>
    <t xml:space="preserve">SAPREF                                  </t>
  </si>
  <si>
    <t xml:space="preserve">ELEN ELECTRICAL ENCLOSURES (PTY)LTD     </t>
  </si>
  <si>
    <t>ROBERTVILLE</t>
  </si>
  <si>
    <t xml:space="preserve">IPACKCHEM PTY LTD                       </t>
  </si>
  <si>
    <t xml:space="preserve">UNILEVER SA PTY LTD                     </t>
  </si>
  <si>
    <t xml:space="preserve">SPRING MEADOW DAIRY FARM (PTY)LTD       </t>
  </si>
  <si>
    <t>NOTTINGHAM ROAD</t>
  </si>
  <si>
    <t xml:space="preserve">BMG GEORGE 0122                         </t>
  </si>
  <si>
    <t>GEORGE</t>
  </si>
  <si>
    <t xml:space="preserve">PACIFIC FLUID COMPONENTS CC             </t>
  </si>
  <si>
    <t>QUEENSBURGH</t>
  </si>
  <si>
    <t xml:space="preserve">MEYER STEEL CONSTRUCTION                </t>
  </si>
  <si>
    <t xml:space="preserve">RHODES FOOD GROUP                       </t>
  </si>
  <si>
    <t xml:space="preserve">ALBANY BAKERIES A DIVISION OF TIGER-    </t>
  </si>
  <si>
    <t xml:space="preserve">H.W.S INDUSTRIES (PTY) LTD              </t>
  </si>
  <si>
    <t xml:space="preserve">PAILPAC PTY LTD                         </t>
  </si>
  <si>
    <t>GILLITTS</t>
  </si>
  <si>
    <t xml:space="preserve">BME PACKAGING CC                        </t>
  </si>
  <si>
    <t>LONGMEADOW EXT 8</t>
  </si>
  <si>
    <t xml:space="preserve">BOSUN BRICK                             </t>
  </si>
  <si>
    <t xml:space="preserve">WASA (PTY)LTD                           </t>
  </si>
  <si>
    <t xml:space="preserve">HP HOSE &amp; FITTING SPECIALIST CC         </t>
  </si>
  <si>
    <t>CANELANDS</t>
  </si>
  <si>
    <t xml:space="preserve">BARNES REINFORCING INDUSTRIES           </t>
  </si>
  <si>
    <t xml:space="preserve">NORTON &amp; SCALLAN MINING SUPPLY          </t>
  </si>
  <si>
    <t xml:space="preserve">ALBANY BAKERIES                         </t>
  </si>
  <si>
    <t>WALTLOO</t>
  </si>
  <si>
    <t xml:space="preserve">ACTOM PTY LTD                           </t>
  </si>
  <si>
    <t xml:space="preserve">WOODLANDS RESOURCE RECOVERY PLANT       </t>
  </si>
  <si>
    <t>HUMANSDORP</t>
  </si>
  <si>
    <t xml:space="preserve">BEARINGS ON CC                          </t>
  </si>
  <si>
    <t>ROBERTSHAM</t>
  </si>
  <si>
    <t xml:space="preserve">FILKRAFT (PTY)LTD                       </t>
  </si>
  <si>
    <t xml:space="preserve">BRIDGE PROCUREMENT                      </t>
  </si>
  <si>
    <t xml:space="preserve">ADCOCK INGRAM CRITICAL CARE PTY LTD     </t>
  </si>
  <si>
    <t xml:space="preserve">Saint-Gobain Construction Products      </t>
  </si>
  <si>
    <t xml:space="preserve">REGRADE MASTERS                         </t>
  </si>
  <si>
    <t>BOKSBURG NORTH</t>
  </si>
  <si>
    <t xml:space="preserve">AS AUTOMATIONS SOLUTIONS CC             </t>
  </si>
  <si>
    <t>DAGGAFONTEIN</t>
  </si>
  <si>
    <t xml:space="preserve">FORD OF SOUTHERN AFRICA AX9WA           </t>
  </si>
  <si>
    <t xml:space="preserve">CSM ENGINEERING CC                      </t>
  </si>
  <si>
    <t>TIGER BRANDS SNACKS &amp; TREATS &amp; BEVERAGES</t>
  </si>
  <si>
    <t xml:space="preserve">NR EXTREME ENGINEERING &amp; PIPING         </t>
  </si>
  <si>
    <t>CONGELLA</t>
  </si>
  <si>
    <t xml:space="preserve">BEARING MAN GROUP (PTY) LTD             </t>
  </si>
  <si>
    <t>VREDENBURG</t>
  </si>
  <si>
    <t xml:space="preserve">MERCEDES - BENZ S.A LIMITED             </t>
  </si>
  <si>
    <t xml:space="preserve">SASOL DYNO NOBEL PTY LTD                </t>
  </si>
  <si>
    <t>EKANDUSTRIA</t>
  </si>
  <si>
    <t xml:space="preserve">BMG ROSSLYN 0182                        </t>
  </si>
  <si>
    <t xml:space="preserve">COCA COLA  BEVERANGE S.A                </t>
  </si>
  <si>
    <t xml:space="preserve">ATC INNOVATION (PTY) LTD                </t>
  </si>
  <si>
    <t xml:space="preserve">INDECON CC                              </t>
  </si>
  <si>
    <t>FIRGROVE</t>
  </si>
  <si>
    <t xml:space="preserve">DETNET SA                               </t>
  </si>
  <si>
    <t xml:space="preserve">AUTO INDUSTRIAL MACHINING               </t>
  </si>
  <si>
    <t xml:space="preserve">VOESTALPINE STAMPTEC SA                 </t>
  </si>
  <si>
    <t xml:space="preserve">HALEWOOD INTERNATIONAL                  </t>
  </si>
  <si>
    <t>APEX INDUSTRIAL</t>
  </si>
  <si>
    <t xml:space="preserve">HENKEL S.A (PTY) LTD                    </t>
  </si>
  <si>
    <t xml:space="preserve">OPTIMUSBIO PTY LTD                      </t>
  </si>
  <si>
    <t>BRUMMERIA</t>
  </si>
  <si>
    <t xml:space="preserve">ZF LEMFORDER SA (PTY)LTD                </t>
  </si>
  <si>
    <t xml:space="preserve">SPEC TOOL &amp; DIE &amp; GENERAL ENGINEERING   </t>
  </si>
  <si>
    <t xml:space="preserve">UNILEVER SOUTH AFRICA PTY LTD PMB TEA   </t>
  </si>
  <si>
    <t>WILLOWTON</t>
  </si>
  <si>
    <t xml:space="preserve">TRM SUPPLIES CC                         </t>
  </si>
  <si>
    <t xml:space="preserve">UNIQUE HYDRA (PTY)LTD                   </t>
  </si>
  <si>
    <t xml:space="preserve">LINDE + WIEMANN (PTY) LTD               </t>
  </si>
  <si>
    <t xml:space="preserve">CHILL BEVERAGES INTERNATIONAL (PTY) LTD </t>
  </si>
  <si>
    <t xml:space="preserve">COMPUSCAN                               </t>
  </si>
  <si>
    <t xml:space="preserve">MPACT PLASTICS COMPRESSION MOULDING     </t>
  </si>
  <si>
    <t xml:space="preserve">ATLANTIS FOUNDRY                        </t>
  </si>
  <si>
    <t>ATLANTIS</t>
  </si>
  <si>
    <t>FREUDENBURG FIL TRATION TECHNOLOGIES PTY</t>
  </si>
  <si>
    <t xml:space="preserve">KENZEL ENGINEERING TRUST                </t>
  </si>
  <si>
    <t>SIDWELL</t>
  </si>
  <si>
    <t>HAMMANSKRAAL</t>
  </si>
  <si>
    <t xml:space="preserve">PRIMA INDUSTRIAL HOLDINGS               </t>
  </si>
  <si>
    <t xml:space="preserve">ISLAND VIEW STORAGE                     </t>
  </si>
  <si>
    <t>ISLAND VIEW</t>
  </si>
  <si>
    <t xml:space="preserve">RUBICON EASTERN CAPE                    </t>
  </si>
  <si>
    <t xml:space="preserve">APL CATONS CT                           </t>
  </si>
  <si>
    <t>ADRIAANSE</t>
  </si>
  <si>
    <t>AIRPORT INDUSTRIA</t>
  </si>
  <si>
    <t xml:space="preserve">RICH PRODUCTS CORP OF SA                </t>
  </si>
  <si>
    <t>OPHIRTON</t>
  </si>
  <si>
    <t xml:space="preserve">TILE MAGIC CC                           </t>
  </si>
  <si>
    <t>BAPSFONTEIN</t>
  </si>
  <si>
    <t xml:space="preserve">UMICORE CATALYST SA PTY LTD             </t>
  </si>
  <si>
    <t>YOUNG PARK</t>
  </si>
  <si>
    <t xml:space="preserve">NAMPAK GLASS                            </t>
  </si>
  <si>
    <t>ROODEKOP</t>
  </si>
  <si>
    <t xml:space="preserve">UNILEVER S.A (PTY)LTD                   </t>
  </si>
  <si>
    <t>CHLOORKOP</t>
  </si>
  <si>
    <t xml:space="preserve">NIMBA TECH PTY LTD                      </t>
  </si>
  <si>
    <t>UPINGTON</t>
  </si>
  <si>
    <t xml:space="preserve">BROADWAY SWEETS                         </t>
  </si>
  <si>
    <t>BENONI SOUTH</t>
  </si>
  <si>
    <t xml:space="preserve">ASPEN NUTRITIONALS                      </t>
  </si>
  <si>
    <t xml:space="preserve">SCHULLPAK GAUTENG (PTY)LTD              </t>
  </si>
  <si>
    <t xml:space="preserve">BULK TECHNIK CC                         </t>
  </si>
  <si>
    <t>NORTHCLIFF</t>
  </si>
  <si>
    <t xml:space="preserve">CHW DESIGN CC                           </t>
  </si>
  <si>
    <t xml:space="preserve">LEAR SEWING PTY LTD                     </t>
  </si>
  <si>
    <t>WOODBROOK</t>
  </si>
  <si>
    <t xml:space="preserve">AUTO X PTY LTD                          </t>
  </si>
  <si>
    <t xml:space="preserve">NARROWTEX PTY LTD                       </t>
  </si>
  <si>
    <t>ESTCOURT</t>
  </si>
  <si>
    <t xml:space="preserve">CAXTON WORKS                            </t>
  </si>
  <si>
    <t>INDUSTRIA</t>
  </si>
  <si>
    <t xml:space="preserve">SIGNAL INSTRUMENTATION CC               </t>
  </si>
  <si>
    <t xml:space="preserve">TONGAAT HULETTS GROUP                   </t>
  </si>
  <si>
    <t>MAIDSTONE</t>
  </si>
  <si>
    <t xml:space="preserve">ELEMENT SIX PRODUCTION                  </t>
  </si>
  <si>
    <t xml:space="preserve">PAMODZI UNIQUE ENGINEERING              </t>
  </si>
  <si>
    <t>LILIANTON</t>
  </si>
  <si>
    <t xml:space="preserve">AVION EAST RAND PTY LTD                 </t>
  </si>
  <si>
    <t xml:space="preserve">MARLEY SA PTY LTD                       </t>
  </si>
  <si>
    <t xml:space="preserve">CLOVER S.A (PTY) LTD                    </t>
  </si>
  <si>
    <t>FRANKFORT</t>
  </si>
  <si>
    <t xml:space="preserve">NESTLE SOUTH AFRICA (PTY)LTD            </t>
  </si>
  <si>
    <t>STANDERTON</t>
  </si>
  <si>
    <t xml:space="preserve">CIRCUIT BREAKER INDUSTRIES PTY LTD      </t>
  </si>
  <si>
    <t xml:space="preserve">MARCE FIRE FIGHTING TECHNOLOGY          </t>
  </si>
  <si>
    <t>LYTTELTON</t>
  </si>
  <si>
    <t xml:space="preserve">CASH ACC-CARMAKY GROUP                  </t>
  </si>
  <si>
    <t>BARDENE</t>
  </si>
  <si>
    <t xml:space="preserve">ATELIER SA PTY LTD                      </t>
  </si>
  <si>
    <t xml:space="preserve">INNOVATIVE MINING PRODUCTS (PTY)LTD     </t>
  </si>
  <si>
    <t xml:space="preserve">COCA -COLA BEVERAGES SA (PTY) LTD       </t>
  </si>
  <si>
    <t>DEVLAND</t>
  </si>
  <si>
    <t xml:space="preserve">MAVTECH                                 </t>
  </si>
  <si>
    <t xml:space="preserve">INNOVATIVE WATER CARE S.A (PTY)LTD      </t>
  </si>
  <si>
    <t xml:space="preserve">PARMALAT SA                             </t>
  </si>
  <si>
    <t>KYALAMI</t>
  </si>
  <si>
    <t xml:space="preserve">REMA TIP TOP SOUTH AFRICA               </t>
  </si>
  <si>
    <t xml:space="preserve">PPC CEMENT SA                           </t>
  </si>
  <si>
    <t xml:space="preserve">ROBOTIC INNOVATIONS PTY                 </t>
  </si>
  <si>
    <t>IRENE</t>
  </si>
  <si>
    <t xml:space="preserve">P.J.ENGINEERING                         </t>
  </si>
  <si>
    <t>SOMERSET EAST</t>
  </si>
  <si>
    <t xml:space="preserve">HENRED FRUEHAUF TRAILERS                </t>
  </si>
  <si>
    <t xml:space="preserve">BENTELER SA                             </t>
  </si>
  <si>
    <t xml:space="preserve">CAPITAL MAITANACE                       </t>
  </si>
  <si>
    <t xml:space="preserve">EFAMATIC MACHINE TOOLS                  </t>
  </si>
  <si>
    <t>CLEVELAND</t>
  </si>
  <si>
    <t xml:space="preserve">FRONERI SOUTH AFRICA (PTY)LTD           </t>
  </si>
  <si>
    <t xml:space="preserve">EVERITE BUILDING DIVISION               </t>
  </si>
  <si>
    <t xml:space="preserve">TONGAAT HULLETTS GROUP LTD              </t>
  </si>
  <si>
    <t>ROSSBURGH</t>
  </si>
  <si>
    <t xml:space="preserve">SMMF SOFTWARE TECHNOLOGIES              </t>
  </si>
  <si>
    <t xml:space="preserve">ISOFA / STROCAM                         </t>
  </si>
  <si>
    <t>SUNDERLAND RIDGE</t>
  </si>
  <si>
    <t xml:space="preserve">Mavtech Technologies Ltd                </t>
  </si>
  <si>
    <t xml:space="preserve">PROPET S.A (PTY) LTD                    </t>
  </si>
  <si>
    <t xml:space="preserve">OVER ARFICA INDUSTRIAL SUPPLIES         </t>
  </si>
  <si>
    <t xml:space="preserve">IDWALA CARBONATES                       </t>
  </si>
  <si>
    <t>ALLEN RISE</t>
  </si>
  <si>
    <t xml:space="preserve">CORNING PRODUCTS                        </t>
  </si>
  <si>
    <t xml:space="preserve">INDUSTRIAL CONSUMER PLASTICS (PTY)LTD   </t>
  </si>
  <si>
    <t>ISITHEBE</t>
  </si>
  <si>
    <t xml:space="preserve">JADEC STEEL PROJECT CC                  </t>
  </si>
  <si>
    <t xml:space="preserve">CONSOLIDATED WIRE INDUSTRIES (PTY) LTD  </t>
  </si>
  <si>
    <t xml:space="preserve">PFERD SA PTY LTD                        </t>
  </si>
  <si>
    <t xml:space="preserve">NATIONAL PACKAGING SYSTEMS              </t>
  </si>
  <si>
    <t xml:space="preserve">COMPTECH ELECTRONICS                    </t>
  </si>
  <si>
    <t xml:space="preserve">AUTOMATION TECHNIQUES                   </t>
  </si>
  <si>
    <t xml:space="preserve">DISA                                    </t>
  </si>
  <si>
    <t xml:space="preserve">PRAGA TECHNICAL PTY LTD                 </t>
  </si>
  <si>
    <t xml:space="preserve">EGLI PRECISION ENGENNERING PTY LTD      </t>
  </si>
  <si>
    <t xml:space="preserve">HALL LONGMORE HOLDINGS PTY LTD          </t>
  </si>
  <si>
    <t xml:space="preserve">GRINDING MEDIA SOUTH AFRICA             </t>
  </si>
  <si>
    <t xml:space="preserve">0017063719 G.U.D Holding                </t>
  </si>
  <si>
    <t xml:space="preserve">TIGER BRANDS                            </t>
  </si>
  <si>
    <t xml:space="preserve">HULAMIN OPERATIONTS PTY LTD             </t>
  </si>
  <si>
    <t xml:space="preserve">RUMAX MINING CC                         </t>
  </si>
  <si>
    <t xml:space="preserve">KELLOGGS CO OF SA                       </t>
  </si>
  <si>
    <t>NEW ERA</t>
  </si>
  <si>
    <t xml:space="preserve">ERGO MINING                             </t>
  </si>
  <si>
    <t xml:space="preserve">HYDROMATIC ENTERPRISES PTY LTD          </t>
  </si>
  <si>
    <t>MARBURG</t>
  </si>
  <si>
    <t xml:space="preserve">NEOPAK                                  </t>
  </si>
  <si>
    <t xml:space="preserve">MAINSTREET 1310                         </t>
  </si>
  <si>
    <t xml:space="preserve">RCL FOODCORP (PTY) LTD                  </t>
  </si>
  <si>
    <t xml:space="preserve">NUKOR (PTY)LTD                          </t>
  </si>
  <si>
    <t>FAIRVIEW</t>
  </si>
  <si>
    <t xml:space="preserve">TI GROUP AUTOMOTIVE SYSTEMS (PTY) LTD   </t>
  </si>
  <si>
    <t xml:space="preserve">CLURE PROJECTS CC                       </t>
  </si>
  <si>
    <t xml:space="preserve">HUHTAMAKI DIV FLEXIBLE                  </t>
  </si>
  <si>
    <t xml:space="preserve">CEMPACK                                 </t>
  </si>
  <si>
    <t>MEYERTON</t>
  </si>
  <si>
    <t xml:space="preserve">ALBANY BAKERY RANDFONTEIN               </t>
  </si>
  <si>
    <t xml:space="preserve">REPMA ENGINEERING PTY LTD               </t>
  </si>
  <si>
    <t>INDUSTRIA NORTH</t>
  </si>
  <si>
    <t xml:space="preserve">MISTER SWEET PTY LTD                    </t>
  </si>
  <si>
    <t xml:space="preserve">DEVCOTECH ELECTRICAL ENG                </t>
  </si>
  <si>
    <t xml:space="preserve">QUICK VOLK ELECTRIC                     </t>
  </si>
  <si>
    <t xml:space="preserve">INDOCO REMEDIES                         </t>
  </si>
  <si>
    <t>BEDFORDVIEW</t>
  </si>
  <si>
    <t xml:space="preserve">FIRST QUANTUM MINERALS SA (PTY) LTD     </t>
  </si>
  <si>
    <t xml:space="preserve">NATIONAL BIOPRODUCTS INST               </t>
  </si>
  <si>
    <t xml:space="preserve">ACTIVE ENTERPRISES CC                   </t>
  </si>
  <si>
    <t xml:space="preserve">PROGETTO INTERNATIONAL                  </t>
  </si>
  <si>
    <t xml:space="preserve">PREMIER CAPE TOWN WHEAT MILL            </t>
  </si>
  <si>
    <t>SALT RIVER</t>
  </si>
  <si>
    <t xml:space="preserve">TI GROUP AUTOMOTIVE SYSTEM              </t>
  </si>
  <si>
    <t xml:space="preserve">FOCUS OPTICAL                           </t>
  </si>
  <si>
    <t xml:space="preserve">NESTLE SOUTH AFRICA (PTY) LTD           </t>
  </si>
  <si>
    <t xml:space="preserve">PARMALAT SA (PTY) LTD                   </t>
  </si>
  <si>
    <t xml:space="preserve">OFFSET PRESS SUPPLIES (PTY) LTD         </t>
  </si>
  <si>
    <t xml:space="preserve">PATERSON HUGHES ENGINEERING             </t>
  </si>
  <si>
    <t xml:space="preserve">KANSAI PLASCON (PTY) LTD                </t>
  </si>
  <si>
    <t xml:space="preserve">INDUSTRIAL CONTROL AUTOMATION           </t>
  </si>
  <si>
    <t xml:space="preserve">CONSOL GLASS (PTY) LTD                  </t>
  </si>
  <si>
    <t>BELLVILLE SOUTH</t>
  </si>
  <si>
    <t xml:space="preserve">S.A. MINT                               </t>
  </si>
  <si>
    <t>KOSMOSDAL</t>
  </si>
  <si>
    <t xml:space="preserve">L'OREAL MANUFACTURING PTY LTD           </t>
  </si>
  <si>
    <t>RANDJIES PARK</t>
  </si>
  <si>
    <t xml:space="preserve">KIM TAYLOR ENTEPRISE                    </t>
  </si>
  <si>
    <t>MAYVILLE</t>
  </si>
  <si>
    <t xml:space="preserve">JASCO TRADING PTY LTD                   </t>
  </si>
  <si>
    <t xml:space="preserve">KUSASA REFINING PTY LTD                 </t>
  </si>
  <si>
    <t xml:space="preserve">DUNLOP BELTING PRODUTCS                 </t>
  </si>
  <si>
    <t xml:space="preserve">ELECTRO-MECH SERVICES                   </t>
  </si>
  <si>
    <t xml:space="preserve">LESOTHO MILLING CO .(PTY)LTD            </t>
  </si>
  <si>
    <t>FICKSBURG</t>
  </si>
  <si>
    <t xml:space="preserve">TIGER CONSUMER BRANDS LTD               </t>
  </si>
  <si>
    <t xml:space="preserve">PLANETARY CONSULTANTS                   </t>
  </si>
  <si>
    <t>AIRFIELD</t>
  </si>
  <si>
    <t xml:space="preserve">CCBSA WADEVILLE PLANT                   </t>
  </si>
  <si>
    <t xml:space="preserve">LITTLE GREEN BEVERAGES                  </t>
  </si>
  <si>
    <t xml:space="preserve">CBI ELECTRIC AFRICAN CABLES             </t>
  </si>
  <si>
    <t>PEACEHAVEN</t>
  </si>
  <si>
    <t xml:space="preserve">PIONEER FOOD T/A ESCOURT MILL           </t>
  </si>
  <si>
    <t xml:space="preserve">UCL COMPANY (PTY)LTD                    </t>
  </si>
  <si>
    <t xml:space="preserve">COCA - COLA FORTUNE (PTY) LTD           </t>
  </si>
  <si>
    <t xml:space="preserve">OILCO (PTY) LTD                         </t>
  </si>
  <si>
    <t xml:space="preserve">PRO PROJECT ENGINEERING                 </t>
  </si>
  <si>
    <t>KUILS RIVER</t>
  </si>
  <si>
    <t xml:space="preserve">A.P.L. CARTONS (PTY) LTD                </t>
  </si>
  <si>
    <t xml:space="preserve">HANSENS ENGENNERING                     </t>
  </si>
  <si>
    <t xml:space="preserve">CONVEY IT CC                            </t>
  </si>
  <si>
    <t xml:space="preserve">DCD PROTECTED MOBILITY                  </t>
  </si>
  <si>
    <t xml:space="preserve">FLS TECHNICAL SERVICE                   </t>
  </si>
  <si>
    <t>LAKESIDE</t>
  </si>
  <si>
    <t xml:space="preserve">SMA ENGINEERING S.A. (PTY) LTD          </t>
  </si>
  <si>
    <t xml:space="preserve">DM ENGINEERING                          </t>
  </si>
  <si>
    <t xml:space="preserve">CBI ELECTRIC TELECOM CABLES             </t>
  </si>
  <si>
    <t xml:space="preserve">NEVILLE CAMAY CC                        </t>
  </si>
  <si>
    <t>FLORIDA GLEN</t>
  </si>
  <si>
    <t xml:space="preserve">ROAN SYSTEMS (PTY)LTD                   </t>
  </si>
  <si>
    <t xml:space="preserve">UNIVERSAL CLIPS                         </t>
  </si>
  <si>
    <t xml:space="preserve">TECHNOGRAN                              </t>
  </si>
  <si>
    <t>LINKSFIELD</t>
  </si>
  <si>
    <t xml:space="preserve">COCA COLA BEVERAGES SA(Pty) LTD         </t>
  </si>
  <si>
    <t xml:space="preserve">KARAN BEEF (PTY) LTD                    </t>
  </si>
  <si>
    <t>BALFOUR</t>
  </si>
  <si>
    <t xml:space="preserve">LEAR SEWING (PTY)LTD P.E                </t>
  </si>
  <si>
    <t xml:space="preserve">HULAMIN OPERATIONS PTY LTD              </t>
  </si>
  <si>
    <t xml:space="preserve">DURR SOUTH AFRICA                       </t>
  </si>
  <si>
    <t>FRAMESBY</t>
  </si>
  <si>
    <t xml:space="preserve">WATCH TOWER BIBLE TRACT SOCIETY OF SA   </t>
  </si>
  <si>
    <t>RANGEVIEW</t>
  </si>
  <si>
    <t xml:space="preserve">WILVIC PLASTICS CC                      </t>
  </si>
  <si>
    <t>BOLTONIA</t>
  </si>
  <si>
    <t xml:space="preserve">LAUB ENGIEERING PTY LTD                 </t>
  </si>
  <si>
    <t xml:space="preserve">G N MOTOR REWINDING                     </t>
  </si>
  <si>
    <t>PATENSIE</t>
  </si>
  <si>
    <t xml:space="preserve">PRECISION ELECTRICAL WHOLESALERS        </t>
  </si>
  <si>
    <t>HOMELAKE</t>
  </si>
  <si>
    <t xml:space="preserve">BRIDGESTONE FIRESTONE                   </t>
  </si>
  <si>
    <t xml:space="preserve">NIORO PLASTICS                          </t>
  </si>
  <si>
    <t xml:space="preserve">HYDRABERG HYDRAULICS CC                 </t>
  </si>
  <si>
    <t xml:space="preserve">PREMIER INDUSTERIAL                     </t>
  </si>
  <si>
    <t>WELLINGTON</t>
  </si>
  <si>
    <t xml:space="preserve">EGLI PRECISION ENGINEERING PTY          </t>
  </si>
  <si>
    <t xml:space="preserve">FONTANA MANUFACTURERS PTY LTD           </t>
  </si>
  <si>
    <t>UMKOMAAS</t>
  </si>
  <si>
    <t xml:space="preserve">ALDOR AFRICA                            </t>
  </si>
  <si>
    <t>STORMMILL</t>
  </si>
  <si>
    <t xml:space="preserve">UNIVERSAL AUTOMATED SYSTEMS PTY LTD     </t>
  </si>
  <si>
    <t xml:space="preserve">NATIONAL BRANDS BUSCUITS &amp; SNACKS       </t>
  </si>
  <si>
    <t>INDUSTRIAL AREA</t>
  </si>
  <si>
    <t xml:space="preserve">RESCUE TECHNOLOGY CC                    </t>
  </si>
  <si>
    <t xml:space="preserve">PETROLEUM REPAIR                        </t>
  </si>
  <si>
    <t xml:space="preserve">PIONEER FOODS GROCERIES (PTY) LTD       </t>
  </si>
  <si>
    <t xml:space="preserve">EAST COAST INSTRUMENTATION SALES        </t>
  </si>
  <si>
    <t xml:space="preserve">METROCAS CC                             </t>
  </si>
  <si>
    <t>VORNA VALLEY</t>
  </si>
  <si>
    <t xml:space="preserve">IMP AUTOMATED LABORATORY SERVICE        </t>
  </si>
  <si>
    <t xml:space="preserve">QUALIPAK (PTY) LTD                      </t>
  </si>
  <si>
    <t xml:space="preserve">COLUMBIT PTY /T/A INDUSTRIES            </t>
  </si>
  <si>
    <t xml:space="preserve">SURTEES RAILWAY SUPPLY (PRY)LTD         </t>
  </si>
  <si>
    <t>DENVER</t>
  </si>
  <si>
    <t>JORDAN &amp; CO A DIV BOLTON FOOTWEAR PTY LT</t>
  </si>
  <si>
    <t>ELSIES RIVER</t>
  </si>
  <si>
    <t xml:space="preserve">RG BROSE AUTOMOTIVE COMPONENTS          </t>
  </si>
  <si>
    <t xml:space="preserve">EVRIGARD PTY LTD                        </t>
  </si>
  <si>
    <t xml:space="preserve">HARTMANS INDUTRIAL EQUIPMENT            </t>
  </si>
  <si>
    <t>BLOEMFONTEIN</t>
  </si>
  <si>
    <t xml:space="preserve">BIC SA PTY LTD                          </t>
  </si>
  <si>
    <t xml:space="preserve">DRYTECH INTERNATIONAL PTY LTD           </t>
  </si>
  <si>
    <t xml:space="preserve">SNEAKER SNACKS CC                       </t>
  </si>
  <si>
    <t>HERIOTDALE</t>
  </si>
  <si>
    <t xml:space="preserve">PLASCUT 86 (PTY)LTD                     </t>
  </si>
  <si>
    <t xml:space="preserve">TS ENGINEERING                          </t>
  </si>
  <si>
    <t>MULDERSDRIF</t>
  </si>
  <si>
    <t xml:space="preserve">PREMIER FMCG                            </t>
  </si>
  <si>
    <t xml:space="preserve">AMOPACK CAN MANUFACTURERS PTY LTD       </t>
  </si>
  <si>
    <t xml:space="preserve">TURNCO ENGINEERING CC                   </t>
  </si>
  <si>
    <t xml:space="preserve">NEUMATICS KZN                           </t>
  </si>
  <si>
    <t xml:space="preserve">RIDGE DISTRIBUTORS CC                   </t>
  </si>
  <si>
    <t xml:space="preserve">LEDA ENGINEERING SERVICES CC            </t>
  </si>
  <si>
    <t xml:space="preserve">KROMBERG &amp; SCHUBERT(EASTERN CAPE)       </t>
  </si>
  <si>
    <t xml:space="preserve">BMI COVERLAN PTY LTD                    </t>
  </si>
  <si>
    <t>AVOCA</t>
  </si>
  <si>
    <t xml:space="preserve">PETROMAN SA (PTY) LTD                   </t>
  </si>
  <si>
    <t xml:space="preserve">WASSERTEC OZONE SYSTEMS                 </t>
  </si>
  <si>
    <t>MUIZENBERG</t>
  </si>
  <si>
    <t xml:space="preserve">EXTRUFORM PTY LTD                       </t>
  </si>
  <si>
    <t xml:space="preserve">FLEXICON AFRICA PTY LTD                 </t>
  </si>
  <si>
    <t xml:space="preserve">P. WILSON ELECTRICAL SUPPLIES CC        </t>
  </si>
  <si>
    <t xml:space="preserve">HI  CALIBRE ENGINEERING (PTY)LTD        </t>
  </si>
  <si>
    <t xml:space="preserve">NR EXTREME ENGINEERING AND PIPING       </t>
  </si>
  <si>
    <t xml:space="preserve">SMITHS MANUFACTURING                    </t>
  </si>
  <si>
    <t xml:space="preserve">NTP RADIOSOTOP                          </t>
  </si>
  <si>
    <t xml:space="preserve">NATIONAL BRANDS LTD BECKETTS            </t>
  </si>
  <si>
    <t xml:space="preserve">PRESSURE DIE CASTINGS PTY LTD           </t>
  </si>
  <si>
    <t xml:space="preserve">SPRINGS BEE GEE ELECT WHOLE CC          </t>
  </si>
  <si>
    <t xml:space="preserve">HOT PLATINUM                            </t>
  </si>
  <si>
    <t>ATHLONE INDUSTRIA 1</t>
  </si>
  <si>
    <t xml:space="preserve">FORD MOTORING CO OF SA                  </t>
  </si>
  <si>
    <t>SILVERTON</t>
  </si>
  <si>
    <t xml:space="preserve">CLOVER SA                               </t>
  </si>
  <si>
    <t xml:space="preserve">VOLKSWAGEN OF SA (VC 3055)              </t>
  </si>
  <si>
    <t xml:space="preserve">FEDERAL MOGUL ENGINE BEARINGS (PTY) LTD </t>
  </si>
  <si>
    <t xml:space="preserve">BEARING &amp; ACCESSORIES CC                </t>
  </si>
  <si>
    <t xml:space="preserve">DR OETKER SOUTH AFRICA (PTY) L.T.D      </t>
  </si>
  <si>
    <t xml:space="preserve">TRIAGLE TRADING 100 CC                  </t>
  </si>
  <si>
    <t xml:space="preserve">MA AUTOMOTIVE                           </t>
  </si>
  <si>
    <t xml:space="preserve">SACHET MANUFACTURES (PTY)LTD            </t>
  </si>
  <si>
    <t xml:space="preserve">S.A. LITHO PRINTINGS &amp; PACK. (S)        </t>
  </si>
  <si>
    <t xml:space="preserve">HERBIVORE EARTHFOODS (PTY)LTD           </t>
  </si>
  <si>
    <t xml:space="preserve">AUTOMATION WORKS GAUTENG (PTY)LTD       </t>
  </si>
  <si>
    <t>GLEN MARAIS</t>
  </si>
  <si>
    <t xml:space="preserve">CONVERTACOR CC                          </t>
  </si>
  <si>
    <t xml:space="preserve">RCL FOODS SUGAR &amp; MILLING               </t>
  </si>
  <si>
    <t xml:space="preserve">MODERN PREOCESSSING EQUIPMENT CC        </t>
  </si>
  <si>
    <t xml:space="preserve">FILKRAFT ( PTY) LTD                     </t>
  </si>
  <si>
    <t xml:space="preserve">PRIDE MILLING CO PTY LTD                </t>
  </si>
  <si>
    <t>VORSTERSKROON</t>
  </si>
  <si>
    <t>RG BROSE AUTOMOTIVE COMPONENTS (PTY) LTD</t>
  </si>
  <si>
    <t>SUNNYRIDGE</t>
  </si>
  <si>
    <t xml:space="preserve">SAPPI SA LTD                            </t>
  </si>
  <si>
    <t xml:space="preserve">AUTOPAC MACHINERY CORPORATION           </t>
  </si>
  <si>
    <t>KAYA SAND</t>
  </si>
  <si>
    <t xml:space="preserve">PEAKERS OPERATION PTY LTD               </t>
  </si>
  <si>
    <t>UMHLANGA RIDGE</t>
  </si>
  <si>
    <t xml:space="preserve">J MARK ENGINEERING                      </t>
  </si>
  <si>
    <t xml:space="preserve">PAK 2000 (PTY) LTD                      </t>
  </si>
  <si>
    <t xml:space="preserve">AM SYSTEMS INTEGRATION                  </t>
  </si>
  <si>
    <t xml:space="preserve">NTE COMPANY PTY LTD                     </t>
  </si>
  <si>
    <t xml:space="preserve">VEOLIA WATER SOLUTIONS                  </t>
  </si>
  <si>
    <t>KEMPTON PARK</t>
  </si>
  <si>
    <t xml:space="preserve">SOUTHERN PULP MACHINERY                 </t>
  </si>
  <si>
    <t xml:space="preserve">SHATTERPRUFE NEAVE PLANT                </t>
  </si>
  <si>
    <t xml:space="preserve">STARKE INDUSTRIES CC                    </t>
  </si>
  <si>
    <t xml:space="preserve">SCOTT BADER                             </t>
  </si>
  <si>
    <t xml:space="preserve">PREMIER FOODS LTD                       </t>
  </si>
  <si>
    <t xml:space="preserve">UCL COMPANY                             </t>
  </si>
  <si>
    <t>DALTON</t>
  </si>
  <si>
    <t xml:space="preserve">PREMIER FMCG (PTY)LTD                   </t>
  </si>
  <si>
    <t xml:space="preserve">GEA AFRICA                              </t>
  </si>
  <si>
    <t xml:space="preserve">TOYOTA SA MOTORS                        </t>
  </si>
  <si>
    <t>ISIPINGO BEACH</t>
  </si>
  <si>
    <t xml:space="preserve">PIONEER FOODS GROCERIES PTY             </t>
  </si>
  <si>
    <t>ECHAR CONSTRACTION EQUIPMENT MANUFACTURE</t>
  </si>
  <si>
    <t xml:space="preserve">KENRU FIRE PROTECTION                   </t>
  </si>
  <si>
    <t>KIMBERLEY</t>
  </si>
  <si>
    <t xml:space="preserve">ALPHAPAX PACKAGING CC                   </t>
  </si>
  <si>
    <t xml:space="preserve">ACT LOGISTICS                           </t>
  </si>
  <si>
    <t xml:space="preserve">SEECOR BLOW MOULDERS                    </t>
  </si>
  <si>
    <t>VIKING VILLAGE</t>
  </si>
  <si>
    <t xml:space="preserve">HYGIENIC TISSUE MILL                    </t>
  </si>
  <si>
    <t xml:space="preserve">DIVFOOD / NAMPAK                        </t>
  </si>
  <si>
    <t xml:space="preserve">MCCAIN FOODS SA PTY LTD                 </t>
  </si>
  <si>
    <t xml:space="preserve">DALE SPIRAL SYSTEMS &amp; BAKERY AUTOMATION </t>
  </si>
  <si>
    <t xml:space="preserve">UNIVERSAL PAPER MANUFATUCRERS           </t>
  </si>
  <si>
    <t xml:space="preserve">PARMALAT (PTY) LTD                      </t>
  </si>
  <si>
    <t xml:space="preserve">KLIP CONTROL                            </t>
  </si>
  <si>
    <t xml:space="preserve">BANTEX SOUTH AFRICA (PTY) LTD           </t>
  </si>
  <si>
    <t>INDUSTRIA WEST</t>
  </si>
  <si>
    <t xml:space="preserve">JOHNSON MATTHEY PTY LTD                 </t>
  </si>
  <si>
    <t>GERMISTON SOUTH</t>
  </si>
  <si>
    <t xml:space="preserve">FLOWSERVE SA PTY LTD                    </t>
  </si>
  <si>
    <t xml:space="preserve">ROBOTIC HANDLING SYSTEM Cc              </t>
  </si>
  <si>
    <t xml:space="preserve">ADLAM ENGINEERING PTY LTD               </t>
  </si>
  <si>
    <t xml:space="preserve">WEBBING PRODUCTS                        </t>
  </si>
  <si>
    <t>COCKETTS HOPE</t>
  </si>
  <si>
    <t xml:space="preserve">MAHLE BEHR SOUTH AFRICA (PTY) LTD       </t>
  </si>
  <si>
    <t>MARKMAN TSP</t>
  </si>
  <si>
    <t xml:space="preserve">BRINK TOWING SYSTEMS (PTY)LTD           </t>
  </si>
  <si>
    <t xml:space="preserve">MAGNET ELECTRICAL                       </t>
  </si>
  <si>
    <t>RIVERHORSE VALLEI IND PARK</t>
  </si>
  <si>
    <t xml:space="preserve">RICE &amp; PASTA A DIV OF                   </t>
  </si>
  <si>
    <t xml:space="preserve">SEALED AIR AFRICA                       </t>
  </si>
  <si>
    <t xml:space="preserve">TENNECO RIDE CONTROL SA                 </t>
  </si>
  <si>
    <t xml:space="preserve">AFGRI POULTRY (PTY)LTD                  </t>
  </si>
  <si>
    <t>SUNDRA</t>
  </si>
  <si>
    <t xml:space="preserve">MIKE S ACCESORIES SA                    </t>
  </si>
  <si>
    <t xml:space="preserve">SHATTERPRUFE TRADING SA                 </t>
  </si>
  <si>
    <t xml:space="preserve">GRIPPER &amp; CO (PTY) LTD                  </t>
  </si>
  <si>
    <t xml:space="preserve">NEDAN REFINERY                          </t>
  </si>
  <si>
    <t>MOKOPANE</t>
  </si>
  <si>
    <t xml:space="preserve">MVA BRICKS CC                           </t>
  </si>
  <si>
    <t xml:space="preserve">KW BREAD PACKAGING SYSTEMS CC           </t>
  </si>
  <si>
    <t xml:space="preserve">THE ANDERSON LID CO.                    </t>
  </si>
  <si>
    <t>OTTERY</t>
  </si>
  <si>
    <t xml:space="preserve">AFRICAN OXYGEN (PTY)LTD                 </t>
  </si>
  <si>
    <t xml:space="preserve">SA SUGAR ASSOCIATION                    </t>
  </si>
  <si>
    <t xml:space="preserve">TOYOTA BOSHOKU SA PTY LTD               </t>
  </si>
  <si>
    <t xml:space="preserve">ACTUM INDUSTRIAL PTY LTD                </t>
  </si>
  <si>
    <t xml:space="preserve">STAR HYDRAULICS &amp; PNEUMATICS            </t>
  </si>
  <si>
    <t xml:space="preserve">POLYOAK PACKAGING                       </t>
  </si>
  <si>
    <t xml:space="preserve">FUEL INDUSTRY SERVICES PTY LTD          </t>
  </si>
  <si>
    <t xml:space="preserve">IAN HYDRAULICS CC                       </t>
  </si>
  <si>
    <t>VRYHEID</t>
  </si>
  <si>
    <t xml:space="preserve">FEDERAL MOGUL FRICTION PRODUCTS         </t>
  </si>
  <si>
    <t xml:space="preserve">BEARINGS SPROCKETS &amp; HOSE               </t>
  </si>
  <si>
    <t xml:space="preserve">AFRISAM SA                              </t>
  </si>
  <si>
    <t>ROODEPOORT</t>
  </si>
  <si>
    <t xml:space="preserve">TIGER BRANDS SNACKS , TREANTS BEVERAGES </t>
  </si>
  <si>
    <t xml:space="preserve">DES GROUP (PTY) LTD                     </t>
  </si>
  <si>
    <t xml:space="preserve">SANOFI INDUSTRIES SA (PTY)LTD           </t>
  </si>
  <si>
    <t>ENPROTEC NENVIROMENTAL &amp; PROCESS TECHNOL</t>
  </si>
  <si>
    <t>MIDDELBURG</t>
  </si>
  <si>
    <t xml:space="preserve">NATIONAL BRANDS LIMITED                 </t>
  </si>
  <si>
    <t xml:space="preserve">L'OREAL MANUFACTURING (PTY)LTD          </t>
  </si>
  <si>
    <t xml:space="preserve">CHEMLINK SA (PTY) LTD                   </t>
  </si>
  <si>
    <t>ALAN MANOR</t>
  </si>
  <si>
    <t xml:space="preserve">JOHNSON AND JOHNSON (PTY) LTD           </t>
  </si>
  <si>
    <t>RETREAT</t>
  </si>
  <si>
    <t xml:space="preserve">REPROPLAST                              </t>
  </si>
  <si>
    <t xml:space="preserve">Rand Refinery                           </t>
  </si>
  <si>
    <t>Germiston</t>
  </si>
  <si>
    <t xml:space="preserve">AIR PRODUCTS                            </t>
  </si>
  <si>
    <t xml:space="preserve">FAURECIA EMISSIONS CONTROL TECHNOLOGY   </t>
  </si>
  <si>
    <t xml:space="preserve">THE SIMBA GROUP                         </t>
  </si>
  <si>
    <t xml:space="preserve">BRITTECH                                </t>
  </si>
  <si>
    <t xml:space="preserve">PIONEER FOODS GROCERIES                 </t>
  </si>
  <si>
    <t xml:space="preserve">FOODSERV SOLUTIONS                      </t>
  </si>
  <si>
    <t xml:space="preserve">BANDAG SOUHT AFRICA PTY LTD             </t>
  </si>
  <si>
    <t>ALRODE EXT 2</t>
  </si>
  <si>
    <t xml:space="preserve">HEINEKEN SOUTH AFRICA (PTY) LTD         </t>
  </si>
  <si>
    <t xml:space="preserve">AMROD MAINSTEET 1477                    </t>
  </si>
  <si>
    <t>WOODMEAD</t>
  </si>
  <si>
    <t xml:space="preserve">RHEEM SA PTY LTD                        </t>
  </si>
  <si>
    <t xml:space="preserve">MULTOTEC MANUFACTURING                  </t>
  </si>
  <si>
    <t xml:space="preserve">COCA COLA LAKESIDE                      </t>
  </si>
  <si>
    <t xml:space="preserve">AGV MANAGEMENT                          </t>
  </si>
  <si>
    <t xml:space="preserve">BANDINI CHEESE PTY LTD                  </t>
  </si>
  <si>
    <t>DOORNKOP</t>
  </si>
  <si>
    <t xml:space="preserve">NORTH STAR INDUSTRIAL SUPPLIES CC       </t>
  </si>
  <si>
    <t xml:space="preserve">ENTYCE BEVERAGES                        </t>
  </si>
  <si>
    <t xml:space="preserve">AUTOLIV SA                              </t>
  </si>
  <si>
    <t>CHAMDOR</t>
  </si>
  <si>
    <t xml:space="preserve">RECORDS INDUSTRIAL                      </t>
  </si>
  <si>
    <t xml:space="preserve">BOLT &amp; ENG (PLATPROV)                   </t>
  </si>
  <si>
    <t xml:space="preserve">ERA STENE / ROSEMA BRICKS PTY LTD       </t>
  </si>
  <si>
    <t xml:space="preserve">CHEMPLUS CC                             </t>
  </si>
  <si>
    <t xml:space="preserve">TI AUTOMOTIVE FUEL SYSTEM               </t>
  </si>
  <si>
    <t xml:space="preserve">SHUKELA TRAINING CENTRE                 </t>
  </si>
  <si>
    <t>ALBANY BAKERIEYS A DIV OF TIGER COUSUMER</t>
  </si>
  <si>
    <t>DRIEHOEK</t>
  </si>
  <si>
    <t xml:space="preserve">NELSON MANDELA METROPOLITAN UNIVERSITY  </t>
  </si>
  <si>
    <t xml:space="preserve">BMO FOOD SERVICES                       </t>
  </si>
  <si>
    <t xml:space="preserve">ESSILOR SOUTH AFRICA (PTY)LTD           </t>
  </si>
  <si>
    <t>MEADOWDALE</t>
  </si>
  <si>
    <t xml:space="preserve">ELECTRO MECH SERVICES Cc                </t>
  </si>
  <si>
    <t xml:space="preserve">TM ENGINEERING                          </t>
  </si>
  <si>
    <t>RANDBURG</t>
  </si>
  <si>
    <t xml:space="preserve">SANTECH ENTEPRISES                      </t>
  </si>
  <si>
    <t xml:space="preserve">WOLHUTER ENGINEERING                    </t>
  </si>
  <si>
    <t xml:space="preserve">MW WHEELS SA (PTY) LTD                  </t>
  </si>
  <si>
    <t xml:space="preserve">TOYOTA SA MOTORS PTY LTD                </t>
  </si>
  <si>
    <t xml:space="preserve">SPRAYMATE CC                            </t>
  </si>
  <si>
    <t>DALESIDE</t>
  </si>
  <si>
    <t xml:space="preserve">GREEN ENGINEERING                       </t>
  </si>
  <si>
    <t xml:space="preserve">AMCOR FLEXIBLE CAPE                     </t>
  </si>
  <si>
    <t xml:space="preserve">DYNAMIC PLASITC                         </t>
  </si>
  <si>
    <t xml:space="preserve">LEAR ELECTRICAL                         </t>
  </si>
  <si>
    <t xml:space="preserve">REBUS INDUSTRIAL CONTROLS               </t>
  </si>
  <si>
    <t xml:space="preserve">ACTOM MV SWITCHGEAR                     </t>
  </si>
  <si>
    <t>WITFIELD</t>
  </si>
  <si>
    <t xml:space="preserve">ROBERT BOSCH PTY LTD                    </t>
  </si>
  <si>
    <t xml:space="preserve">COLGATE PALMOLIVE LTD                   </t>
  </si>
  <si>
    <t xml:space="preserve">ESKORT LTD                              </t>
  </si>
  <si>
    <t xml:space="preserve">SALT FOUNDATION                         </t>
  </si>
  <si>
    <t xml:space="preserve">LAFARGE INDUSTRIES SA                   </t>
  </si>
  <si>
    <t>NEWLANDS</t>
  </si>
  <si>
    <t xml:space="preserve">HARDWARE MECCA (PTY)LTD                 </t>
  </si>
  <si>
    <t xml:space="preserve">PETER MILLER &amp; DAD                      </t>
  </si>
  <si>
    <t>MOREHILL</t>
  </si>
  <si>
    <t xml:space="preserve">POWER WORKS                             </t>
  </si>
  <si>
    <t xml:space="preserve">VENTURE DIVERSIFIED PRODUCTS(PTY)LTD    </t>
  </si>
  <si>
    <t xml:space="preserve">GUTH NDE SA                             </t>
  </si>
  <si>
    <t xml:space="preserve">VAVRO PLASTICS                          </t>
  </si>
  <si>
    <t xml:space="preserve">ORION INGENIEURSWERKE                   </t>
  </si>
  <si>
    <t>PRETORIA NORTH</t>
  </si>
  <si>
    <t xml:space="preserve">4 BYTES AUTOMATION CC                   </t>
  </si>
  <si>
    <t xml:space="preserve">C &amp; M HYDRAULIC SERVICES                </t>
  </si>
  <si>
    <t xml:space="preserve">TRUDA SNACKS CAPE CC                    </t>
  </si>
  <si>
    <t xml:space="preserve">FELTEX FEHRER                           </t>
  </si>
  <si>
    <t xml:space="preserve">CA MULLER FABRICATION CC                </t>
  </si>
  <si>
    <t xml:space="preserve">TI GROUP AUTOMATION SYSTEMS             </t>
  </si>
  <si>
    <t xml:space="preserve">CT INVENT PTY LTD                       </t>
  </si>
  <si>
    <t>MONDEOR</t>
  </si>
  <si>
    <t>LINBRO PARK</t>
  </si>
  <si>
    <t xml:space="preserve">SCAW SA                                 </t>
  </si>
  <si>
    <t xml:space="preserve">CONRO PRECISION                         </t>
  </si>
  <si>
    <t xml:space="preserve">ILLOVO SUGAR LTD DALTON                 </t>
  </si>
  <si>
    <t xml:space="preserve">DFS PROCESS SOLUTION PTY LTD            </t>
  </si>
  <si>
    <t>POMONA</t>
  </si>
  <si>
    <t xml:space="preserve">G.U.D HOLDINGS                          </t>
  </si>
  <si>
    <t xml:space="preserve">STRIDENT ENGINEERING CC                 </t>
  </si>
  <si>
    <t xml:space="preserve">TYREVULIC                               </t>
  </si>
  <si>
    <t>BRIARDENE</t>
  </si>
  <si>
    <t xml:space="preserve">UV + IR ENGINEERING PTY LTD             </t>
  </si>
  <si>
    <t xml:space="preserve">QUALITECHS                              </t>
  </si>
  <si>
    <t>STEELEDALE</t>
  </si>
  <si>
    <t xml:space="preserve">JLINC T/A TAMASA TRADING 213 CC         </t>
  </si>
  <si>
    <t xml:space="preserve">LIXIL                                   </t>
  </si>
  <si>
    <t xml:space="preserve">SPIRAX SARCO SA                         </t>
  </si>
  <si>
    <t xml:space="preserve">PHARMACARE LTD T/A ASPEN                </t>
  </si>
  <si>
    <t xml:space="preserve">MULTIPLANT GROENTE SAAILING KWEKERY     </t>
  </si>
  <si>
    <t xml:space="preserve">ELUMATEC SOUTH AFRICA                   </t>
  </si>
  <si>
    <t xml:space="preserve">THE COMBUSTION GROUP (PTY) LTD          </t>
  </si>
  <si>
    <t xml:space="preserve">TIGER GLOBERL LOGISTICS                 </t>
  </si>
  <si>
    <t xml:space="preserve">DES GROUP (PTY)LTD                      </t>
  </si>
  <si>
    <t xml:space="preserve">FESTO DUR OFFICE                        </t>
  </si>
  <si>
    <t>SPRINGFIELD PARK</t>
  </si>
  <si>
    <t xml:space="preserve">ECOMONICS FIRE CLAY WORK                </t>
  </si>
  <si>
    <t xml:space="preserve">MORRIS MARITIME SHIPCHANLERS            </t>
  </si>
  <si>
    <t>LA LUCIA</t>
  </si>
  <si>
    <t xml:space="preserve">CONTINENTAL BISCUITS (PTY)LTD           </t>
  </si>
  <si>
    <t xml:space="preserve">RAINBOW FARMS (PTY) LTD - WOR           </t>
  </si>
  <si>
    <t xml:space="preserve">WHIRLPOOL S.A                           </t>
  </si>
  <si>
    <t xml:space="preserve">FOXOLUTION SYSTEM ENGINEERING           </t>
  </si>
  <si>
    <t xml:space="preserve">KALTRON                                 </t>
  </si>
  <si>
    <t xml:space="preserve">Rebuff (Pty)Ltd                         </t>
  </si>
  <si>
    <t xml:space="preserve">LATHAM FILTARTION TECHNOLOGY PTY LTD    </t>
  </si>
  <si>
    <t xml:space="preserve">WINTERTIDE TRADING 69 CC                </t>
  </si>
  <si>
    <t xml:space="preserve">BOLTON FOOTWEAR PTY LTD                 </t>
  </si>
  <si>
    <t xml:space="preserve">THUTHUKA PACKAGING                      </t>
  </si>
  <si>
    <t xml:space="preserve">ASSA ABLOY (SA)(PTY) LTD                </t>
  </si>
  <si>
    <t xml:space="preserve">BALLENA TRADING 31 PTY LTD              </t>
  </si>
  <si>
    <t xml:space="preserve">DUTTON PLASTICS ENGINEERING             </t>
  </si>
  <si>
    <t xml:space="preserve">COLLABORATIVE PACKING SOLUTIONS         </t>
  </si>
  <si>
    <t xml:space="preserve">REEF ENGINEERING &amp; MNFG CO.             </t>
  </si>
  <si>
    <t xml:space="preserve">Fischer Tube Ec Pty Ltd                 </t>
  </si>
  <si>
    <t xml:space="preserve">FOXTEC-IKHWEZI PTY LTD                  </t>
  </si>
  <si>
    <t>WEST BANK</t>
  </si>
  <si>
    <t xml:space="preserve">ZF ACTIVE &amp; PASSIVE SAFTEY TECHNOLOGY   </t>
  </si>
  <si>
    <t xml:space="preserve">CITRASHINE                              </t>
  </si>
  <si>
    <t xml:space="preserve">AMPAGLAS PLASTICS GROUP (PTY)LTD        </t>
  </si>
  <si>
    <t xml:space="preserve">I M E SA                                </t>
  </si>
  <si>
    <t>HONEYDEW</t>
  </si>
  <si>
    <t xml:space="preserve">DICKIE &amp; STOCKLER                       </t>
  </si>
  <si>
    <t>VILLAGE DEEP</t>
  </si>
  <si>
    <t xml:space="preserve">SAPPI GLOBAL BUSINESS SERVICES          </t>
  </si>
  <si>
    <t xml:space="preserve">INTEGRATED CONVOLY PROTECTION           </t>
  </si>
  <si>
    <t xml:space="preserve">SPEC TOOL &amp; DIE &amp; GENERAL               </t>
  </si>
  <si>
    <t xml:space="preserve">INTERGRATED CONVORY PROTECTION PTY LTD  </t>
  </si>
  <si>
    <t>TIGER CONSUMER BRANDS LTD T/A TIGER MILL</t>
  </si>
  <si>
    <t xml:space="preserve">SUNNY PACKS MANUFACTURING (PTY)LTD      </t>
  </si>
  <si>
    <t xml:space="preserve">CONTRACTUM (PTY)LTD                     </t>
  </si>
  <si>
    <t>JEPPESTOWN</t>
  </si>
  <si>
    <t xml:space="preserve">OPEN DOOR TRADERS CC                    </t>
  </si>
  <si>
    <t xml:space="preserve">TITUS CONSULTING Cc                     </t>
  </si>
  <si>
    <t>GONUBIE</t>
  </si>
  <si>
    <t xml:space="preserve">BERMAR HYDRAULICS                       </t>
  </si>
  <si>
    <t xml:space="preserve">HEAT AND CONTROL (PTY) LTD              </t>
  </si>
  <si>
    <t xml:space="preserve">PMD PACKAGING SYSTEMS                   </t>
  </si>
  <si>
    <t xml:space="preserve">APPROPRIATE PROCESS TECHNOLOGY          </t>
  </si>
  <si>
    <t xml:space="preserve">VAAL SANITARYWARE (PTY) LTD             </t>
  </si>
  <si>
    <t xml:space="preserve">AMFI GRAFT CC                           </t>
  </si>
  <si>
    <t xml:space="preserve">UNILIVER SA                             </t>
  </si>
  <si>
    <t xml:space="preserve">GARETH GRAPHIX                          </t>
  </si>
  <si>
    <t xml:space="preserve">MASTERFLEX  WV                          </t>
  </si>
  <si>
    <t xml:space="preserve">TRANSVAAL HYDRAULICS                    </t>
  </si>
  <si>
    <t xml:space="preserve">PRO GLOW DIAMONDS                       </t>
  </si>
  <si>
    <t>ALBERTYNSHOF</t>
  </si>
  <si>
    <t xml:space="preserve">ELECTRONIC &amp; POWER                      </t>
  </si>
  <si>
    <t xml:space="preserve">KHAN CHEMICAL INDUSTRY C.C              </t>
  </si>
  <si>
    <t xml:space="preserve">TIGER MILLING                           </t>
  </si>
  <si>
    <t>HENNENMAN</t>
  </si>
  <si>
    <t xml:space="preserve">TONGAAT HULLET STARCH                   </t>
  </si>
  <si>
    <t>RANDVAAL</t>
  </si>
  <si>
    <t xml:space="preserve">VERTEX AUTOMATION PTY LTD               </t>
  </si>
  <si>
    <t>WEAVIND PARK</t>
  </si>
  <si>
    <t xml:space="preserve">GUD HOLDINGS PE                         </t>
  </si>
  <si>
    <t xml:space="preserve">NEWPORT JUICES                          </t>
  </si>
  <si>
    <t>NEW DOORNFONTEIN</t>
  </si>
  <si>
    <t xml:space="preserve">WEST END CEMENT BRICKS (PTY) LTD        </t>
  </si>
  <si>
    <t>WESTONARIA</t>
  </si>
  <si>
    <t xml:space="preserve">DK COURIERS                             </t>
  </si>
  <si>
    <t xml:space="preserve">HIGH FORCE HYDRAULIC PNEUMATIC &amp;        </t>
  </si>
  <si>
    <t xml:space="preserve">CCBSA HEIDELBERG VALPRE                 </t>
  </si>
  <si>
    <t xml:space="preserve">ABERDER CABLES                          </t>
  </si>
  <si>
    <t xml:space="preserve">ANDERSON ENGINEERING &amp;                  </t>
  </si>
  <si>
    <t xml:space="preserve">KIMBERLY CLARK                          </t>
  </si>
  <si>
    <t xml:space="preserve">DE BEERS CONSOLIDATE MINES LTD          </t>
  </si>
  <si>
    <t xml:space="preserve">ALPINE INSTRUMENTS                      </t>
  </si>
  <si>
    <t>MONTCLAIR</t>
  </si>
  <si>
    <t xml:space="preserve">CEC FABRICATION AND CONTRUCTION         </t>
  </si>
  <si>
    <t xml:space="preserve">CLOVER SA (PTY)LTD                      </t>
  </si>
  <si>
    <t xml:space="preserve">REHAU POLYMER PTY LTD                   </t>
  </si>
  <si>
    <t xml:space="preserve">A C PNEUMATICS                          </t>
  </si>
  <si>
    <t>WETTON</t>
  </si>
  <si>
    <t xml:space="preserve">MECHANICAL CONCEPTS CC                  </t>
  </si>
  <si>
    <t>PAARDEN ISLAND</t>
  </si>
  <si>
    <t xml:space="preserve">HI CALIBRE ENGINEERING (PTY) LTD        </t>
  </si>
  <si>
    <t xml:space="preserve">PNEUTECH ENGINEERING CC                 </t>
  </si>
  <si>
    <t xml:space="preserve">DURMALAR (PTY) LTD                      </t>
  </si>
  <si>
    <t xml:space="preserve">SME EXPORTS                             </t>
  </si>
  <si>
    <t>RIETFONTEIN</t>
  </si>
  <si>
    <t xml:space="preserve">TORRE AUTOMOTIVE (PTY) LTD              </t>
  </si>
  <si>
    <t xml:space="preserve">VAD                                     </t>
  </si>
  <si>
    <t xml:space="preserve">DUPLEIX LIQUID METERS PTY LTD           </t>
  </si>
  <si>
    <t xml:space="preserve">EUROCELT PLASTIC                        </t>
  </si>
  <si>
    <t>KINGSBURGH</t>
  </si>
  <si>
    <t xml:space="preserve">EAST RAND PLASTIC (PTY)L T D            </t>
  </si>
  <si>
    <t>VULCANIA</t>
  </si>
  <si>
    <t xml:space="preserve">CONSOLIDATED WIRE INDUSTRIES            </t>
  </si>
  <si>
    <t xml:space="preserve">FOODCORP PTY LTD                        </t>
  </si>
  <si>
    <t xml:space="preserve">ULTRAFOOD INNOVATION                    </t>
  </si>
  <si>
    <t xml:space="preserve">LEONARD DIGLER (PTY)LTD                 </t>
  </si>
  <si>
    <t xml:space="preserve">THYSSENKRUPP SOUTH AFRICA               </t>
  </si>
  <si>
    <t>SUNNINGHILL</t>
  </si>
  <si>
    <t xml:space="preserve">NON FERROUS METAL WORKS SA PTY          </t>
  </si>
  <si>
    <t xml:space="preserve">PYROTECHNICAL MARKETING                 </t>
  </si>
  <si>
    <t xml:space="preserve">OEM SUPPORT SOLUTIONS (PTY)LTD          </t>
  </si>
  <si>
    <t>LARRENDALE</t>
  </si>
  <si>
    <t xml:space="preserve">PHARMACHEM LABORATORIES (PTY0LTD        </t>
  </si>
  <si>
    <t xml:space="preserve">PRIMOLITOS (PTY) T/A SAUCALITOS         </t>
  </si>
  <si>
    <t xml:space="preserve">PLASTIC OMNIUM AUTO INERGY SA           </t>
  </si>
  <si>
    <t xml:space="preserve">COROBRICK (PTY) LTD                     </t>
  </si>
  <si>
    <t xml:space="preserve">ELECTRO SYSTEMS                         </t>
  </si>
  <si>
    <t>NELSPRUIT</t>
  </si>
  <si>
    <t xml:space="preserve">CPS SEEDLINGS GREYTOWN PTY LTD          </t>
  </si>
  <si>
    <t>GREYTOWN</t>
  </si>
  <si>
    <t xml:space="preserve">VALMET SOUTH AFRICA (PTY)LTD            </t>
  </si>
  <si>
    <t xml:space="preserve">ADCOCK INGRAM HEALTHCARE (PTY)LTD       </t>
  </si>
  <si>
    <t>ARAUNA</t>
  </si>
  <si>
    <t xml:space="preserve">AUTOMA MULTI STYRENE                    </t>
  </si>
  <si>
    <t xml:space="preserve">RAINBOW SKYREACH                        </t>
  </si>
  <si>
    <t xml:space="preserve">JOHN MAFFAT PROLOCK C.C.                </t>
  </si>
  <si>
    <t>MAYDON WARF</t>
  </si>
  <si>
    <t xml:space="preserve">CFW INDUSTRIES (PTY) LTD                </t>
  </si>
  <si>
    <t xml:space="preserve">KDP HYDRAULIC SERVICES &amp; ENG CC         </t>
  </si>
  <si>
    <t xml:space="preserve">CB PNEUMATICS PTY LTD                   </t>
  </si>
  <si>
    <t xml:space="preserve">PRAMUKH EXPORT PTY LTD                  </t>
  </si>
  <si>
    <t>JOHANNESBURG</t>
  </si>
  <si>
    <t xml:space="preserve">ACTIVE DRAWING  &amp; ENGINEERING           </t>
  </si>
  <si>
    <t xml:space="preserve">ILLOVO SUGAR LTD-ESTON MILL             </t>
  </si>
  <si>
    <t xml:space="preserve">YANFENG SA AUTOMOTIVE                   </t>
  </si>
  <si>
    <t xml:space="preserve">GRAMEC PTY LTD                          </t>
  </si>
  <si>
    <t>BRAMLEY</t>
  </si>
  <si>
    <t xml:space="preserve">COCA-COLA BEVERAGES S.A                 </t>
  </si>
  <si>
    <t>MARIEVALE</t>
  </si>
  <si>
    <t xml:space="preserve">WEIR MINERALS AFRICA                    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</si>
</sst>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20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2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0</xdr:row>
      <xdr:rowOff>28575</xdr:rowOff>
    </xdr:from>
    <xdr:to>
      <xdr:col>10</xdr:col>
      <xdr:colOff>619125</xdr:colOff>
      <xdr:row>0</xdr:row>
      <xdr:rowOff>504825</xdr:rowOff>
    </xdr:to>
    <xdr:pic>
      <xdr:nvPicPr>
        <xdr:cNvPr id="2" name="Picture 1" descr="Skynet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1450" y="28575"/>
          <a:ext cx="17907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281"/>
  <sheetViews>
    <sheetView tabSelected="1" topLeftCell="A3278" workbookViewId="0">
      <selection activeCell="E3294" sqref="E3294"/>
    </sheetView>
  </sheetViews>
  <sheetFormatPr defaultRowHeight="12.75"/>
  <cols>
    <col min="1" max="1" width="10.28515625" customWidth="1"/>
    <col min="2" max="2" width="6.140625" customWidth="1"/>
    <col min="3" max="3" width="14.140625" customWidth="1"/>
    <col min="4" max="4" width="5.28515625" customWidth="1"/>
    <col min="5" max="5" width="8.140625" customWidth="1"/>
    <col min="6" max="6" width="10.42578125" customWidth="1"/>
    <col min="7" max="8" width="4.28515625" customWidth="1"/>
    <col min="9" max="10" width="7.140625" customWidth="1"/>
    <col min="11" max="11" width="17.140625" customWidth="1"/>
    <col min="12" max="12" width="5.85546875" customWidth="1"/>
    <col min="13" max="13" width="7" customWidth="1"/>
  </cols>
  <sheetData>
    <row r="1" spans="1:13" ht="41.25" customHeight="1">
      <c r="A1" s="1" t="s">
        <v>0</v>
      </c>
      <c r="B1" s="1" t="s">
        <v>1</v>
      </c>
      <c r="C1" s="24" t="s">
        <v>2</v>
      </c>
      <c r="D1" s="24"/>
      <c r="E1" s="24"/>
      <c r="F1" s="2"/>
      <c r="G1" s="2"/>
      <c r="H1" s="2"/>
      <c r="I1" s="2"/>
      <c r="J1" s="2"/>
      <c r="K1" s="2"/>
      <c r="L1" s="2"/>
      <c r="M1" s="2"/>
    </row>
    <row r="2" spans="1:13">
      <c r="A2" s="1" t="s">
        <v>3</v>
      </c>
      <c r="B2" s="3" t="s">
        <v>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>
      <c r="A3" s="1" t="s">
        <v>5</v>
      </c>
      <c r="B3" s="4">
        <v>0.39652777777777781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>
      <c r="A5" s="5" t="s">
        <v>6</v>
      </c>
      <c r="B5" s="5" t="s">
        <v>7</v>
      </c>
      <c r="C5" s="5" t="s">
        <v>8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5" t="s">
        <v>14</v>
      </c>
      <c r="J5" s="5" t="s">
        <v>15</v>
      </c>
      <c r="K5" s="5" t="s">
        <v>16</v>
      </c>
      <c r="L5" s="5" t="s">
        <v>17</v>
      </c>
      <c r="M5" s="5" t="s">
        <v>18</v>
      </c>
    </row>
    <row r="6" spans="1:13">
      <c r="A6" s="6">
        <v>43832</v>
      </c>
      <c r="B6" s="7">
        <v>0.59513888888888888</v>
      </c>
      <c r="C6" s="2" t="str">
        <f>"FES1162729624"</f>
        <v>FES1162729624</v>
      </c>
      <c r="D6" s="2" t="s">
        <v>19</v>
      </c>
      <c r="E6" s="2" t="s">
        <v>20</v>
      </c>
      <c r="F6" s="2" t="str">
        <f>"2170722493 "</f>
        <v xml:space="preserve">2170722493 </v>
      </c>
      <c r="G6" s="2" t="str">
        <f t="shared" ref="G6:G25" si="0">"ON1"</f>
        <v>ON1</v>
      </c>
      <c r="H6" s="2" t="s">
        <v>21</v>
      </c>
      <c r="I6" s="2" t="s">
        <v>22</v>
      </c>
      <c r="J6" s="2" t="str">
        <f>""</f>
        <v/>
      </c>
      <c r="K6" s="2" t="str">
        <f>"PFES1162729624_0001"</f>
        <v>PFES1162729624_0001</v>
      </c>
      <c r="L6" s="2">
        <v>1</v>
      </c>
      <c r="M6" s="2">
        <v>1</v>
      </c>
    </row>
    <row r="7" spans="1:13">
      <c r="A7" s="6">
        <v>43832</v>
      </c>
      <c r="B7" s="7">
        <v>0.59513888888888888</v>
      </c>
      <c r="C7" s="2" t="str">
        <f>"FES1162729613"</f>
        <v>FES1162729613</v>
      </c>
      <c r="D7" s="2" t="s">
        <v>19</v>
      </c>
      <c r="E7" s="2" t="s">
        <v>23</v>
      </c>
      <c r="F7" s="2" t="str">
        <f>"2170721633 "</f>
        <v xml:space="preserve">2170721633 </v>
      </c>
      <c r="G7" s="2" t="str">
        <f t="shared" si="0"/>
        <v>ON1</v>
      </c>
      <c r="H7" s="2" t="s">
        <v>21</v>
      </c>
      <c r="I7" s="2" t="s">
        <v>24</v>
      </c>
      <c r="J7" s="2" t="str">
        <f>""</f>
        <v/>
      </c>
      <c r="K7" s="2" t="str">
        <f>"PFES1162729613_0001"</f>
        <v>PFES1162729613_0001</v>
      </c>
      <c r="L7" s="2">
        <v>1</v>
      </c>
      <c r="M7" s="2">
        <v>1</v>
      </c>
    </row>
    <row r="8" spans="1:13">
      <c r="A8" s="6">
        <v>43832</v>
      </c>
      <c r="B8" s="7">
        <v>0.59444444444444444</v>
      </c>
      <c r="C8" s="2" t="str">
        <f>"FES1162729606"</f>
        <v>FES1162729606</v>
      </c>
      <c r="D8" s="2" t="s">
        <v>19</v>
      </c>
      <c r="E8" s="2" t="s">
        <v>25</v>
      </c>
      <c r="F8" s="2" t="str">
        <f>"2170720708 "</f>
        <v xml:space="preserve">2170720708 </v>
      </c>
      <c r="G8" s="2" t="str">
        <f t="shared" si="0"/>
        <v>ON1</v>
      </c>
      <c r="H8" s="2" t="s">
        <v>21</v>
      </c>
      <c r="I8" s="2" t="s">
        <v>26</v>
      </c>
      <c r="J8" s="2" t="str">
        <f>""</f>
        <v/>
      </c>
      <c r="K8" s="2" t="str">
        <f>"PFES1162729606_0001"</f>
        <v>PFES1162729606_0001</v>
      </c>
      <c r="L8" s="2">
        <v>1</v>
      </c>
      <c r="M8" s="2">
        <v>1</v>
      </c>
    </row>
    <row r="9" spans="1:13">
      <c r="A9" s="6">
        <v>43832</v>
      </c>
      <c r="B9" s="7">
        <v>0.59444444444444444</v>
      </c>
      <c r="C9" s="2" t="str">
        <f>"FES1162729621"</f>
        <v>FES1162729621</v>
      </c>
      <c r="D9" s="2" t="s">
        <v>19</v>
      </c>
      <c r="E9" s="2" t="s">
        <v>27</v>
      </c>
      <c r="F9" s="2" t="str">
        <f>"2170722061 "</f>
        <v xml:space="preserve">2170722061 </v>
      </c>
      <c r="G9" s="2" t="str">
        <f t="shared" si="0"/>
        <v>ON1</v>
      </c>
      <c r="H9" s="2" t="s">
        <v>21</v>
      </c>
      <c r="I9" s="2" t="s">
        <v>28</v>
      </c>
      <c r="J9" s="2" t="str">
        <f>""</f>
        <v/>
      </c>
      <c r="K9" s="2" t="str">
        <f>"PFES1162729621_0001"</f>
        <v>PFES1162729621_0001</v>
      </c>
      <c r="L9" s="2">
        <v>1</v>
      </c>
      <c r="M9" s="2">
        <v>1</v>
      </c>
    </row>
    <row r="10" spans="1:13">
      <c r="A10" s="6">
        <v>43832</v>
      </c>
      <c r="B10" s="7">
        <v>0.59444444444444444</v>
      </c>
      <c r="C10" s="2" t="str">
        <f>"FES1162729620"</f>
        <v>FES1162729620</v>
      </c>
      <c r="D10" s="2" t="s">
        <v>19</v>
      </c>
      <c r="E10" s="2" t="s">
        <v>27</v>
      </c>
      <c r="F10" s="2" t="str">
        <f>"2170722037 "</f>
        <v xml:space="preserve">2170722037 </v>
      </c>
      <c r="G10" s="2" t="str">
        <f t="shared" si="0"/>
        <v>ON1</v>
      </c>
      <c r="H10" s="2" t="s">
        <v>21</v>
      </c>
      <c r="I10" s="2" t="s">
        <v>28</v>
      </c>
      <c r="J10" s="2" t="str">
        <f>""</f>
        <v/>
      </c>
      <c r="K10" s="2" t="str">
        <f>"PFES1162729620_0001"</f>
        <v>PFES1162729620_0001</v>
      </c>
      <c r="L10" s="2">
        <v>1</v>
      </c>
      <c r="M10" s="2">
        <v>1</v>
      </c>
    </row>
    <row r="11" spans="1:13">
      <c r="A11" s="6">
        <v>43832</v>
      </c>
      <c r="B11" s="7">
        <v>0.59375</v>
      </c>
      <c r="C11" s="2" t="str">
        <f>"FES1162729625"</f>
        <v>FES1162729625</v>
      </c>
      <c r="D11" s="2" t="s">
        <v>19</v>
      </c>
      <c r="E11" s="2" t="s">
        <v>29</v>
      </c>
      <c r="F11" s="2" t="str">
        <f>"2170724499 "</f>
        <v xml:space="preserve">2170724499 </v>
      </c>
      <c r="G11" s="2" t="str">
        <f t="shared" si="0"/>
        <v>ON1</v>
      </c>
      <c r="H11" s="2" t="s">
        <v>21</v>
      </c>
      <c r="I11" s="2" t="s">
        <v>22</v>
      </c>
      <c r="J11" s="2" t="str">
        <f>""</f>
        <v/>
      </c>
      <c r="K11" s="2" t="str">
        <f>"PFES1162729625_0001"</f>
        <v>PFES1162729625_0001</v>
      </c>
      <c r="L11" s="2">
        <v>1</v>
      </c>
      <c r="M11" s="2">
        <v>1</v>
      </c>
    </row>
    <row r="12" spans="1:13">
      <c r="A12" s="6">
        <v>43832</v>
      </c>
      <c r="B12" s="7">
        <v>0.59375</v>
      </c>
      <c r="C12" s="2" t="str">
        <f>"FES1162729603"</f>
        <v>FES1162729603</v>
      </c>
      <c r="D12" s="2" t="s">
        <v>19</v>
      </c>
      <c r="E12" s="2" t="s">
        <v>30</v>
      </c>
      <c r="F12" s="2" t="str">
        <f>"2170720449 "</f>
        <v xml:space="preserve">2170720449 </v>
      </c>
      <c r="G12" s="2" t="str">
        <f t="shared" si="0"/>
        <v>ON1</v>
      </c>
      <c r="H12" s="2" t="s">
        <v>21</v>
      </c>
      <c r="I12" s="2" t="s">
        <v>31</v>
      </c>
      <c r="J12" s="2" t="str">
        <f>""</f>
        <v/>
      </c>
      <c r="K12" s="2" t="str">
        <f>"PFES1162729603_0001"</f>
        <v>PFES1162729603_0001</v>
      </c>
      <c r="L12" s="2">
        <v>1</v>
      </c>
      <c r="M12" s="2">
        <v>5</v>
      </c>
    </row>
    <row r="13" spans="1:13">
      <c r="A13" s="6">
        <v>43832</v>
      </c>
      <c r="B13" s="7">
        <v>0.59305555555555556</v>
      </c>
      <c r="C13" s="2" t="str">
        <f>"FES1162729627"</f>
        <v>FES1162729627</v>
      </c>
      <c r="D13" s="2" t="s">
        <v>19</v>
      </c>
      <c r="E13" s="2" t="s">
        <v>32</v>
      </c>
      <c r="F13" s="2" t="str">
        <f>"2170722516 "</f>
        <v xml:space="preserve">2170722516 </v>
      </c>
      <c r="G13" s="2" t="str">
        <f t="shared" si="0"/>
        <v>ON1</v>
      </c>
      <c r="H13" s="2" t="s">
        <v>21</v>
      </c>
      <c r="I13" s="2" t="s">
        <v>22</v>
      </c>
      <c r="J13" s="2" t="str">
        <f>""</f>
        <v/>
      </c>
      <c r="K13" s="2" t="str">
        <f>"PFES1162729627_0001"</f>
        <v>PFES1162729627_0001</v>
      </c>
      <c r="L13" s="2">
        <v>1</v>
      </c>
      <c r="M13" s="2">
        <v>1</v>
      </c>
    </row>
    <row r="14" spans="1:13">
      <c r="A14" s="6">
        <v>43832</v>
      </c>
      <c r="B14" s="7">
        <v>0.56736111111111109</v>
      </c>
      <c r="C14" s="2" t="str">
        <f>"FES1162729609"</f>
        <v>FES1162729609</v>
      </c>
      <c r="D14" s="2" t="s">
        <v>19</v>
      </c>
      <c r="E14" s="2" t="s">
        <v>33</v>
      </c>
      <c r="F14" s="2" t="str">
        <f>"2170721314 "</f>
        <v xml:space="preserve">2170721314 </v>
      </c>
      <c r="G14" s="2" t="str">
        <f t="shared" si="0"/>
        <v>ON1</v>
      </c>
      <c r="H14" s="2" t="s">
        <v>21</v>
      </c>
      <c r="I14" s="2" t="s">
        <v>34</v>
      </c>
      <c r="J14" s="2" t="str">
        <f>""</f>
        <v/>
      </c>
      <c r="K14" s="2" t="str">
        <f>"PFES1162729609_0001"</f>
        <v>PFES1162729609_0001</v>
      </c>
      <c r="L14" s="2">
        <v>1</v>
      </c>
      <c r="M14" s="2">
        <v>1</v>
      </c>
    </row>
    <row r="15" spans="1:13">
      <c r="A15" s="6">
        <v>43832</v>
      </c>
      <c r="B15" s="7">
        <v>0.55833333333333335</v>
      </c>
      <c r="C15" s="2" t="str">
        <f>"FES1162729656"</f>
        <v>FES1162729656</v>
      </c>
      <c r="D15" s="2" t="s">
        <v>19</v>
      </c>
      <c r="E15" s="2" t="s">
        <v>35</v>
      </c>
      <c r="F15" s="2" t="str">
        <f>"2170725561 "</f>
        <v xml:space="preserve">2170725561 </v>
      </c>
      <c r="G15" s="2" t="str">
        <f t="shared" si="0"/>
        <v>ON1</v>
      </c>
      <c r="H15" s="2" t="s">
        <v>21</v>
      </c>
      <c r="I15" s="2" t="s">
        <v>36</v>
      </c>
      <c r="J15" s="2" t="str">
        <f>""</f>
        <v/>
      </c>
      <c r="K15" s="2" t="str">
        <f>"PFES1162729656_0001"</f>
        <v>PFES1162729656_0001</v>
      </c>
      <c r="L15" s="2">
        <v>1</v>
      </c>
      <c r="M15" s="2">
        <v>1</v>
      </c>
    </row>
    <row r="16" spans="1:13">
      <c r="A16" s="6">
        <v>43832</v>
      </c>
      <c r="B16" s="7">
        <v>0.55486111111111114</v>
      </c>
      <c r="C16" s="2" t="str">
        <f>"FES1162729653"</f>
        <v>FES1162729653</v>
      </c>
      <c r="D16" s="2" t="s">
        <v>19</v>
      </c>
      <c r="E16" s="2" t="s">
        <v>37</v>
      </c>
      <c r="F16" s="2" t="str">
        <f>"2170722555 "</f>
        <v xml:space="preserve">2170722555 </v>
      </c>
      <c r="G16" s="2" t="str">
        <f t="shared" si="0"/>
        <v>ON1</v>
      </c>
      <c r="H16" s="2" t="s">
        <v>21</v>
      </c>
      <c r="I16" s="2" t="s">
        <v>38</v>
      </c>
      <c r="J16" s="2" t="str">
        <f>""</f>
        <v/>
      </c>
      <c r="K16" s="2" t="str">
        <f>"PFES1162729653_0001"</f>
        <v>PFES1162729653_0001</v>
      </c>
      <c r="L16" s="2">
        <v>1</v>
      </c>
      <c r="M16" s="2">
        <v>2</v>
      </c>
    </row>
    <row r="17" spans="1:13">
      <c r="A17" s="6">
        <v>43832</v>
      </c>
      <c r="B17" s="7">
        <v>0.55069444444444449</v>
      </c>
      <c r="C17" s="2" t="str">
        <f>"FES1162729639"</f>
        <v>FES1162729639</v>
      </c>
      <c r="D17" s="2" t="s">
        <v>19</v>
      </c>
      <c r="E17" s="2" t="s">
        <v>39</v>
      </c>
      <c r="F17" s="2" t="str">
        <f>"2170722541 "</f>
        <v xml:space="preserve">2170722541 </v>
      </c>
      <c r="G17" s="2" t="str">
        <f t="shared" si="0"/>
        <v>ON1</v>
      </c>
      <c r="H17" s="2" t="s">
        <v>21</v>
      </c>
      <c r="I17" s="2" t="s">
        <v>40</v>
      </c>
      <c r="J17" s="2" t="str">
        <f>""</f>
        <v/>
      </c>
      <c r="K17" s="2" t="str">
        <f>"PFES1162729639_0001"</f>
        <v>PFES1162729639_0001</v>
      </c>
      <c r="L17" s="2">
        <v>1</v>
      </c>
      <c r="M17" s="2">
        <v>1</v>
      </c>
    </row>
    <row r="18" spans="1:13">
      <c r="A18" s="6">
        <v>43832</v>
      </c>
      <c r="B18" s="7">
        <v>0.55069444444444449</v>
      </c>
      <c r="C18" s="2" t="str">
        <f>"FES1162729560"</f>
        <v>FES1162729560</v>
      </c>
      <c r="D18" s="2" t="s">
        <v>19</v>
      </c>
      <c r="E18" s="2" t="s">
        <v>41</v>
      </c>
      <c r="F18" s="2" t="str">
        <f>"2170722513 "</f>
        <v xml:space="preserve">2170722513 </v>
      </c>
      <c r="G18" s="2" t="str">
        <f t="shared" si="0"/>
        <v>ON1</v>
      </c>
      <c r="H18" s="2" t="s">
        <v>21</v>
      </c>
      <c r="I18" s="2" t="s">
        <v>31</v>
      </c>
      <c r="J18" s="2" t="str">
        <f>""</f>
        <v/>
      </c>
      <c r="K18" s="2" t="str">
        <f>"PFES1162729560_0001"</f>
        <v>PFES1162729560_0001</v>
      </c>
      <c r="L18" s="2">
        <v>1</v>
      </c>
      <c r="M18" s="2">
        <v>1</v>
      </c>
    </row>
    <row r="19" spans="1:13">
      <c r="A19" s="6">
        <v>43832</v>
      </c>
      <c r="B19" s="7">
        <v>0.54999999999999993</v>
      </c>
      <c r="C19" s="2" t="str">
        <f>"FES1162729638"</f>
        <v>FES1162729638</v>
      </c>
      <c r="D19" s="2" t="s">
        <v>19</v>
      </c>
      <c r="E19" s="2" t="s">
        <v>42</v>
      </c>
      <c r="F19" s="2" t="str">
        <f>"217072538 "</f>
        <v xml:space="preserve">217072538 </v>
      </c>
      <c r="G19" s="2" t="str">
        <f t="shared" si="0"/>
        <v>ON1</v>
      </c>
      <c r="H19" s="2" t="s">
        <v>21</v>
      </c>
      <c r="I19" s="2" t="s">
        <v>43</v>
      </c>
      <c r="J19" s="2" t="str">
        <f>""</f>
        <v/>
      </c>
      <c r="K19" s="2" t="str">
        <f>"PFES1162729638_0001"</f>
        <v>PFES1162729638_0001</v>
      </c>
      <c r="L19" s="2">
        <v>1</v>
      </c>
      <c r="M19" s="2">
        <v>1</v>
      </c>
    </row>
    <row r="20" spans="1:13">
      <c r="A20" s="6">
        <v>43832</v>
      </c>
      <c r="B20" s="7">
        <v>0.54999999999999993</v>
      </c>
      <c r="C20" s="2" t="str">
        <f>"FES1162729549"</f>
        <v>FES1162729549</v>
      </c>
      <c r="D20" s="2" t="s">
        <v>19</v>
      </c>
      <c r="E20" s="2" t="s">
        <v>41</v>
      </c>
      <c r="F20" s="2" t="str">
        <f>"2170722491 "</f>
        <v xml:space="preserve">2170722491 </v>
      </c>
      <c r="G20" s="2" t="str">
        <f t="shared" si="0"/>
        <v>ON1</v>
      </c>
      <c r="H20" s="2" t="s">
        <v>21</v>
      </c>
      <c r="I20" s="2" t="s">
        <v>31</v>
      </c>
      <c r="J20" s="2" t="str">
        <f>""</f>
        <v/>
      </c>
      <c r="K20" s="2" t="str">
        <f>"PFES1162729549_0001"</f>
        <v>PFES1162729549_0001</v>
      </c>
      <c r="L20" s="2">
        <v>1</v>
      </c>
      <c r="M20" s="2">
        <v>1</v>
      </c>
    </row>
    <row r="21" spans="1:13">
      <c r="A21" s="6">
        <v>43832</v>
      </c>
      <c r="B21" s="7">
        <v>0.54999999999999993</v>
      </c>
      <c r="C21" s="2" t="str">
        <f>"FES1162729562"</f>
        <v>FES1162729562</v>
      </c>
      <c r="D21" s="2" t="s">
        <v>19</v>
      </c>
      <c r="E21" s="2" t="s">
        <v>41</v>
      </c>
      <c r="F21" s="2" t="str">
        <f>"2170722517 "</f>
        <v xml:space="preserve">2170722517 </v>
      </c>
      <c r="G21" s="2" t="str">
        <f t="shared" si="0"/>
        <v>ON1</v>
      </c>
      <c r="H21" s="2" t="s">
        <v>21</v>
      </c>
      <c r="I21" s="2" t="s">
        <v>31</v>
      </c>
      <c r="J21" s="2" t="str">
        <f>""</f>
        <v/>
      </c>
      <c r="K21" s="2" t="str">
        <f>"PFES1162729562_0001"</f>
        <v>PFES1162729562_0001</v>
      </c>
      <c r="L21" s="2">
        <v>1</v>
      </c>
      <c r="M21" s="2">
        <v>1</v>
      </c>
    </row>
    <row r="22" spans="1:13">
      <c r="A22" s="6">
        <v>43832</v>
      </c>
      <c r="B22" s="7">
        <v>0.5493055555555556</v>
      </c>
      <c r="C22" s="2" t="str">
        <f>"FES1162729572"</f>
        <v>FES1162729572</v>
      </c>
      <c r="D22" s="2" t="s">
        <v>19</v>
      </c>
      <c r="E22" s="2" t="s">
        <v>30</v>
      </c>
      <c r="F22" s="2" t="str">
        <f>"2170713718 "</f>
        <v xml:space="preserve">2170713718 </v>
      </c>
      <c r="G22" s="2" t="str">
        <f t="shared" si="0"/>
        <v>ON1</v>
      </c>
      <c r="H22" s="2" t="s">
        <v>21</v>
      </c>
      <c r="I22" s="2" t="s">
        <v>31</v>
      </c>
      <c r="J22" s="2" t="str">
        <f>""</f>
        <v/>
      </c>
      <c r="K22" s="2" t="str">
        <f>"PFES1162729572_0001"</f>
        <v>PFES1162729572_0001</v>
      </c>
      <c r="L22" s="2">
        <v>1</v>
      </c>
      <c r="M22" s="2">
        <v>1</v>
      </c>
    </row>
    <row r="23" spans="1:13">
      <c r="A23" s="6">
        <v>43832</v>
      </c>
      <c r="B23" s="7">
        <v>0.54791666666666672</v>
      </c>
      <c r="C23" s="2" t="str">
        <f>"FES1162729582"</f>
        <v>FES1162729582</v>
      </c>
      <c r="D23" s="2" t="s">
        <v>19</v>
      </c>
      <c r="E23" s="2" t="s">
        <v>30</v>
      </c>
      <c r="F23" s="2" t="str">
        <f>"2170718265 "</f>
        <v xml:space="preserve">2170718265 </v>
      </c>
      <c r="G23" s="2" t="str">
        <f t="shared" si="0"/>
        <v>ON1</v>
      </c>
      <c r="H23" s="2" t="s">
        <v>21</v>
      </c>
      <c r="I23" s="2" t="s">
        <v>31</v>
      </c>
      <c r="J23" s="2" t="str">
        <f>""</f>
        <v/>
      </c>
      <c r="K23" s="2" t="str">
        <f>"PFES1162729582_0001"</f>
        <v>PFES1162729582_0001</v>
      </c>
      <c r="L23" s="2">
        <v>1</v>
      </c>
      <c r="M23" s="2">
        <v>5</v>
      </c>
    </row>
    <row r="24" spans="1:13">
      <c r="A24" s="6">
        <v>43832</v>
      </c>
      <c r="B24" s="7">
        <v>0.54722222222222217</v>
      </c>
      <c r="C24" s="2" t="str">
        <f>"FES1162729573"</f>
        <v>FES1162729573</v>
      </c>
      <c r="D24" s="2" t="s">
        <v>19</v>
      </c>
      <c r="E24" s="2" t="s">
        <v>30</v>
      </c>
      <c r="F24" s="2" t="str">
        <f>"217073722 "</f>
        <v xml:space="preserve">217073722 </v>
      </c>
      <c r="G24" s="2" t="str">
        <f t="shared" si="0"/>
        <v>ON1</v>
      </c>
      <c r="H24" s="2" t="s">
        <v>21</v>
      </c>
      <c r="I24" s="2" t="s">
        <v>31</v>
      </c>
      <c r="J24" s="2" t="str">
        <f>""</f>
        <v/>
      </c>
      <c r="K24" s="2" t="str">
        <f>"PFES1162729573_0001"</f>
        <v>PFES1162729573_0001</v>
      </c>
      <c r="L24" s="2">
        <v>1</v>
      </c>
      <c r="M24" s="2">
        <v>3</v>
      </c>
    </row>
    <row r="25" spans="1:13">
      <c r="A25" s="6">
        <v>43832</v>
      </c>
      <c r="B25" s="7">
        <v>0.54652777777777783</v>
      </c>
      <c r="C25" s="2" t="str">
        <f>"FES1162729635"</f>
        <v>FES1162729635</v>
      </c>
      <c r="D25" s="2" t="s">
        <v>19</v>
      </c>
      <c r="E25" s="2" t="s">
        <v>44</v>
      </c>
      <c r="F25" s="2" t="str">
        <f>"2170722354 "</f>
        <v xml:space="preserve">2170722354 </v>
      </c>
      <c r="G25" s="2" t="str">
        <f t="shared" si="0"/>
        <v>ON1</v>
      </c>
      <c r="H25" s="2" t="s">
        <v>21</v>
      </c>
      <c r="I25" s="2" t="s">
        <v>45</v>
      </c>
      <c r="J25" s="2" t="str">
        <f>""</f>
        <v/>
      </c>
      <c r="K25" s="2" t="str">
        <f>"PFES1162729635_0001"</f>
        <v>PFES1162729635_0001</v>
      </c>
      <c r="L25" s="2">
        <v>1</v>
      </c>
      <c r="M25" s="2">
        <v>2</v>
      </c>
    </row>
    <row r="26" spans="1:13">
      <c r="A26" s="6">
        <v>43832</v>
      </c>
      <c r="B26" s="7">
        <v>0.54583333333333328</v>
      </c>
      <c r="C26" s="2" t="str">
        <f>"FES1162729644"</f>
        <v>FES1162729644</v>
      </c>
      <c r="D26" s="2" t="s">
        <v>19</v>
      </c>
      <c r="E26" s="2" t="s">
        <v>46</v>
      </c>
      <c r="F26" s="2" t="str">
        <f>"2170722546 "</f>
        <v xml:space="preserve">2170722546 </v>
      </c>
      <c r="G26" s="2" t="str">
        <f>"DBC"</f>
        <v>DBC</v>
      </c>
      <c r="H26" s="2" t="s">
        <v>21</v>
      </c>
      <c r="I26" s="2" t="s">
        <v>47</v>
      </c>
      <c r="J26" s="2" t="str">
        <f>""</f>
        <v/>
      </c>
      <c r="K26" s="2" t="str">
        <f>"PFES1162729644_0001"</f>
        <v>PFES1162729644_0001</v>
      </c>
      <c r="L26" s="2">
        <v>2</v>
      </c>
      <c r="M26" s="2">
        <v>27</v>
      </c>
    </row>
    <row r="27" spans="1:13">
      <c r="A27" s="6">
        <v>43496</v>
      </c>
      <c r="B27" s="7">
        <v>0.6694444444444444</v>
      </c>
      <c r="C27" s="2" t="str">
        <f>"FES1162729644"</f>
        <v>FES1162729644</v>
      </c>
      <c r="D27" s="2" t="s">
        <v>19</v>
      </c>
      <c r="E27" s="2" t="s">
        <v>48</v>
      </c>
      <c r="F27" s="2" t="str">
        <f>"2170672052 "</f>
        <v xml:space="preserve">2170672052 </v>
      </c>
      <c r="G27" s="2" t="str">
        <f>"ON1"</f>
        <v>ON1</v>
      </c>
      <c r="H27" s="2" t="s">
        <v>21</v>
      </c>
      <c r="I27" s="2" t="s">
        <v>49</v>
      </c>
      <c r="J27" s="2" t="str">
        <f>""</f>
        <v/>
      </c>
      <c r="K27" s="2" t="str">
        <f>"PFES1162729644_0002"</f>
        <v>PFES1162729644_0002</v>
      </c>
      <c r="L27" s="2">
        <v>1</v>
      </c>
      <c r="M27" s="2">
        <v>3</v>
      </c>
    </row>
    <row r="28" spans="1:13">
      <c r="A28" s="6">
        <v>43832</v>
      </c>
      <c r="B28" s="7">
        <v>0.54027777777777775</v>
      </c>
      <c r="C28" s="2" t="str">
        <f>"FES1162729595"</f>
        <v>FES1162729595</v>
      </c>
      <c r="D28" s="2" t="s">
        <v>19</v>
      </c>
      <c r="E28" s="2" t="s">
        <v>50</v>
      </c>
      <c r="F28" s="2" t="str">
        <f>"2170792520 "</f>
        <v xml:space="preserve">2170792520 </v>
      </c>
      <c r="G28" s="2" t="str">
        <f>"ON1"</f>
        <v>ON1</v>
      </c>
      <c r="H28" s="2" t="s">
        <v>21</v>
      </c>
      <c r="I28" s="2" t="s">
        <v>51</v>
      </c>
      <c r="J28" s="2" t="str">
        <f>""</f>
        <v/>
      </c>
      <c r="K28" s="2" t="str">
        <f>"PFES1162729595_0001"</f>
        <v>PFES1162729595_0001</v>
      </c>
      <c r="L28" s="2">
        <v>1</v>
      </c>
      <c r="M28" s="2">
        <v>2</v>
      </c>
    </row>
    <row r="29" spans="1:13">
      <c r="A29" s="6">
        <v>43832</v>
      </c>
      <c r="B29" s="7">
        <v>0.53194444444444444</v>
      </c>
      <c r="C29" s="2" t="str">
        <f>"FES1162729623"</f>
        <v>FES1162729623</v>
      </c>
      <c r="D29" s="2" t="s">
        <v>19</v>
      </c>
      <c r="E29" s="2" t="s">
        <v>52</v>
      </c>
      <c r="F29" s="2" t="str">
        <f>"2170722385 "</f>
        <v xml:space="preserve">2170722385 </v>
      </c>
      <c r="G29" s="2" t="str">
        <f>"DBC"</f>
        <v>DBC</v>
      </c>
      <c r="H29" s="2" t="s">
        <v>21</v>
      </c>
      <c r="I29" s="2" t="s">
        <v>53</v>
      </c>
      <c r="J29" s="2" t="str">
        <f>""</f>
        <v/>
      </c>
      <c r="K29" s="2" t="str">
        <f>"PFES1162729623_0001"</f>
        <v>PFES1162729623_0001</v>
      </c>
      <c r="L29" s="2">
        <v>2</v>
      </c>
      <c r="M29" s="2">
        <v>29</v>
      </c>
    </row>
    <row r="30" spans="1:13">
      <c r="A30" s="6">
        <v>43496</v>
      </c>
      <c r="B30" s="7">
        <v>0.66736111111111107</v>
      </c>
      <c r="C30" s="2" t="str">
        <f>"FES1162729623"</f>
        <v>FES1162729623</v>
      </c>
      <c r="D30" s="2" t="s">
        <v>19</v>
      </c>
      <c r="E30" s="2" t="s">
        <v>54</v>
      </c>
      <c r="F30" s="2" t="str">
        <f>"2170671927 "</f>
        <v xml:space="preserve">2170671927 </v>
      </c>
      <c r="G30" s="2" t="str">
        <f t="shared" ref="G30:G93" si="1">"ON1"</f>
        <v>ON1</v>
      </c>
      <c r="H30" s="2" t="s">
        <v>21</v>
      </c>
      <c r="I30" s="2" t="s">
        <v>31</v>
      </c>
      <c r="J30" s="2" t="str">
        <f>""</f>
        <v/>
      </c>
      <c r="K30" s="2" t="str">
        <f>"PFES1162729623_0002"</f>
        <v>PFES1162729623_0002</v>
      </c>
      <c r="L30" s="2">
        <v>1</v>
      </c>
      <c r="M30" s="2">
        <v>1</v>
      </c>
    </row>
    <row r="31" spans="1:13">
      <c r="A31" s="6">
        <v>43832</v>
      </c>
      <c r="B31" s="7">
        <v>0.51736111111111105</v>
      </c>
      <c r="C31" s="2" t="str">
        <f>"FES1162729614"</f>
        <v>FES1162729614</v>
      </c>
      <c r="D31" s="2" t="s">
        <v>19</v>
      </c>
      <c r="E31" s="2" t="s">
        <v>33</v>
      </c>
      <c r="F31" s="2" t="str">
        <f>"2170721676 "</f>
        <v xml:space="preserve">2170721676 </v>
      </c>
      <c r="G31" s="2" t="str">
        <f t="shared" si="1"/>
        <v>ON1</v>
      </c>
      <c r="H31" s="2" t="s">
        <v>21</v>
      </c>
      <c r="I31" s="2" t="s">
        <v>34</v>
      </c>
      <c r="J31" s="2" t="str">
        <f>""</f>
        <v/>
      </c>
      <c r="K31" s="2" t="str">
        <f>"PFES1162729614_0001"</f>
        <v>PFES1162729614_0001</v>
      </c>
      <c r="L31" s="2">
        <v>1</v>
      </c>
      <c r="M31" s="2">
        <v>1</v>
      </c>
    </row>
    <row r="32" spans="1:13">
      <c r="A32" s="6">
        <v>43832</v>
      </c>
      <c r="B32" s="7">
        <v>0.51736111111111105</v>
      </c>
      <c r="C32" s="2" t="str">
        <f>"FES1162729571"</f>
        <v>FES1162729571</v>
      </c>
      <c r="D32" s="2" t="s">
        <v>19</v>
      </c>
      <c r="E32" s="2" t="s">
        <v>55</v>
      </c>
      <c r="F32" s="2" t="str">
        <f>"2170722532 "</f>
        <v xml:space="preserve">2170722532 </v>
      </c>
      <c r="G32" s="2" t="str">
        <f t="shared" si="1"/>
        <v>ON1</v>
      </c>
      <c r="H32" s="2" t="s">
        <v>21</v>
      </c>
      <c r="I32" s="2" t="s">
        <v>56</v>
      </c>
      <c r="J32" s="2" t="str">
        <f>""</f>
        <v/>
      </c>
      <c r="K32" s="2" t="str">
        <f>"PFES1162729571_0001"</f>
        <v>PFES1162729571_0001</v>
      </c>
      <c r="L32" s="2">
        <v>1</v>
      </c>
      <c r="M32" s="2">
        <v>1</v>
      </c>
    </row>
    <row r="33" spans="1:13">
      <c r="A33" s="6">
        <v>43832</v>
      </c>
      <c r="B33" s="7">
        <v>0.51736111111111105</v>
      </c>
      <c r="C33" s="2" t="str">
        <f>"FES1162729559"</f>
        <v>FES1162729559</v>
      </c>
      <c r="D33" s="2" t="s">
        <v>19</v>
      </c>
      <c r="E33" s="2" t="s">
        <v>57</v>
      </c>
      <c r="F33" s="2" t="str">
        <f>"2170722509 "</f>
        <v xml:space="preserve">2170722509 </v>
      </c>
      <c r="G33" s="2" t="str">
        <f t="shared" si="1"/>
        <v>ON1</v>
      </c>
      <c r="H33" s="2" t="s">
        <v>21</v>
      </c>
      <c r="I33" s="2" t="s">
        <v>58</v>
      </c>
      <c r="J33" s="2" t="str">
        <f>""</f>
        <v/>
      </c>
      <c r="K33" s="2" t="str">
        <f>"PFES1162729559_0001"</f>
        <v>PFES1162729559_0001</v>
      </c>
      <c r="L33" s="2">
        <v>1</v>
      </c>
      <c r="M33" s="2">
        <v>2</v>
      </c>
    </row>
    <row r="34" spans="1:13">
      <c r="A34" s="6">
        <v>43832</v>
      </c>
      <c r="B34" s="7">
        <v>0.51666666666666672</v>
      </c>
      <c r="C34" s="2" t="str">
        <f>"FES1162729611"</f>
        <v>FES1162729611</v>
      </c>
      <c r="D34" s="2" t="s">
        <v>19</v>
      </c>
      <c r="E34" s="2" t="s">
        <v>33</v>
      </c>
      <c r="F34" s="2" t="str">
        <f>"2170721409 "</f>
        <v xml:space="preserve">2170721409 </v>
      </c>
      <c r="G34" s="2" t="str">
        <f t="shared" si="1"/>
        <v>ON1</v>
      </c>
      <c r="H34" s="2" t="s">
        <v>21</v>
      </c>
      <c r="I34" s="2" t="s">
        <v>34</v>
      </c>
      <c r="J34" s="2" t="str">
        <f>""</f>
        <v/>
      </c>
      <c r="K34" s="2" t="str">
        <f>"PFES1162729611_0001"</f>
        <v>PFES1162729611_0001</v>
      </c>
      <c r="L34" s="2">
        <v>1</v>
      </c>
      <c r="M34" s="2">
        <v>3</v>
      </c>
    </row>
    <row r="35" spans="1:13">
      <c r="A35" s="6">
        <v>43832</v>
      </c>
      <c r="B35" s="7">
        <v>0.51388888888888895</v>
      </c>
      <c r="C35" s="2" t="str">
        <f>"FES1162729600"</f>
        <v>FES1162729600</v>
      </c>
      <c r="D35" s="2" t="s">
        <v>19</v>
      </c>
      <c r="E35" s="2" t="s">
        <v>59</v>
      </c>
      <c r="F35" s="2" t="str">
        <f>"2170720205 "</f>
        <v xml:space="preserve">2170720205 </v>
      </c>
      <c r="G35" s="2" t="str">
        <f t="shared" si="1"/>
        <v>ON1</v>
      </c>
      <c r="H35" s="2" t="s">
        <v>21</v>
      </c>
      <c r="I35" s="2" t="s">
        <v>60</v>
      </c>
      <c r="J35" s="2" t="str">
        <f>""</f>
        <v/>
      </c>
      <c r="K35" s="2" t="str">
        <f>"PFES1162729600_0001"</f>
        <v>PFES1162729600_0001</v>
      </c>
      <c r="L35" s="2">
        <v>2</v>
      </c>
      <c r="M35" s="2">
        <v>10</v>
      </c>
    </row>
    <row r="36" spans="1:13">
      <c r="A36" s="6">
        <v>43496</v>
      </c>
      <c r="B36" s="7">
        <v>0.66249999999999998</v>
      </c>
      <c r="C36" s="2" t="str">
        <f>"FES1162729600"</f>
        <v>FES1162729600</v>
      </c>
      <c r="D36" s="2" t="s">
        <v>19</v>
      </c>
      <c r="E36" s="2" t="s">
        <v>61</v>
      </c>
      <c r="F36" s="2" t="str">
        <f>"2170671697 "</f>
        <v xml:space="preserve">2170671697 </v>
      </c>
      <c r="G36" s="2" t="str">
        <f t="shared" si="1"/>
        <v>ON1</v>
      </c>
      <c r="H36" s="2" t="s">
        <v>21</v>
      </c>
      <c r="I36" s="2" t="s">
        <v>28</v>
      </c>
      <c r="J36" s="2" t="str">
        <f>""</f>
        <v/>
      </c>
      <c r="K36" s="2" t="str">
        <f>"PFES1162729600_0002"</f>
        <v>PFES1162729600_0002</v>
      </c>
      <c r="L36" s="2">
        <v>1</v>
      </c>
      <c r="M36" s="2">
        <v>1</v>
      </c>
    </row>
    <row r="37" spans="1:13">
      <c r="A37" s="6">
        <v>43832</v>
      </c>
      <c r="B37" s="7">
        <v>0.51388888888888895</v>
      </c>
      <c r="C37" s="2" t="str">
        <f>"FES1162729632"</f>
        <v>FES1162729632</v>
      </c>
      <c r="D37" s="2" t="s">
        <v>19</v>
      </c>
      <c r="E37" s="2" t="s">
        <v>62</v>
      </c>
      <c r="F37" s="2" t="str">
        <f>"2170722496 "</f>
        <v xml:space="preserve">2170722496 </v>
      </c>
      <c r="G37" s="2" t="str">
        <f t="shared" si="1"/>
        <v>ON1</v>
      </c>
      <c r="H37" s="2" t="s">
        <v>21</v>
      </c>
      <c r="I37" s="2" t="s">
        <v>63</v>
      </c>
      <c r="J37" s="2" t="str">
        <f>""</f>
        <v/>
      </c>
      <c r="K37" s="2" t="str">
        <f>"PFES1162729632_0001"</f>
        <v>PFES1162729632_0001</v>
      </c>
      <c r="L37" s="2">
        <v>1</v>
      </c>
      <c r="M37" s="2">
        <v>1</v>
      </c>
    </row>
    <row r="38" spans="1:13">
      <c r="A38" s="6">
        <v>43832</v>
      </c>
      <c r="B38" s="7">
        <v>0.5131944444444444</v>
      </c>
      <c r="C38" s="2" t="str">
        <f>"FES1162729607"</f>
        <v>FES1162729607</v>
      </c>
      <c r="D38" s="2" t="s">
        <v>19</v>
      </c>
      <c r="E38" s="2" t="s">
        <v>64</v>
      </c>
      <c r="F38" s="2" t="str">
        <f>"2170721050 "</f>
        <v xml:space="preserve">2170721050 </v>
      </c>
      <c r="G38" s="2" t="str">
        <f t="shared" si="1"/>
        <v>ON1</v>
      </c>
      <c r="H38" s="2" t="s">
        <v>21</v>
      </c>
      <c r="I38" s="2" t="s">
        <v>60</v>
      </c>
      <c r="J38" s="2" t="str">
        <f>""</f>
        <v/>
      </c>
      <c r="K38" s="2" t="str">
        <f>"PFES1162729607_0001"</f>
        <v>PFES1162729607_0001</v>
      </c>
      <c r="L38" s="2">
        <v>1</v>
      </c>
      <c r="M38" s="2">
        <v>2</v>
      </c>
    </row>
    <row r="39" spans="1:13">
      <c r="A39" s="6">
        <v>43832</v>
      </c>
      <c r="B39" s="7">
        <v>0.50416666666666665</v>
      </c>
      <c r="C39" s="2" t="str">
        <f>"FES1162729640"</f>
        <v>FES1162729640</v>
      </c>
      <c r="D39" s="2" t="s">
        <v>19</v>
      </c>
      <c r="E39" s="2" t="s">
        <v>65</v>
      </c>
      <c r="F39" s="2" t="str">
        <f>"2170722542 "</f>
        <v xml:space="preserve">2170722542 </v>
      </c>
      <c r="G39" s="2" t="str">
        <f t="shared" si="1"/>
        <v>ON1</v>
      </c>
      <c r="H39" s="2" t="s">
        <v>21</v>
      </c>
      <c r="I39" s="2" t="s">
        <v>66</v>
      </c>
      <c r="J39" s="2" t="str">
        <f>""</f>
        <v/>
      </c>
      <c r="K39" s="2" t="str">
        <f>"PFES1162729640_0001"</f>
        <v>PFES1162729640_0001</v>
      </c>
      <c r="L39" s="2">
        <v>1</v>
      </c>
      <c r="M39" s="2">
        <v>1</v>
      </c>
    </row>
    <row r="40" spans="1:13">
      <c r="A40" s="6">
        <v>43832</v>
      </c>
      <c r="B40" s="7">
        <v>0.50347222222222221</v>
      </c>
      <c r="C40" s="2" t="str">
        <f>"FES1162729629"</f>
        <v>FES1162729629</v>
      </c>
      <c r="D40" s="2" t="s">
        <v>19</v>
      </c>
      <c r="E40" s="2" t="s">
        <v>67</v>
      </c>
      <c r="F40" s="2" t="str">
        <f>"2170722527 "</f>
        <v xml:space="preserve">2170722527 </v>
      </c>
      <c r="G40" s="2" t="str">
        <f t="shared" si="1"/>
        <v>ON1</v>
      </c>
      <c r="H40" s="2" t="s">
        <v>21</v>
      </c>
      <c r="I40" s="2" t="s">
        <v>38</v>
      </c>
      <c r="J40" s="2" t="str">
        <f>""</f>
        <v/>
      </c>
      <c r="K40" s="2" t="str">
        <f>"PFES1162729629_0001"</f>
        <v>PFES1162729629_0001</v>
      </c>
      <c r="L40" s="2">
        <v>1</v>
      </c>
      <c r="M40" s="2">
        <v>1</v>
      </c>
    </row>
    <row r="41" spans="1:13">
      <c r="A41" s="6">
        <v>43832</v>
      </c>
      <c r="B41" s="7">
        <v>0.50347222222222221</v>
      </c>
      <c r="C41" s="2" t="str">
        <f>"FES1162729576"</f>
        <v>FES1162729576</v>
      </c>
      <c r="D41" s="2" t="s">
        <v>19</v>
      </c>
      <c r="E41" s="2" t="s">
        <v>64</v>
      </c>
      <c r="F41" s="2" t="str">
        <f>"2170716759 "</f>
        <v xml:space="preserve">2170716759 </v>
      </c>
      <c r="G41" s="2" t="str">
        <f t="shared" si="1"/>
        <v>ON1</v>
      </c>
      <c r="H41" s="2" t="s">
        <v>21</v>
      </c>
      <c r="I41" s="2" t="s">
        <v>60</v>
      </c>
      <c r="J41" s="2" t="str">
        <f>""</f>
        <v/>
      </c>
      <c r="K41" s="2" t="str">
        <f>"PFES1162729576_0001"</f>
        <v>PFES1162729576_0001</v>
      </c>
      <c r="L41" s="2">
        <v>1</v>
      </c>
      <c r="M41" s="2">
        <v>1</v>
      </c>
    </row>
    <row r="42" spans="1:13">
      <c r="A42" s="6">
        <v>43832</v>
      </c>
      <c r="B42" s="7">
        <v>0.50347222222222221</v>
      </c>
      <c r="C42" s="2" t="str">
        <f>"FES1162729578"</f>
        <v>FES1162729578</v>
      </c>
      <c r="D42" s="2" t="s">
        <v>19</v>
      </c>
      <c r="E42" s="2" t="s">
        <v>64</v>
      </c>
      <c r="F42" s="2" t="str">
        <f>"2170717646 "</f>
        <v xml:space="preserve">2170717646 </v>
      </c>
      <c r="G42" s="2" t="str">
        <f t="shared" si="1"/>
        <v>ON1</v>
      </c>
      <c r="H42" s="2" t="s">
        <v>21</v>
      </c>
      <c r="I42" s="2" t="s">
        <v>60</v>
      </c>
      <c r="J42" s="2" t="str">
        <f>""</f>
        <v/>
      </c>
      <c r="K42" s="2" t="str">
        <f>"PFES1162729578_0001"</f>
        <v>PFES1162729578_0001</v>
      </c>
      <c r="L42" s="2">
        <v>1</v>
      </c>
      <c r="M42" s="2">
        <v>1</v>
      </c>
    </row>
    <row r="43" spans="1:13">
      <c r="A43" s="6">
        <v>43832</v>
      </c>
      <c r="B43" s="7">
        <v>0.50277777777777777</v>
      </c>
      <c r="C43" s="2" t="str">
        <f>"FES1162729643"</f>
        <v>FES1162729643</v>
      </c>
      <c r="D43" s="2" t="s">
        <v>19</v>
      </c>
      <c r="E43" s="2" t="s">
        <v>68</v>
      </c>
      <c r="F43" s="2" t="str">
        <f>"2170722545 "</f>
        <v xml:space="preserve">2170722545 </v>
      </c>
      <c r="G43" s="2" t="str">
        <f t="shared" si="1"/>
        <v>ON1</v>
      </c>
      <c r="H43" s="2" t="s">
        <v>21</v>
      </c>
      <c r="I43" s="2" t="s">
        <v>69</v>
      </c>
      <c r="J43" s="2" t="str">
        <f>""</f>
        <v/>
      </c>
      <c r="K43" s="2" t="str">
        <f>"PFES1162729643_0001"</f>
        <v>PFES1162729643_0001</v>
      </c>
      <c r="L43" s="2">
        <v>1</v>
      </c>
      <c r="M43" s="2">
        <v>1</v>
      </c>
    </row>
    <row r="44" spans="1:13">
      <c r="A44" s="6">
        <v>43832</v>
      </c>
      <c r="B44" s="7">
        <v>0.50277777777777777</v>
      </c>
      <c r="C44" s="2" t="str">
        <f>"FES1162729594"</f>
        <v>FES1162729594</v>
      </c>
      <c r="D44" s="2" t="s">
        <v>19</v>
      </c>
      <c r="E44" s="2" t="s">
        <v>70</v>
      </c>
      <c r="F44" s="2" t="str">
        <f>"2170719511 "</f>
        <v xml:space="preserve">2170719511 </v>
      </c>
      <c r="G44" s="2" t="str">
        <f t="shared" si="1"/>
        <v>ON1</v>
      </c>
      <c r="H44" s="2" t="s">
        <v>21</v>
      </c>
      <c r="I44" s="2" t="s">
        <v>71</v>
      </c>
      <c r="J44" s="2" t="str">
        <f>""</f>
        <v/>
      </c>
      <c r="K44" s="2" t="str">
        <f>"PFES1162729594_0001"</f>
        <v>PFES1162729594_0001</v>
      </c>
      <c r="L44" s="2">
        <v>1</v>
      </c>
      <c r="M44" s="2">
        <v>1</v>
      </c>
    </row>
    <row r="45" spans="1:13">
      <c r="A45" s="6">
        <v>43832</v>
      </c>
      <c r="B45" s="7">
        <v>0.50208333333333333</v>
      </c>
      <c r="C45" s="2" t="str">
        <f>"FES1162729570"</f>
        <v>FES1162729570</v>
      </c>
      <c r="D45" s="2" t="s">
        <v>19</v>
      </c>
      <c r="E45" s="2" t="s">
        <v>72</v>
      </c>
      <c r="F45" s="2" t="str">
        <f>"2170722531 "</f>
        <v xml:space="preserve">2170722531 </v>
      </c>
      <c r="G45" s="2" t="str">
        <f t="shared" si="1"/>
        <v>ON1</v>
      </c>
      <c r="H45" s="2" t="s">
        <v>21</v>
      </c>
      <c r="I45" s="2" t="s">
        <v>73</v>
      </c>
      <c r="J45" s="2" t="str">
        <f>""</f>
        <v/>
      </c>
      <c r="K45" s="2" t="str">
        <f>"PFES1162729570_0001"</f>
        <v>PFES1162729570_0001</v>
      </c>
      <c r="L45" s="2">
        <v>1</v>
      </c>
      <c r="M45" s="2">
        <v>1</v>
      </c>
    </row>
    <row r="46" spans="1:13">
      <c r="A46" s="6">
        <v>43832</v>
      </c>
      <c r="B46" s="7">
        <v>0.50208333333333333</v>
      </c>
      <c r="C46" s="2" t="str">
        <f>"FES1162729565"</f>
        <v>FES1162729565</v>
      </c>
      <c r="D46" s="2" t="s">
        <v>19</v>
      </c>
      <c r="E46" s="2" t="s">
        <v>74</v>
      </c>
      <c r="F46" s="2" t="str">
        <f>"2170722523 "</f>
        <v xml:space="preserve">2170722523 </v>
      </c>
      <c r="G46" s="2" t="str">
        <f t="shared" si="1"/>
        <v>ON1</v>
      </c>
      <c r="H46" s="2" t="s">
        <v>21</v>
      </c>
      <c r="I46" s="2" t="s">
        <v>49</v>
      </c>
      <c r="J46" s="2" t="str">
        <f>""</f>
        <v/>
      </c>
      <c r="K46" s="2" t="str">
        <f>"PFES1162729565_0001"</f>
        <v>PFES1162729565_0001</v>
      </c>
      <c r="L46" s="2">
        <v>1</v>
      </c>
      <c r="M46" s="2">
        <v>3</v>
      </c>
    </row>
    <row r="47" spans="1:13">
      <c r="A47" s="6">
        <v>43832</v>
      </c>
      <c r="B47" s="7">
        <v>0.50138888888888888</v>
      </c>
      <c r="C47" s="2" t="str">
        <f>"FES1162729569"</f>
        <v>FES1162729569</v>
      </c>
      <c r="D47" s="2" t="s">
        <v>19</v>
      </c>
      <c r="E47" s="2" t="s">
        <v>75</v>
      </c>
      <c r="F47" s="2" t="str">
        <f>"2170722529 "</f>
        <v xml:space="preserve">2170722529 </v>
      </c>
      <c r="G47" s="2" t="str">
        <f t="shared" si="1"/>
        <v>ON1</v>
      </c>
      <c r="H47" s="2" t="s">
        <v>21</v>
      </c>
      <c r="I47" s="2" t="s">
        <v>76</v>
      </c>
      <c r="J47" s="2" t="str">
        <f>""</f>
        <v/>
      </c>
      <c r="K47" s="2" t="str">
        <f>"PFES1162729569_0001"</f>
        <v>PFES1162729569_0001</v>
      </c>
      <c r="L47" s="2">
        <v>1</v>
      </c>
      <c r="M47" s="2">
        <v>2</v>
      </c>
    </row>
    <row r="48" spans="1:13">
      <c r="A48" s="6">
        <v>43832</v>
      </c>
      <c r="B48" s="7">
        <v>0.50138888888888888</v>
      </c>
      <c r="C48" s="2" t="str">
        <f>"FES1162729581"</f>
        <v>FES1162729581</v>
      </c>
      <c r="D48" s="2" t="s">
        <v>19</v>
      </c>
      <c r="E48" s="2" t="s">
        <v>64</v>
      </c>
      <c r="F48" s="2" t="str">
        <f>"2170718210 "</f>
        <v xml:space="preserve">2170718210 </v>
      </c>
      <c r="G48" s="2" t="str">
        <f t="shared" si="1"/>
        <v>ON1</v>
      </c>
      <c r="H48" s="2" t="s">
        <v>21</v>
      </c>
      <c r="I48" s="2" t="s">
        <v>60</v>
      </c>
      <c r="J48" s="2" t="str">
        <f>""</f>
        <v/>
      </c>
      <c r="K48" s="2" t="str">
        <f>"PFES1162729581_0001"</f>
        <v>PFES1162729581_0001</v>
      </c>
      <c r="L48" s="2">
        <v>1</v>
      </c>
      <c r="M48" s="2">
        <v>3</v>
      </c>
    </row>
    <row r="49" spans="1:13">
      <c r="A49" s="6">
        <v>43832</v>
      </c>
      <c r="B49" s="7">
        <v>0.50069444444444444</v>
      </c>
      <c r="C49" s="2" t="str">
        <f>"FES1162729558"</f>
        <v>FES1162729558</v>
      </c>
      <c r="D49" s="2" t="s">
        <v>19</v>
      </c>
      <c r="E49" s="2" t="s">
        <v>77</v>
      </c>
      <c r="F49" s="2" t="str">
        <f>"2170722492 "</f>
        <v xml:space="preserve">2170722492 </v>
      </c>
      <c r="G49" s="2" t="str">
        <f t="shared" si="1"/>
        <v>ON1</v>
      </c>
      <c r="H49" s="2" t="s">
        <v>21</v>
      </c>
      <c r="I49" s="2" t="s">
        <v>78</v>
      </c>
      <c r="J49" s="2" t="str">
        <f>""</f>
        <v/>
      </c>
      <c r="K49" s="2" t="str">
        <f>"PFES1162729558_0001"</f>
        <v>PFES1162729558_0001</v>
      </c>
      <c r="L49" s="2">
        <v>1</v>
      </c>
      <c r="M49" s="2">
        <v>3</v>
      </c>
    </row>
    <row r="50" spans="1:13">
      <c r="A50" s="6">
        <v>43832</v>
      </c>
      <c r="B50" s="7">
        <v>0.50069444444444444</v>
      </c>
      <c r="C50" s="2" t="str">
        <f>"FES1162729591"</f>
        <v>FES1162729591</v>
      </c>
      <c r="D50" s="2" t="s">
        <v>19</v>
      </c>
      <c r="E50" s="2" t="s">
        <v>79</v>
      </c>
      <c r="F50" s="2" t="str">
        <f>"2170719291 "</f>
        <v xml:space="preserve">2170719291 </v>
      </c>
      <c r="G50" s="2" t="str">
        <f t="shared" si="1"/>
        <v>ON1</v>
      </c>
      <c r="H50" s="2" t="s">
        <v>21</v>
      </c>
      <c r="I50" s="2" t="s">
        <v>80</v>
      </c>
      <c r="J50" s="2" t="str">
        <f>""</f>
        <v/>
      </c>
      <c r="K50" s="2" t="str">
        <f>"PFES1162729591_0001"</f>
        <v>PFES1162729591_0001</v>
      </c>
      <c r="L50" s="2">
        <v>1</v>
      </c>
      <c r="M50" s="2">
        <v>9</v>
      </c>
    </row>
    <row r="51" spans="1:13">
      <c r="A51" s="6">
        <v>43496</v>
      </c>
      <c r="B51" s="7">
        <v>0.62847222222222221</v>
      </c>
      <c r="C51" s="2" t="str">
        <f>"FES1162670330"</f>
        <v>FES1162670330</v>
      </c>
      <c r="D51" s="2" t="s">
        <v>19</v>
      </c>
      <c r="E51" s="2" t="s">
        <v>81</v>
      </c>
      <c r="F51" s="2" t="str">
        <f>"2170670373 "</f>
        <v xml:space="preserve">2170670373 </v>
      </c>
      <c r="G51" s="2" t="str">
        <f t="shared" si="1"/>
        <v>ON1</v>
      </c>
      <c r="H51" s="2" t="s">
        <v>21</v>
      </c>
      <c r="I51" s="2" t="s">
        <v>34</v>
      </c>
      <c r="J51" s="2" t="str">
        <f>""</f>
        <v/>
      </c>
      <c r="K51" s="2" t="str">
        <f>"PFES1162670330_0001"</f>
        <v>PFES1162670330_0001</v>
      </c>
      <c r="L51" s="2">
        <v>1</v>
      </c>
      <c r="M51" s="2">
        <v>5</v>
      </c>
    </row>
    <row r="52" spans="1:13">
      <c r="A52" s="6">
        <v>43496</v>
      </c>
      <c r="B52" s="7">
        <v>0.62777777777777777</v>
      </c>
      <c r="C52" s="2" t="str">
        <f>"FES1162670525"</f>
        <v>FES1162670525</v>
      </c>
      <c r="D52" s="2" t="s">
        <v>19</v>
      </c>
      <c r="E52" s="2" t="s">
        <v>82</v>
      </c>
      <c r="F52" s="2" t="str">
        <f>"2170671735 "</f>
        <v xml:space="preserve">2170671735 </v>
      </c>
      <c r="G52" s="2" t="str">
        <f t="shared" si="1"/>
        <v>ON1</v>
      </c>
      <c r="H52" s="2" t="s">
        <v>21</v>
      </c>
      <c r="I52" s="2" t="s">
        <v>83</v>
      </c>
      <c r="J52" s="2" t="str">
        <f>""</f>
        <v/>
      </c>
      <c r="K52" s="2" t="str">
        <f>"PFES1162670525_0001"</f>
        <v>PFES1162670525_0001</v>
      </c>
      <c r="L52" s="2">
        <v>45</v>
      </c>
      <c r="M52" s="2">
        <v>137</v>
      </c>
    </row>
    <row r="53" spans="1:13">
      <c r="A53" s="6">
        <v>43496</v>
      </c>
      <c r="B53" s="7">
        <v>0.62777777777777777</v>
      </c>
      <c r="C53" s="2" t="str">
        <f>"FES1162670526"</f>
        <v>FES1162670526</v>
      </c>
      <c r="D53" s="2" t="s">
        <v>19</v>
      </c>
      <c r="E53" s="2" t="s">
        <v>59</v>
      </c>
      <c r="F53" s="2" t="str">
        <f>"2170671752 "</f>
        <v xml:space="preserve">2170671752 </v>
      </c>
      <c r="G53" s="2" t="str">
        <f t="shared" si="1"/>
        <v>ON1</v>
      </c>
      <c r="H53" s="2" t="s">
        <v>21</v>
      </c>
      <c r="I53" s="2" t="s">
        <v>60</v>
      </c>
      <c r="J53" s="2" t="str">
        <f>""</f>
        <v/>
      </c>
      <c r="K53" s="2" t="str">
        <f>"PFES1162670526_0001"</f>
        <v>PFES1162670526_0001</v>
      </c>
      <c r="L53" s="2">
        <v>1</v>
      </c>
      <c r="M53" s="2">
        <v>1</v>
      </c>
    </row>
    <row r="54" spans="1:13">
      <c r="A54" s="6">
        <v>43496</v>
      </c>
      <c r="B54" s="7">
        <v>0.62777777777777777</v>
      </c>
      <c r="C54" s="2" t="str">
        <f>"FES1162670449"</f>
        <v>FES1162670449</v>
      </c>
      <c r="D54" s="2" t="s">
        <v>19</v>
      </c>
      <c r="E54" s="2" t="s">
        <v>84</v>
      </c>
      <c r="F54" s="2" t="str">
        <f>"2170671890 "</f>
        <v xml:space="preserve">2170671890 </v>
      </c>
      <c r="G54" s="2" t="str">
        <f t="shared" si="1"/>
        <v>ON1</v>
      </c>
      <c r="H54" s="2" t="s">
        <v>21</v>
      </c>
      <c r="I54" s="2" t="s">
        <v>85</v>
      </c>
      <c r="J54" s="2" t="str">
        <f>""</f>
        <v/>
      </c>
      <c r="K54" s="2" t="str">
        <f>"PFES1162670449_0001"</f>
        <v>PFES1162670449_0001</v>
      </c>
      <c r="L54" s="2">
        <v>1</v>
      </c>
      <c r="M54" s="2">
        <v>5</v>
      </c>
    </row>
    <row r="55" spans="1:13">
      <c r="A55" s="6">
        <v>43496</v>
      </c>
      <c r="B55" s="7">
        <v>0.62777777777777777</v>
      </c>
      <c r="C55" s="2" t="str">
        <f>"FES1162670529"</f>
        <v>FES1162670529</v>
      </c>
      <c r="D55" s="2" t="s">
        <v>19</v>
      </c>
      <c r="E55" s="2" t="s">
        <v>86</v>
      </c>
      <c r="F55" s="2" t="str">
        <f>"2170672020 "</f>
        <v xml:space="preserve">2170672020 </v>
      </c>
      <c r="G55" s="2" t="str">
        <f t="shared" si="1"/>
        <v>ON1</v>
      </c>
      <c r="H55" s="2" t="s">
        <v>21</v>
      </c>
      <c r="I55" s="2" t="s">
        <v>63</v>
      </c>
      <c r="J55" s="2" t="str">
        <f>""</f>
        <v/>
      </c>
      <c r="K55" s="2" t="str">
        <f>"PFES1162670529_0001"</f>
        <v>PFES1162670529_0001</v>
      </c>
      <c r="L55" s="2">
        <v>1</v>
      </c>
      <c r="M55" s="2">
        <v>1</v>
      </c>
    </row>
    <row r="56" spans="1:13">
      <c r="A56" s="6">
        <v>43496</v>
      </c>
      <c r="B56" s="7">
        <v>0.62708333333333333</v>
      </c>
      <c r="C56" s="2" t="str">
        <f>"FES1162670515"</f>
        <v>FES1162670515</v>
      </c>
      <c r="D56" s="2" t="s">
        <v>19</v>
      </c>
      <c r="E56" s="2" t="s">
        <v>87</v>
      </c>
      <c r="F56" s="2" t="str">
        <f>"2170671991 "</f>
        <v xml:space="preserve">2170671991 </v>
      </c>
      <c r="G56" s="2" t="str">
        <f t="shared" si="1"/>
        <v>ON1</v>
      </c>
      <c r="H56" s="2" t="s">
        <v>21</v>
      </c>
      <c r="I56" s="2" t="s">
        <v>88</v>
      </c>
      <c r="J56" s="2" t="str">
        <f>""</f>
        <v/>
      </c>
      <c r="K56" s="2" t="str">
        <f>"PFES1162670515_0001"</f>
        <v>PFES1162670515_0001</v>
      </c>
      <c r="L56" s="2">
        <v>1</v>
      </c>
      <c r="M56" s="2">
        <v>1</v>
      </c>
    </row>
    <row r="57" spans="1:13">
      <c r="A57" s="6">
        <v>43496</v>
      </c>
      <c r="B57" s="7">
        <v>0.62708333333333333</v>
      </c>
      <c r="C57" s="2" t="str">
        <f>"FES1162670461"</f>
        <v>FES1162670461</v>
      </c>
      <c r="D57" s="2" t="s">
        <v>19</v>
      </c>
      <c r="E57" s="2" t="s">
        <v>89</v>
      </c>
      <c r="F57" s="2" t="str">
        <f>"2170671898 "</f>
        <v xml:space="preserve">2170671898 </v>
      </c>
      <c r="G57" s="2" t="str">
        <f t="shared" si="1"/>
        <v>ON1</v>
      </c>
      <c r="H57" s="2" t="s">
        <v>21</v>
      </c>
      <c r="I57" s="2" t="s">
        <v>90</v>
      </c>
      <c r="J57" s="2" t="str">
        <f>""</f>
        <v/>
      </c>
      <c r="K57" s="2" t="str">
        <f>"PFES1162670461_0001"</f>
        <v>PFES1162670461_0001</v>
      </c>
      <c r="L57" s="2">
        <v>1</v>
      </c>
      <c r="M57" s="2">
        <v>1</v>
      </c>
    </row>
    <row r="58" spans="1:13">
      <c r="A58" s="6">
        <v>43496</v>
      </c>
      <c r="B58" s="7">
        <v>0.62708333333333333</v>
      </c>
      <c r="C58" s="2" t="str">
        <f>"FES1162670472"</f>
        <v>FES1162670472</v>
      </c>
      <c r="D58" s="2" t="s">
        <v>19</v>
      </c>
      <c r="E58" s="2" t="s">
        <v>91</v>
      </c>
      <c r="F58" s="2" t="str">
        <f>"2170671915 "</f>
        <v xml:space="preserve">2170671915 </v>
      </c>
      <c r="G58" s="2" t="str">
        <f t="shared" si="1"/>
        <v>ON1</v>
      </c>
      <c r="H58" s="2" t="s">
        <v>21</v>
      </c>
      <c r="I58" s="2" t="s">
        <v>92</v>
      </c>
      <c r="J58" s="2" t="str">
        <f>""</f>
        <v/>
      </c>
      <c r="K58" s="2" t="str">
        <f>"PFES1162670472_0001"</f>
        <v>PFES1162670472_0001</v>
      </c>
      <c r="L58" s="2">
        <v>1</v>
      </c>
      <c r="M58" s="2">
        <v>1</v>
      </c>
    </row>
    <row r="59" spans="1:13">
      <c r="A59" s="6">
        <v>43496</v>
      </c>
      <c r="B59" s="7">
        <v>0.62638888888888888</v>
      </c>
      <c r="C59" s="2" t="str">
        <f>"FES1162670396"</f>
        <v>FES1162670396</v>
      </c>
      <c r="D59" s="2" t="s">
        <v>19</v>
      </c>
      <c r="E59" s="2" t="s">
        <v>93</v>
      </c>
      <c r="F59" s="2" t="str">
        <f>"2170670009 "</f>
        <v xml:space="preserve">2170670009 </v>
      </c>
      <c r="G59" s="2" t="str">
        <f t="shared" si="1"/>
        <v>ON1</v>
      </c>
      <c r="H59" s="2" t="s">
        <v>21</v>
      </c>
      <c r="I59" s="2" t="s">
        <v>94</v>
      </c>
      <c r="J59" s="2" t="str">
        <f>""</f>
        <v/>
      </c>
      <c r="K59" s="2" t="str">
        <f>"PFES1162670396_0001"</f>
        <v>PFES1162670396_0001</v>
      </c>
      <c r="L59" s="2">
        <v>1</v>
      </c>
      <c r="M59" s="2">
        <v>4</v>
      </c>
    </row>
    <row r="60" spans="1:13">
      <c r="A60" s="6">
        <v>43496</v>
      </c>
      <c r="B60" s="7">
        <v>0.62638888888888888</v>
      </c>
      <c r="C60" s="2" t="str">
        <f>"FES1162670470"</f>
        <v>FES1162670470</v>
      </c>
      <c r="D60" s="2" t="s">
        <v>19</v>
      </c>
      <c r="E60" s="2" t="s">
        <v>95</v>
      </c>
      <c r="F60" s="2" t="str">
        <f>"2170671911 "</f>
        <v xml:space="preserve">2170671911 </v>
      </c>
      <c r="G60" s="2" t="str">
        <f t="shared" si="1"/>
        <v>ON1</v>
      </c>
      <c r="H60" s="2" t="s">
        <v>21</v>
      </c>
      <c r="I60" s="2" t="s">
        <v>96</v>
      </c>
      <c r="J60" s="2" t="str">
        <f>""</f>
        <v/>
      </c>
      <c r="K60" s="2" t="str">
        <f>"PFES1162670470_0001"</f>
        <v>PFES1162670470_0001</v>
      </c>
      <c r="L60" s="2">
        <v>1</v>
      </c>
      <c r="M60" s="2">
        <v>1</v>
      </c>
    </row>
    <row r="61" spans="1:13">
      <c r="A61" s="6">
        <v>43496</v>
      </c>
      <c r="B61" s="7">
        <v>0.62638888888888888</v>
      </c>
      <c r="C61" s="2" t="str">
        <f>"FES1162670465"</f>
        <v>FES1162670465</v>
      </c>
      <c r="D61" s="2" t="s">
        <v>19</v>
      </c>
      <c r="E61" s="2" t="s">
        <v>97</v>
      </c>
      <c r="F61" s="2" t="str">
        <f>"2170671903 "</f>
        <v xml:space="preserve">2170671903 </v>
      </c>
      <c r="G61" s="2" t="str">
        <f t="shared" si="1"/>
        <v>ON1</v>
      </c>
      <c r="H61" s="2" t="s">
        <v>21</v>
      </c>
      <c r="I61" s="2" t="s">
        <v>98</v>
      </c>
      <c r="J61" s="2" t="str">
        <f>""</f>
        <v/>
      </c>
      <c r="K61" s="2" t="str">
        <f>"PFES1162670465_0001"</f>
        <v>PFES1162670465_0001</v>
      </c>
      <c r="L61" s="2">
        <v>1</v>
      </c>
      <c r="M61" s="2">
        <v>1</v>
      </c>
    </row>
    <row r="62" spans="1:13">
      <c r="A62" s="6">
        <v>43496</v>
      </c>
      <c r="B62" s="7">
        <v>0.62638888888888888</v>
      </c>
      <c r="C62" s="2" t="str">
        <f>"FES1162670494"</f>
        <v>FES1162670494</v>
      </c>
      <c r="D62" s="2" t="s">
        <v>19</v>
      </c>
      <c r="E62" s="2" t="s">
        <v>99</v>
      </c>
      <c r="F62" s="2" t="str">
        <f>"2170671955 "</f>
        <v xml:space="preserve">2170671955 </v>
      </c>
      <c r="G62" s="2" t="str">
        <f t="shared" si="1"/>
        <v>ON1</v>
      </c>
      <c r="H62" s="2" t="s">
        <v>21</v>
      </c>
      <c r="I62" s="2" t="s">
        <v>100</v>
      </c>
      <c r="J62" s="2" t="str">
        <f>""</f>
        <v/>
      </c>
      <c r="K62" s="2" t="str">
        <f>"PFES1162670494_0001"</f>
        <v>PFES1162670494_0001</v>
      </c>
      <c r="L62" s="2">
        <v>1</v>
      </c>
      <c r="M62" s="2">
        <v>1</v>
      </c>
    </row>
    <row r="63" spans="1:13">
      <c r="A63" s="6">
        <v>43496</v>
      </c>
      <c r="B63" s="7">
        <v>0.62569444444444444</v>
      </c>
      <c r="C63" s="2" t="str">
        <f>"FES1162670420"</f>
        <v>FES1162670420</v>
      </c>
      <c r="D63" s="2" t="s">
        <v>19</v>
      </c>
      <c r="E63" s="2" t="s">
        <v>101</v>
      </c>
      <c r="F63" s="2" t="str">
        <f>"2170669819 "</f>
        <v xml:space="preserve">2170669819 </v>
      </c>
      <c r="G63" s="2" t="str">
        <f t="shared" si="1"/>
        <v>ON1</v>
      </c>
      <c r="H63" s="2" t="s">
        <v>21</v>
      </c>
      <c r="I63" s="2" t="s">
        <v>102</v>
      </c>
      <c r="J63" s="2" t="str">
        <f>""</f>
        <v/>
      </c>
      <c r="K63" s="2" t="str">
        <f>"PFES1162670420_0001"</f>
        <v>PFES1162670420_0001</v>
      </c>
      <c r="L63" s="2">
        <v>1</v>
      </c>
      <c r="M63" s="2">
        <v>1</v>
      </c>
    </row>
    <row r="64" spans="1:13">
      <c r="A64" s="6">
        <v>43496</v>
      </c>
      <c r="B64" s="7">
        <v>0.62569444444444444</v>
      </c>
      <c r="C64" s="2" t="str">
        <f>"FES1162670476"</f>
        <v>FES1162670476</v>
      </c>
      <c r="D64" s="2" t="s">
        <v>19</v>
      </c>
      <c r="E64" s="2" t="s">
        <v>103</v>
      </c>
      <c r="F64" s="2" t="str">
        <f>"2170671558 "</f>
        <v xml:space="preserve">2170671558 </v>
      </c>
      <c r="G64" s="2" t="str">
        <f t="shared" si="1"/>
        <v>ON1</v>
      </c>
      <c r="H64" s="2" t="s">
        <v>21</v>
      </c>
      <c r="I64" s="2" t="s">
        <v>104</v>
      </c>
      <c r="J64" s="2" t="str">
        <f>""</f>
        <v/>
      </c>
      <c r="K64" s="2" t="str">
        <f>"PFES1162670476_0001"</f>
        <v>PFES1162670476_0001</v>
      </c>
      <c r="L64" s="2">
        <v>1</v>
      </c>
      <c r="M64" s="2">
        <v>1</v>
      </c>
    </row>
    <row r="65" spans="1:13">
      <c r="A65" s="6">
        <v>43496</v>
      </c>
      <c r="B65" s="7">
        <v>0.62569444444444444</v>
      </c>
      <c r="C65" s="2" t="str">
        <f>"FES1162670322"</f>
        <v>FES1162670322</v>
      </c>
      <c r="D65" s="2" t="s">
        <v>19</v>
      </c>
      <c r="E65" s="2" t="s">
        <v>105</v>
      </c>
      <c r="F65" s="2" t="str">
        <f>"2170670233 "</f>
        <v xml:space="preserve">2170670233 </v>
      </c>
      <c r="G65" s="2" t="str">
        <f t="shared" si="1"/>
        <v>ON1</v>
      </c>
      <c r="H65" s="2" t="s">
        <v>21</v>
      </c>
      <c r="I65" s="2" t="s">
        <v>106</v>
      </c>
      <c r="J65" s="2" t="str">
        <f>""</f>
        <v/>
      </c>
      <c r="K65" s="2" t="str">
        <f>"PFES1162670322_0001"</f>
        <v>PFES1162670322_0001</v>
      </c>
      <c r="L65" s="2">
        <v>1</v>
      </c>
      <c r="M65" s="2">
        <v>8</v>
      </c>
    </row>
    <row r="66" spans="1:13">
      <c r="A66" s="6">
        <v>43496</v>
      </c>
      <c r="B66" s="7">
        <v>0.625</v>
      </c>
      <c r="C66" s="2" t="str">
        <f>"FES1162670505"</f>
        <v>FES1162670505</v>
      </c>
      <c r="D66" s="2" t="s">
        <v>19</v>
      </c>
      <c r="E66" s="2" t="s">
        <v>107</v>
      </c>
      <c r="F66" s="2" t="str">
        <f>"2170671974 "</f>
        <v xml:space="preserve">2170671974 </v>
      </c>
      <c r="G66" s="2" t="str">
        <f t="shared" si="1"/>
        <v>ON1</v>
      </c>
      <c r="H66" s="2" t="s">
        <v>21</v>
      </c>
      <c r="I66" s="2" t="s">
        <v>108</v>
      </c>
      <c r="J66" s="2" t="str">
        <f>""</f>
        <v/>
      </c>
      <c r="K66" s="2" t="str">
        <f>"PFES1162670505_0001"</f>
        <v>PFES1162670505_0001</v>
      </c>
      <c r="L66" s="2">
        <v>1</v>
      </c>
      <c r="M66" s="2">
        <v>1</v>
      </c>
    </row>
    <row r="67" spans="1:13">
      <c r="A67" s="6">
        <v>43496</v>
      </c>
      <c r="B67" s="7">
        <v>0.62430555555555556</v>
      </c>
      <c r="C67" s="2" t="str">
        <f>"FES1162670422"</f>
        <v>FES1162670422</v>
      </c>
      <c r="D67" s="2" t="s">
        <v>19</v>
      </c>
      <c r="E67" s="2" t="s">
        <v>109</v>
      </c>
      <c r="F67" s="2" t="str">
        <f>"2170669892 "</f>
        <v xml:space="preserve">2170669892 </v>
      </c>
      <c r="G67" s="2" t="str">
        <f t="shared" si="1"/>
        <v>ON1</v>
      </c>
      <c r="H67" s="2" t="s">
        <v>21</v>
      </c>
      <c r="I67" s="2" t="s">
        <v>110</v>
      </c>
      <c r="J67" s="2" t="str">
        <f>""</f>
        <v/>
      </c>
      <c r="K67" s="2" t="str">
        <f>"PFES1162670422_0001"</f>
        <v>PFES1162670422_0001</v>
      </c>
      <c r="L67" s="2">
        <v>1</v>
      </c>
      <c r="M67" s="2">
        <v>1</v>
      </c>
    </row>
    <row r="68" spans="1:13">
      <c r="A68" s="6">
        <v>43496</v>
      </c>
      <c r="B68" s="7">
        <v>0.62430555555555556</v>
      </c>
      <c r="C68" s="2" t="str">
        <f>"FES1162670511"</f>
        <v>FES1162670511</v>
      </c>
      <c r="D68" s="2" t="s">
        <v>19</v>
      </c>
      <c r="E68" s="2" t="s">
        <v>111</v>
      </c>
      <c r="F68" s="2" t="str">
        <f>"2170671980 "</f>
        <v xml:space="preserve">2170671980 </v>
      </c>
      <c r="G68" s="2" t="str">
        <f t="shared" si="1"/>
        <v>ON1</v>
      </c>
      <c r="H68" s="2" t="s">
        <v>21</v>
      </c>
      <c r="I68" s="2" t="s">
        <v>112</v>
      </c>
      <c r="J68" s="2" t="str">
        <f>""</f>
        <v/>
      </c>
      <c r="K68" s="2" t="str">
        <f>"PFES1162670511_0001"</f>
        <v>PFES1162670511_0001</v>
      </c>
      <c r="L68" s="2">
        <v>1</v>
      </c>
      <c r="M68" s="2">
        <v>1</v>
      </c>
    </row>
    <row r="69" spans="1:13">
      <c r="A69" s="6">
        <v>43496</v>
      </c>
      <c r="B69" s="7">
        <v>0.61458333333333337</v>
      </c>
      <c r="C69" s="2" t="str">
        <f>"FES1162670514"</f>
        <v>FES1162670514</v>
      </c>
      <c r="D69" s="2" t="s">
        <v>19</v>
      </c>
      <c r="E69" s="2" t="s">
        <v>59</v>
      </c>
      <c r="F69" s="2" t="str">
        <f>"2170671988 "</f>
        <v xml:space="preserve">2170671988 </v>
      </c>
      <c r="G69" s="2" t="str">
        <f t="shared" si="1"/>
        <v>ON1</v>
      </c>
      <c r="H69" s="2" t="s">
        <v>21</v>
      </c>
      <c r="I69" s="2" t="s">
        <v>60</v>
      </c>
      <c r="J69" s="2" t="str">
        <f>""</f>
        <v/>
      </c>
      <c r="K69" s="2" t="str">
        <f>"PFES1162670514_0001"</f>
        <v>PFES1162670514_0001</v>
      </c>
      <c r="L69" s="2">
        <v>1</v>
      </c>
      <c r="M69" s="2">
        <v>1</v>
      </c>
    </row>
    <row r="70" spans="1:13">
      <c r="A70" s="6">
        <v>43496</v>
      </c>
      <c r="B70" s="7">
        <v>0.61458333333333337</v>
      </c>
      <c r="C70" s="2" t="str">
        <f>"FES1162670508"</f>
        <v>FES1162670508</v>
      </c>
      <c r="D70" s="2" t="s">
        <v>19</v>
      </c>
      <c r="E70" s="2" t="s">
        <v>113</v>
      </c>
      <c r="F70" s="2" t="str">
        <f>"2170671976 "</f>
        <v xml:space="preserve">2170671976 </v>
      </c>
      <c r="G70" s="2" t="str">
        <f t="shared" si="1"/>
        <v>ON1</v>
      </c>
      <c r="H70" s="2" t="s">
        <v>21</v>
      </c>
      <c r="I70" s="2" t="s">
        <v>114</v>
      </c>
      <c r="J70" s="2" t="str">
        <f>""</f>
        <v/>
      </c>
      <c r="K70" s="2" t="str">
        <f>"PFES1162670508_0001"</f>
        <v>PFES1162670508_0001</v>
      </c>
      <c r="L70" s="2">
        <v>1</v>
      </c>
      <c r="M70" s="2">
        <v>1</v>
      </c>
    </row>
    <row r="71" spans="1:13">
      <c r="A71" s="6">
        <v>43496</v>
      </c>
      <c r="B71" s="7">
        <v>0.61458333333333337</v>
      </c>
      <c r="C71" s="2" t="str">
        <f>"FES1162670523"</f>
        <v>FES1162670523</v>
      </c>
      <c r="D71" s="2" t="s">
        <v>19</v>
      </c>
      <c r="E71" s="2" t="s">
        <v>115</v>
      </c>
      <c r="F71" s="2" t="str">
        <f>"2170672008 "</f>
        <v xml:space="preserve">2170672008 </v>
      </c>
      <c r="G71" s="2" t="str">
        <f t="shared" si="1"/>
        <v>ON1</v>
      </c>
      <c r="H71" s="2" t="s">
        <v>21</v>
      </c>
      <c r="I71" s="2" t="s">
        <v>38</v>
      </c>
      <c r="J71" s="2" t="str">
        <f>""</f>
        <v/>
      </c>
      <c r="K71" s="2" t="str">
        <f>"PFES1162670523_0001"</f>
        <v>PFES1162670523_0001</v>
      </c>
      <c r="L71" s="2">
        <v>1</v>
      </c>
      <c r="M71" s="2">
        <v>1</v>
      </c>
    </row>
    <row r="72" spans="1:13">
      <c r="A72" s="6">
        <v>43496</v>
      </c>
      <c r="B72" s="7">
        <v>0.6069444444444444</v>
      </c>
      <c r="C72" s="2" t="str">
        <f>"FES1162670328"</f>
        <v>FES1162670328</v>
      </c>
      <c r="D72" s="2" t="s">
        <v>19</v>
      </c>
      <c r="E72" s="2" t="s">
        <v>116</v>
      </c>
      <c r="F72" s="2" t="str">
        <f>"2170670318 "</f>
        <v xml:space="preserve">2170670318 </v>
      </c>
      <c r="G72" s="2" t="str">
        <f t="shared" si="1"/>
        <v>ON1</v>
      </c>
      <c r="H72" s="2" t="s">
        <v>21</v>
      </c>
      <c r="I72" s="2" t="s">
        <v>96</v>
      </c>
      <c r="J72" s="2" t="str">
        <f>""</f>
        <v/>
      </c>
      <c r="K72" s="2" t="str">
        <f>"PFES1162670328_0001"</f>
        <v>PFES1162670328_0001</v>
      </c>
      <c r="L72" s="2">
        <v>1</v>
      </c>
      <c r="M72" s="2">
        <v>9</v>
      </c>
    </row>
    <row r="73" spans="1:13">
      <c r="A73" s="6">
        <v>43833</v>
      </c>
      <c r="B73" s="7">
        <v>0.51874999999999993</v>
      </c>
      <c r="C73" s="2" t="str">
        <f>"FES1162729699"</f>
        <v>FES1162729699</v>
      </c>
      <c r="D73" s="2" t="s">
        <v>19</v>
      </c>
      <c r="E73" s="2" t="s">
        <v>117</v>
      </c>
      <c r="F73" s="2" t="str">
        <f>"2170722594 "</f>
        <v xml:space="preserve">2170722594 </v>
      </c>
      <c r="G73" s="2" t="str">
        <f t="shared" si="1"/>
        <v>ON1</v>
      </c>
      <c r="H73" s="2" t="s">
        <v>21</v>
      </c>
      <c r="I73" s="2" t="s">
        <v>85</v>
      </c>
      <c r="J73" s="2" t="str">
        <f>""</f>
        <v/>
      </c>
      <c r="K73" s="2" t="str">
        <f>"PFES1162729699_0001"</f>
        <v>PFES1162729699_0001</v>
      </c>
      <c r="L73" s="2">
        <v>1</v>
      </c>
      <c r="M73" s="2">
        <v>1</v>
      </c>
    </row>
    <row r="74" spans="1:13">
      <c r="A74" s="6">
        <v>43833</v>
      </c>
      <c r="B74" s="7">
        <v>0.51874999999999993</v>
      </c>
      <c r="C74" s="2" t="str">
        <f>"FES1162729698"</f>
        <v>FES1162729698</v>
      </c>
      <c r="D74" s="2" t="s">
        <v>19</v>
      </c>
      <c r="E74" s="2" t="s">
        <v>117</v>
      </c>
      <c r="F74" s="2" t="str">
        <f>"2170722592 "</f>
        <v xml:space="preserve">2170722592 </v>
      </c>
      <c r="G74" s="2" t="str">
        <f t="shared" si="1"/>
        <v>ON1</v>
      </c>
      <c r="H74" s="2" t="s">
        <v>21</v>
      </c>
      <c r="I74" s="2" t="s">
        <v>85</v>
      </c>
      <c r="J74" s="2" t="str">
        <f>""</f>
        <v/>
      </c>
      <c r="K74" s="2" t="str">
        <f>"PFES1162729698_0001"</f>
        <v>PFES1162729698_0001</v>
      </c>
      <c r="L74" s="2">
        <v>1</v>
      </c>
      <c r="M74" s="2">
        <v>1</v>
      </c>
    </row>
    <row r="75" spans="1:13">
      <c r="A75" s="6">
        <v>43833</v>
      </c>
      <c r="B75" s="7">
        <v>0.5131944444444444</v>
      </c>
      <c r="C75" s="2" t="str">
        <f>"FES1162729701"</f>
        <v>FES1162729701</v>
      </c>
      <c r="D75" s="2" t="s">
        <v>19</v>
      </c>
      <c r="E75" s="2" t="s">
        <v>118</v>
      </c>
      <c r="F75" s="2" t="str">
        <f>"217785598 "</f>
        <v xml:space="preserve">217785598 </v>
      </c>
      <c r="G75" s="2" t="str">
        <f t="shared" si="1"/>
        <v>ON1</v>
      </c>
      <c r="H75" s="2" t="s">
        <v>21</v>
      </c>
      <c r="I75" s="2" t="s">
        <v>119</v>
      </c>
      <c r="J75" s="2" t="str">
        <f>""</f>
        <v/>
      </c>
      <c r="K75" s="2" t="str">
        <f>"PFES1162729701_0001"</f>
        <v>PFES1162729701_0001</v>
      </c>
      <c r="L75" s="2">
        <v>1</v>
      </c>
      <c r="M75" s="2">
        <v>1</v>
      </c>
    </row>
    <row r="76" spans="1:13">
      <c r="A76" s="6">
        <v>43833</v>
      </c>
      <c r="B76" s="7">
        <v>0.51250000000000007</v>
      </c>
      <c r="C76" s="2" t="str">
        <f>"FES1162729694"</f>
        <v>FES1162729694</v>
      </c>
      <c r="D76" s="2" t="s">
        <v>19</v>
      </c>
      <c r="E76" s="2" t="s">
        <v>120</v>
      </c>
      <c r="F76" s="2" t="str">
        <f>"2170722590 "</f>
        <v xml:space="preserve">2170722590 </v>
      </c>
      <c r="G76" s="2" t="str">
        <f t="shared" si="1"/>
        <v>ON1</v>
      </c>
      <c r="H76" s="2" t="s">
        <v>21</v>
      </c>
      <c r="I76" s="2" t="s">
        <v>121</v>
      </c>
      <c r="J76" s="2" t="str">
        <f>""</f>
        <v/>
      </c>
      <c r="K76" s="2" t="str">
        <f>"PFES1162729694_0001"</f>
        <v>PFES1162729694_0001</v>
      </c>
      <c r="L76" s="2">
        <v>1</v>
      </c>
      <c r="M76" s="2">
        <v>4</v>
      </c>
    </row>
    <row r="77" spans="1:13">
      <c r="A77" s="6">
        <v>43833</v>
      </c>
      <c r="B77" s="7">
        <v>0.51250000000000007</v>
      </c>
      <c r="C77" s="2" t="str">
        <f>"FES1162729668"</f>
        <v>FES1162729668</v>
      </c>
      <c r="D77" s="2" t="s">
        <v>19</v>
      </c>
      <c r="E77" s="2" t="s">
        <v>30</v>
      </c>
      <c r="F77" s="2" t="str">
        <f>"2170795161 "</f>
        <v xml:space="preserve">2170795161 </v>
      </c>
      <c r="G77" s="2" t="str">
        <f t="shared" si="1"/>
        <v>ON1</v>
      </c>
      <c r="H77" s="2" t="s">
        <v>21</v>
      </c>
      <c r="I77" s="2" t="s">
        <v>31</v>
      </c>
      <c r="J77" s="2" t="str">
        <f>""</f>
        <v/>
      </c>
      <c r="K77" s="2" t="str">
        <f>"PFES1162729668_0001"</f>
        <v>PFES1162729668_0001</v>
      </c>
      <c r="L77" s="2">
        <v>1</v>
      </c>
      <c r="M77" s="2">
        <v>2</v>
      </c>
    </row>
    <row r="78" spans="1:13">
      <c r="A78" s="6">
        <v>43833</v>
      </c>
      <c r="B78" s="7">
        <v>0.51180555555555551</v>
      </c>
      <c r="C78" s="2" t="str">
        <f>"FES1162729675"</f>
        <v>FES1162729675</v>
      </c>
      <c r="D78" s="2" t="s">
        <v>19</v>
      </c>
      <c r="E78" s="2" t="s">
        <v>30</v>
      </c>
      <c r="F78" s="2" t="str">
        <f>"21707130285 "</f>
        <v xml:space="preserve">21707130285 </v>
      </c>
      <c r="G78" s="2" t="str">
        <f t="shared" si="1"/>
        <v>ON1</v>
      </c>
      <c r="H78" s="2" t="s">
        <v>21</v>
      </c>
      <c r="I78" s="2" t="s">
        <v>31</v>
      </c>
      <c r="J78" s="2" t="str">
        <f>""</f>
        <v/>
      </c>
      <c r="K78" s="2" t="str">
        <f>"PFES1162729675_0001"</f>
        <v>PFES1162729675_0001</v>
      </c>
      <c r="L78" s="2">
        <v>1</v>
      </c>
      <c r="M78" s="2">
        <v>7</v>
      </c>
    </row>
    <row r="79" spans="1:13">
      <c r="A79" s="6">
        <v>43833</v>
      </c>
      <c r="B79" s="7">
        <v>0.51180555555555551</v>
      </c>
      <c r="C79" s="2" t="str">
        <f>"FES1162729672"</f>
        <v>FES1162729672</v>
      </c>
      <c r="D79" s="2" t="s">
        <v>19</v>
      </c>
      <c r="E79" s="2" t="s">
        <v>30</v>
      </c>
      <c r="F79" s="2" t="str">
        <f>"2170721081 "</f>
        <v xml:space="preserve">2170721081 </v>
      </c>
      <c r="G79" s="2" t="str">
        <f t="shared" si="1"/>
        <v>ON1</v>
      </c>
      <c r="H79" s="2" t="s">
        <v>21</v>
      </c>
      <c r="I79" s="2" t="s">
        <v>31</v>
      </c>
      <c r="J79" s="2" t="str">
        <f>""</f>
        <v/>
      </c>
      <c r="K79" s="2" t="str">
        <f>"PFES1162729672_0001"</f>
        <v>PFES1162729672_0001</v>
      </c>
      <c r="L79" s="2">
        <v>1</v>
      </c>
      <c r="M79" s="2">
        <v>1</v>
      </c>
    </row>
    <row r="80" spans="1:13">
      <c r="A80" s="6">
        <v>43833</v>
      </c>
      <c r="B80" s="7">
        <v>0.51180555555555551</v>
      </c>
      <c r="C80" s="2" t="str">
        <f>"FES1162729673"</f>
        <v>FES1162729673</v>
      </c>
      <c r="D80" s="2" t="s">
        <v>19</v>
      </c>
      <c r="E80" s="2" t="s">
        <v>30</v>
      </c>
      <c r="F80" s="2" t="str">
        <f>"21707210852 "</f>
        <v xml:space="preserve">21707210852 </v>
      </c>
      <c r="G80" s="2" t="str">
        <f t="shared" si="1"/>
        <v>ON1</v>
      </c>
      <c r="H80" s="2" t="s">
        <v>21</v>
      </c>
      <c r="I80" s="2" t="s">
        <v>31</v>
      </c>
      <c r="J80" s="2" t="str">
        <f>""</f>
        <v/>
      </c>
      <c r="K80" s="2" t="str">
        <f>"PFES1162729673_0001"</f>
        <v>PFES1162729673_0001</v>
      </c>
      <c r="L80" s="2">
        <v>1</v>
      </c>
      <c r="M80" s="2">
        <v>1</v>
      </c>
    </row>
    <row r="81" spans="1:13">
      <c r="A81" s="6">
        <v>43833</v>
      </c>
      <c r="B81" s="7">
        <v>0.51111111111111118</v>
      </c>
      <c r="C81" s="2" t="str">
        <f>"FES1162729547"</f>
        <v>FES1162729547</v>
      </c>
      <c r="D81" s="2" t="s">
        <v>19</v>
      </c>
      <c r="E81" s="2" t="s">
        <v>122</v>
      </c>
      <c r="F81" s="2" t="str">
        <f>"2170722487 "</f>
        <v xml:space="preserve">2170722487 </v>
      </c>
      <c r="G81" s="2" t="str">
        <f t="shared" si="1"/>
        <v>ON1</v>
      </c>
      <c r="H81" s="2" t="s">
        <v>21</v>
      </c>
      <c r="I81" s="2" t="s">
        <v>123</v>
      </c>
      <c r="J81" s="2" t="str">
        <f>""</f>
        <v/>
      </c>
      <c r="K81" s="2" t="str">
        <f>"PFES1162729547_0001"</f>
        <v>PFES1162729547_0001</v>
      </c>
      <c r="L81" s="2">
        <v>1</v>
      </c>
      <c r="M81" s="2">
        <v>1</v>
      </c>
    </row>
    <row r="82" spans="1:13">
      <c r="A82" s="6">
        <v>43833</v>
      </c>
      <c r="B82" s="7">
        <v>0.51111111111111118</v>
      </c>
      <c r="C82" s="2" t="str">
        <f>"FES1162729697"</f>
        <v>FES1162729697</v>
      </c>
      <c r="D82" s="2" t="s">
        <v>19</v>
      </c>
      <c r="E82" s="2" t="s">
        <v>124</v>
      </c>
      <c r="F82" s="2" t="str">
        <f>"2170722595 "</f>
        <v xml:space="preserve">2170722595 </v>
      </c>
      <c r="G82" s="2" t="str">
        <f t="shared" si="1"/>
        <v>ON1</v>
      </c>
      <c r="H82" s="2" t="s">
        <v>21</v>
      </c>
      <c r="I82" s="2" t="s">
        <v>125</v>
      </c>
      <c r="J82" s="2" t="str">
        <f>""</f>
        <v/>
      </c>
      <c r="K82" s="2" t="str">
        <f>"PFES1162729697_0001"</f>
        <v>PFES1162729697_0001</v>
      </c>
      <c r="L82" s="2">
        <v>1</v>
      </c>
      <c r="M82" s="2">
        <v>2</v>
      </c>
    </row>
    <row r="83" spans="1:13">
      <c r="A83" s="6">
        <v>43833</v>
      </c>
      <c r="B83" s="7">
        <v>0.51041666666666663</v>
      </c>
      <c r="C83" s="2" t="str">
        <f>"FES1162729696"</f>
        <v>FES1162729696</v>
      </c>
      <c r="D83" s="2" t="s">
        <v>19</v>
      </c>
      <c r="E83" s="2" t="s">
        <v>126</v>
      </c>
      <c r="F83" s="2" t="str">
        <f>"2170722580 "</f>
        <v xml:space="preserve">2170722580 </v>
      </c>
      <c r="G83" s="2" t="str">
        <f t="shared" si="1"/>
        <v>ON1</v>
      </c>
      <c r="H83" s="2" t="s">
        <v>21</v>
      </c>
      <c r="I83" s="2" t="s">
        <v>127</v>
      </c>
      <c r="J83" s="2" t="str">
        <f>""</f>
        <v/>
      </c>
      <c r="K83" s="2" t="str">
        <f>"PFES1162729696_0001"</f>
        <v>PFES1162729696_0001</v>
      </c>
      <c r="L83" s="2">
        <v>1</v>
      </c>
      <c r="M83" s="2">
        <v>2</v>
      </c>
    </row>
    <row r="84" spans="1:13">
      <c r="A84" s="6">
        <v>43833</v>
      </c>
      <c r="B84" s="7">
        <v>0.50972222222222219</v>
      </c>
      <c r="C84" s="2" t="str">
        <f>"FES1162729685"</f>
        <v>FES1162729685</v>
      </c>
      <c r="D84" s="2" t="s">
        <v>19</v>
      </c>
      <c r="E84" s="2" t="s">
        <v>118</v>
      </c>
      <c r="F84" s="2" t="str">
        <f>"2170722581 "</f>
        <v xml:space="preserve">2170722581 </v>
      </c>
      <c r="G84" s="2" t="str">
        <f t="shared" si="1"/>
        <v>ON1</v>
      </c>
      <c r="H84" s="2" t="s">
        <v>21</v>
      </c>
      <c r="I84" s="2" t="s">
        <v>119</v>
      </c>
      <c r="J84" s="2" t="str">
        <f>""</f>
        <v/>
      </c>
      <c r="K84" s="2" t="str">
        <f>"PFES1162729685_0001"</f>
        <v>PFES1162729685_0001</v>
      </c>
      <c r="L84" s="2">
        <v>1</v>
      </c>
      <c r="M84" s="2">
        <v>4</v>
      </c>
    </row>
    <row r="85" spans="1:13">
      <c r="A85" s="6">
        <v>43833</v>
      </c>
      <c r="B85" s="7">
        <v>0.50972222222222219</v>
      </c>
      <c r="C85" s="2" t="str">
        <f>"FES1162729590"</f>
        <v>FES1162729590</v>
      </c>
      <c r="D85" s="2" t="s">
        <v>19</v>
      </c>
      <c r="E85" s="2" t="s">
        <v>42</v>
      </c>
      <c r="F85" s="2" t="str">
        <f>"2170719086 "</f>
        <v xml:space="preserve">2170719086 </v>
      </c>
      <c r="G85" s="2" t="str">
        <f t="shared" si="1"/>
        <v>ON1</v>
      </c>
      <c r="H85" s="2" t="s">
        <v>21</v>
      </c>
      <c r="I85" s="2" t="s">
        <v>43</v>
      </c>
      <c r="J85" s="2" t="str">
        <f>""</f>
        <v/>
      </c>
      <c r="K85" s="2" t="str">
        <f>"PFES1162729590_0001"</f>
        <v>PFES1162729590_0001</v>
      </c>
      <c r="L85" s="2">
        <v>1</v>
      </c>
      <c r="M85" s="2">
        <v>14</v>
      </c>
    </row>
    <row r="86" spans="1:13">
      <c r="A86" s="6">
        <v>43833</v>
      </c>
      <c r="B86" s="7">
        <v>0.50972222222222219</v>
      </c>
      <c r="C86" s="2" t="str">
        <f>"FES1162729688"</f>
        <v>FES1162729688</v>
      </c>
      <c r="D86" s="2" t="s">
        <v>19</v>
      </c>
      <c r="E86" s="2" t="s">
        <v>128</v>
      </c>
      <c r="F86" s="2" t="str">
        <f>"2170722585 "</f>
        <v xml:space="preserve">2170722585 </v>
      </c>
      <c r="G86" s="2" t="str">
        <f t="shared" si="1"/>
        <v>ON1</v>
      </c>
      <c r="H86" s="2" t="s">
        <v>21</v>
      </c>
      <c r="I86" s="2" t="s">
        <v>129</v>
      </c>
      <c r="J86" s="2" t="str">
        <f>""</f>
        <v/>
      </c>
      <c r="K86" s="2" t="str">
        <f>"PFES1162729688_0001"</f>
        <v>PFES1162729688_0001</v>
      </c>
      <c r="L86" s="2">
        <v>1</v>
      </c>
      <c r="M86" s="2">
        <v>2</v>
      </c>
    </row>
    <row r="87" spans="1:13">
      <c r="A87" s="6">
        <v>43833</v>
      </c>
      <c r="B87" s="7">
        <v>0.50902777777777775</v>
      </c>
      <c r="C87" s="2" t="str">
        <f>"FES1162729695"</f>
        <v>FES1162729695</v>
      </c>
      <c r="D87" s="2" t="s">
        <v>19</v>
      </c>
      <c r="E87" s="2" t="s">
        <v>44</v>
      </c>
      <c r="F87" s="2" t="str">
        <f>"2170722593 "</f>
        <v xml:space="preserve">2170722593 </v>
      </c>
      <c r="G87" s="2" t="str">
        <f t="shared" si="1"/>
        <v>ON1</v>
      </c>
      <c r="H87" s="2" t="s">
        <v>21</v>
      </c>
      <c r="I87" s="2" t="s">
        <v>85</v>
      </c>
      <c r="J87" s="2" t="str">
        <f>""</f>
        <v/>
      </c>
      <c r="K87" s="2" t="str">
        <f>"PFES1162729695_0001"</f>
        <v>PFES1162729695_0001</v>
      </c>
      <c r="L87" s="2">
        <v>1</v>
      </c>
      <c r="M87" s="2">
        <v>3</v>
      </c>
    </row>
    <row r="88" spans="1:13">
      <c r="A88" s="6">
        <v>43833</v>
      </c>
      <c r="B88" s="7">
        <v>0.50902777777777775</v>
      </c>
      <c r="C88" s="2" t="str">
        <f>"FES1162729671"</f>
        <v>FES1162729671</v>
      </c>
      <c r="D88" s="2" t="s">
        <v>19</v>
      </c>
      <c r="E88" s="2" t="s">
        <v>30</v>
      </c>
      <c r="F88" s="2" t="str">
        <f>"2170721079 "</f>
        <v xml:space="preserve">2170721079 </v>
      </c>
      <c r="G88" s="2" t="str">
        <f t="shared" si="1"/>
        <v>ON1</v>
      </c>
      <c r="H88" s="2" t="s">
        <v>21</v>
      </c>
      <c r="I88" s="2" t="s">
        <v>31</v>
      </c>
      <c r="J88" s="2" t="str">
        <f>""</f>
        <v/>
      </c>
      <c r="K88" s="2" t="str">
        <f>"PFES1162729671_0001"</f>
        <v>PFES1162729671_0001</v>
      </c>
      <c r="L88" s="2">
        <v>1</v>
      </c>
      <c r="M88" s="2">
        <v>2</v>
      </c>
    </row>
    <row r="89" spans="1:13">
      <c r="A89" s="6">
        <v>43833</v>
      </c>
      <c r="B89" s="7">
        <v>0.5083333333333333</v>
      </c>
      <c r="C89" s="2" t="str">
        <f>"FES1162729684"</f>
        <v>FES1162729684</v>
      </c>
      <c r="D89" s="2" t="s">
        <v>19</v>
      </c>
      <c r="E89" s="2" t="s">
        <v>130</v>
      </c>
      <c r="F89" s="2" t="str">
        <f>"2170722579 "</f>
        <v xml:space="preserve">2170722579 </v>
      </c>
      <c r="G89" s="2" t="str">
        <f t="shared" si="1"/>
        <v>ON1</v>
      </c>
      <c r="H89" s="2" t="s">
        <v>21</v>
      </c>
      <c r="I89" s="2" t="s">
        <v>131</v>
      </c>
      <c r="J89" s="2" t="str">
        <f>""</f>
        <v/>
      </c>
      <c r="K89" s="2" t="str">
        <f>"PFES1162729684_0001"</f>
        <v>PFES1162729684_0001</v>
      </c>
      <c r="L89" s="2">
        <v>1</v>
      </c>
      <c r="M89" s="2">
        <v>3</v>
      </c>
    </row>
    <row r="90" spans="1:13">
      <c r="A90" s="6">
        <v>43833</v>
      </c>
      <c r="B90" s="7">
        <v>0.5083333333333333</v>
      </c>
      <c r="C90" s="2" t="str">
        <f>"FES1162729690"</f>
        <v>FES1162729690</v>
      </c>
      <c r="D90" s="2" t="s">
        <v>19</v>
      </c>
      <c r="E90" s="2" t="s">
        <v>117</v>
      </c>
      <c r="F90" s="2" t="str">
        <f>"2170722584 "</f>
        <v xml:space="preserve">2170722584 </v>
      </c>
      <c r="G90" s="2" t="str">
        <f t="shared" si="1"/>
        <v>ON1</v>
      </c>
      <c r="H90" s="2" t="s">
        <v>21</v>
      </c>
      <c r="I90" s="2" t="s">
        <v>85</v>
      </c>
      <c r="J90" s="2" t="str">
        <f>""</f>
        <v/>
      </c>
      <c r="K90" s="2" t="str">
        <f>"PFES1162729690_0001"</f>
        <v>PFES1162729690_0001</v>
      </c>
      <c r="L90" s="2">
        <v>1</v>
      </c>
      <c r="M90" s="2">
        <v>1</v>
      </c>
    </row>
    <row r="91" spans="1:13">
      <c r="A91" s="6">
        <v>43833</v>
      </c>
      <c r="B91" s="7">
        <v>0.5083333333333333</v>
      </c>
      <c r="C91" s="2" t="str">
        <f>"FES1162729693"</f>
        <v>FES1162729693</v>
      </c>
      <c r="D91" s="2" t="s">
        <v>19</v>
      </c>
      <c r="E91" s="2" t="s">
        <v>117</v>
      </c>
      <c r="F91" s="2" t="str">
        <f>"2170722589 "</f>
        <v xml:space="preserve">2170722589 </v>
      </c>
      <c r="G91" s="2" t="str">
        <f t="shared" si="1"/>
        <v>ON1</v>
      </c>
      <c r="H91" s="2" t="s">
        <v>21</v>
      </c>
      <c r="I91" s="2" t="s">
        <v>85</v>
      </c>
      <c r="J91" s="2" t="str">
        <f>""</f>
        <v/>
      </c>
      <c r="K91" s="2" t="str">
        <f>"PFES1162729693_0001"</f>
        <v>PFES1162729693_0001</v>
      </c>
      <c r="L91" s="2">
        <v>1</v>
      </c>
      <c r="M91" s="2">
        <v>1</v>
      </c>
    </row>
    <row r="92" spans="1:13">
      <c r="A92" s="6">
        <v>43833</v>
      </c>
      <c r="B92" s="7">
        <v>0.50763888888888886</v>
      </c>
      <c r="C92" s="2" t="str">
        <f>"FES1162729691"</f>
        <v>FES1162729691</v>
      </c>
      <c r="D92" s="2" t="s">
        <v>19</v>
      </c>
      <c r="E92" s="2" t="s">
        <v>117</v>
      </c>
      <c r="F92" s="2" t="str">
        <f>"2170722587 "</f>
        <v xml:space="preserve">2170722587 </v>
      </c>
      <c r="G92" s="2" t="str">
        <f t="shared" si="1"/>
        <v>ON1</v>
      </c>
      <c r="H92" s="2" t="s">
        <v>21</v>
      </c>
      <c r="I92" s="2" t="s">
        <v>85</v>
      </c>
      <c r="J92" s="2" t="str">
        <f>""</f>
        <v/>
      </c>
      <c r="K92" s="2" t="str">
        <f>"PFES1162729691_0001"</f>
        <v>PFES1162729691_0001</v>
      </c>
      <c r="L92" s="2">
        <v>1</v>
      </c>
      <c r="M92" s="2">
        <v>1</v>
      </c>
    </row>
    <row r="93" spans="1:13">
      <c r="A93" s="6">
        <v>43833</v>
      </c>
      <c r="B93" s="7">
        <v>0.50763888888888886</v>
      </c>
      <c r="C93" s="2" t="str">
        <f>"FES1162729692"</f>
        <v>FES1162729692</v>
      </c>
      <c r="D93" s="2" t="s">
        <v>19</v>
      </c>
      <c r="E93" s="2" t="s">
        <v>132</v>
      </c>
      <c r="F93" s="2" t="str">
        <f>"2170722588 "</f>
        <v xml:space="preserve">2170722588 </v>
      </c>
      <c r="G93" s="2" t="str">
        <f t="shared" si="1"/>
        <v>ON1</v>
      </c>
      <c r="H93" s="2" t="s">
        <v>21</v>
      </c>
      <c r="I93" s="2" t="s">
        <v>133</v>
      </c>
      <c r="J93" s="2" t="str">
        <f>""</f>
        <v/>
      </c>
      <c r="K93" s="2" t="str">
        <f>"PFES1162729692_0001"</f>
        <v>PFES1162729692_0001</v>
      </c>
      <c r="L93" s="2">
        <v>1</v>
      </c>
      <c r="M93" s="2">
        <v>1</v>
      </c>
    </row>
    <row r="94" spans="1:13">
      <c r="A94" s="6">
        <v>43833</v>
      </c>
      <c r="B94" s="7">
        <v>0.50763888888888886</v>
      </c>
      <c r="C94" s="2" t="str">
        <f>"FES1162729680"</f>
        <v>FES1162729680</v>
      </c>
      <c r="D94" s="2" t="s">
        <v>19</v>
      </c>
      <c r="E94" s="2" t="s">
        <v>134</v>
      </c>
      <c r="F94" s="2" t="str">
        <f>"2170722578 "</f>
        <v xml:space="preserve">2170722578 </v>
      </c>
      <c r="G94" s="2" t="str">
        <f t="shared" ref="G94:G100" si="2">"ON1"</f>
        <v>ON1</v>
      </c>
      <c r="H94" s="2" t="s">
        <v>21</v>
      </c>
      <c r="I94" s="2" t="s">
        <v>135</v>
      </c>
      <c r="J94" s="2" t="str">
        <f>""</f>
        <v/>
      </c>
      <c r="K94" s="2" t="str">
        <f>"PFES1162729680_0001"</f>
        <v>PFES1162729680_0001</v>
      </c>
      <c r="L94" s="2">
        <v>1</v>
      </c>
      <c r="M94" s="2">
        <v>1</v>
      </c>
    </row>
    <row r="95" spans="1:13">
      <c r="A95" s="6">
        <v>43833</v>
      </c>
      <c r="B95" s="7">
        <v>0.50763888888888886</v>
      </c>
      <c r="C95" s="2" t="str">
        <f>"FES1162729687"</f>
        <v>FES1162729687</v>
      </c>
      <c r="D95" s="2" t="s">
        <v>19</v>
      </c>
      <c r="E95" s="2" t="s">
        <v>136</v>
      </c>
      <c r="F95" s="2" t="str">
        <f>"2170722583 "</f>
        <v xml:space="preserve">2170722583 </v>
      </c>
      <c r="G95" s="2" t="str">
        <f t="shared" si="2"/>
        <v>ON1</v>
      </c>
      <c r="H95" s="2" t="s">
        <v>21</v>
      </c>
      <c r="I95" s="2" t="s">
        <v>137</v>
      </c>
      <c r="J95" s="2" t="str">
        <f>""</f>
        <v/>
      </c>
      <c r="K95" s="2" t="str">
        <f>"PFES1162729687_0001"</f>
        <v>PFES1162729687_0001</v>
      </c>
      <c r="L95" s="2">
        <v>1</v>
      </c>
      <c r="M95" s="2">
        <v>1</v>
      </c>
    </row>
    <row r="96" spans="1:13">
      <c r="A96" s="6">
        <v>43833</v>
      </c>
      <c r="B96" s="7">
        <v>0.48472222222222222</v>
      </c>
      <c r="C96" s="2" t="str">
        <f>"FES1162729677"</f>
        <v>FES1162729677</v>
      </c>
      <c r="D96" s="2" t="s">
        <v>19</v>
      </c>
      <c r="E96" s="2" t="s">
        <v>138</v>
      </c>
      <c r="F96" s="2" t="str">
        <f>"2170722548 "</f>
        <v xml:space="preserve">2170722548 </v>
      </c>
      <c r="G96" s="2" t="str">
        <f t="shared" si="2"/>
        <v>ON1</v>
      </c>
      <c r="H96" s="2" t="s">
        <v>21</v>
      </c>
      <c r="I96" s="2" t="s">
        <v>139</v>
      </c>
      <c r="J96" s="2" t="str">
        <f>""</f>
        <v/>
      </c>
      <c r="K96" s="2" t="str">
        <f>"PFES1162729677_0001"</f>
        <v>PFES1162729677_0001</v>
      </c>
      <c r="L96" s="2">
        <v>1</v>
      </c>
      <c r="M96" s="2">
        <v>5</v>
      </c>
    </row>
    <row r="97" spans="1:13">
      <c r="A97" s="6">
        <v>43833</v>
      </c>
      <c r="B97" s="7">
        <v>0.48402777777777778</v>
      </c>
      <c r="C97" s="2" t="str">
        <f>"FES1162729686"</f>
        <v>FES1162729686</v>
      </c>
      <c r="D97" s="2" t="s">
        <v>19</v>
      </c>
      <c r="E97" s="2" t="s">
        <v>117</v>
      </c>
      <c r="F97" s="2" t="str">
        <f>"2170722582 "</f>
        <v xml:space="preserve">2170722582 </v>
      </c>
      <c r="G97" s="2" t="str">
        <f t="shared" si="2"/>
        <v>ON1</v>
      </c>
      <c r="H97" s="2" t="s">
        <v>21</v>
      </c>
      <c r="I97" s="2" t="s">
        <v>85</v>
      </c>
      <c r="J97" s="2" t="str">
        <f>""</f>
        <v/>
      </c>
      <c r="K97" s="2" t="str">
        <f>"PFES1162729686_0001"</f>
        <v>PFES1162729686_0001</v>
      </c>
      <c r="L97" s="2">
        <v>1</v>
      </c>
      <c r="M97" s="2">
        <v>1</v>
      </c>
    </row>
    <row r="98" spans="1:13">
      <c r="A98" s="6">
        <v>43833</v>
      </c>
      <c r="B98" s="7">
        <v>0.48055555555555557</v>
      </c>
      <c r="C98" s="2" t="str">
        <f>"FES1162729689"</f>
        <v>FES1162729689</v>
      </c>
      <c r="D98" s="2" t="s">
        <v>19</v>
      </c>
      <c r="E98" s="2" t="s">
        <v>128</v>
      </c>
      <c r="F98" s="2" t="str">
        <f>"2170725586 "</f>
        <v xml:space="preserve">2170725586 </v>
      </c>
      <c r="G98" s="2" t="str">
        <f t="shared" si="2"/>
        <v>ON1</v>
      </c>
      <c r="H98" s="2" t="s">
        <v>21</v>
      </c>
      <c r="I98" s="2" t="s">
        <v>129</v>
      </c>
      <c r="J98" s="2" t="str">
        <f>""</f>
        <v/>
      </c>
      <c r="K98" s="2" t="str">
        <f>"PFES1162729689_0001"</f>
        <v>PFES1162729689_0001</v>
      </c>
      <c r="L98" s="2">
        <v>1</v>
      </c>
      <c r="M98" s="2">
        <v>2</v>
      </c>
    </row>
    <row r="99" spans="1:13">
      <c r="A99" s="6">
        <v>43833</v>
      </c>
      <c r="B99" s="7">
        <v>0.47986111111111113</v>
      </c>
      <c r="C99" s="2" t="str">
        <f>"FES1162729628"</f>
        <v>FES1162729628</v>
      </c>
      <c r="D99" s="2" t="s">
        <v>19</v>
      </c>
      <c r="E99" s="2" t="s">
        <v>140</v>
      </c>
      <c r="F99" s="2" t="str">
        <f>"2170722521 "</f>
        <v xml:space="preserve">2170722521 </v>
      </c>
      <c r="G99" s="2" t="str">
        <f t="shared" si="2"/>
        <v>ON1</v>
      </c>
      <c r="H99" s="2" t="s">
        <v>21</v>
      </c>
      <c r="I99" s="2" t="s">
        <v>78</v>
      </c>
      <c r="J99" s="2" t="str">
        <f>""</f>
        <v/>
      </c>
      <c r="K99" s="2" t="str">
        <f>"PFES1162729628_0001"</f>
        <v>PFES1162729628_0001</v>
      </c>
      <c r="L99" s="2">
        <v>1</v>
      </c>
      <c r="M99" s="2">
        <v>1</v>
      </c>
    </row>
    <row r="100" spans="1:13">
      <c r="A100" s="6">
        <v>43833</v>
      </c>
      <c r="B100" s="7">
        <v>0.47986111111111113</v>
      </c>
      <c r="C100" s="2" t="str">
        <f>"FES1162729593"</f>
        <v>FES1162729593</v>
      </c>
      <c r="D100" s="2" t="s">
        <v>19</v>
      </c>
      <c r="E100" s="2" t="s">
        <v>141</v>
      </c>
      <c r="F100" s="2" t="str">
        <f>"2170719454 "</f>
        <v xml:space="preserve">2170719454 </v>
      </c>
      <c r="G100" s="2" t="str">
        <f t="shared" si="2"/>
        <v>ON1</v>
      </c>
      <c r="H100" s="2" t="s">
        <v>21</v>
      </c>
      <c r="I100" s="2" t="s">
        <v>90</v>
      </c>
      <c r="J100" s="2" t="str">
        <f>""</f>
        <v/>
      </c>
      <c r="K100" s="2" t="str">
        <f>"PFES1162729593_0001"</f>
        <v>PFES1162729593_0001</v>
      </c>
      <c r="L100" s="2">
        <v>1</v>
      </c>
      <c r="M100" s="2">
        <v>2</v>
      </c>
    </row>
    <row r="101" spans="1:13">
      <c r="A101" s="6">
        <v>43833</v>
      </c>
      <c r="B101" s="7">
        <v>0.47916666666666669</v>
      </c>
      <c r="C101" s="2" t="str">
        <f>"FES1162729563"</f>
        <v>FES1162729563</v>
      </c>
      <c r="D101" s="2" t="s">
        <v>19</v>
      </c>
      <c r="E101" s="2" t="s">
        <v>142</v>
      </c>
      <c r="F101" s="2" t="str">
        <f>"2170722519 "</f>
        <v xml:space="preserve">2170722519 </v>
      </c>
      <c r="G101" s="2" t="str">
        <f>"DBC"</f>
        <v>DBC</v>
      </c>
      <c r="H101" s="2" t="s">
        <v>21</v>
      </c>
      <c r="I101" s="2" t="s">
        <v>123</v>
      </c>
      <c r="J101" s="2" t="str">
        <f>""</f>
        <v/>
      </c>
      <c r="K101" s="2" t="str">
        <f>"PFES1162729563_0001"</f>
        <v>PFES1162729563_0001</v>
      </c>
      <c r="L101" s="2">
        <v>1</v>
      </c>
      <c r="M101" s="2">
        <v>22</v>
      </c>
    </row>
    <row r="102" spans="1:13">
      <c r="A102" s="6">
        <v>43833</v>
      </c>
      <c r="B102" s="7">
        <v>0.47916666666666669</v>
      </c>
      <c r="C102" s="2" t="str">
        <f>"FES1162729602"</f>
        <v>FES1162729602</v>
      </c>
      <c r="D102" s="2" t="s">
        <v>19</v>
      </c>
      <c r="E102" s="2" t="s">
        <v>143</v>
      </c>
      <c r="F102" s="2" t="str">
        <f>"2170720312 "</f>
        <v xml:space="preserve">2170720312 </v>
      </c>
      <c r="G102" s="2" t="str">
        <f t="shared" ref="G102:G141" si="3">"ON1"</f>
        <v>ON1</v>
      </c>
      <c r="H102" s="2" t="s">
        <v>21</v>
      </c>
      <c r="I102" s="2" t="s">
        <v>137</v>
      </c>
      <c r="J102" s="2" t="str">
        <f>""</f>
        <v/>
      </c>
      <c r="K102" s="2" t="str">
        <f>"PFES1162729602_0001"</f>
        <v>PFES1162729602_0001</v>
      </c>
      <c r="L102" s="2">
        <v>1</v>
      </c>
      <c r="M102" s="2">
        <v>7</v>
      </c>
    </row>
    <row r="103" spans="1:13">
      <c r="A103" s="6">
        <v>43833</v>
      </c>
      <c r="B103" s="7">
        <v>0.47847222222222219</v>
      </c>
      <c r="C103" s="2" t="str">
        <f>"FES1162729608"</f>
        <v>FES1162729608</v>
      </c>
      <c r="D103" s="2" t="s">
        <v>19</v>
      </c>
      <c r="E103" s="2" t="s">
        <v>143</v>
      </c>
      <c r="F103" s="2" t="str">
        <f>"2170721296 "</f>
        <v xml:space="preserve">2170721296 </v>
      </c>
      <c r="G103" s="2" t="str">
        <f t="shared" si="3"/>
        <v>ON1</v>
      </c>
      <c r="H103" s="2" t="s">
        <v>21</v>
      </c>
      <c r="I103" s="2" t="s">
        <v>137</v>
      </c>
      <c r="J103" s="2" t="str">
        <f>""</f>
        <v/>
      </c>
      <c r="K103" s="2" t="str">
        <f>"PFES1162729608_0001"</f>
        <v>PFES1162729608_0001</v>
      </c>
      <c r="L103" s="2">
        <v>1</v>
      </c>
      <c r="M103" s="2">
        <v>10</v>
      </c>
    </row>
    <row r="104" spans="1:13">
      <c r="A104" s="6">
        <v>43833</v>
      </c>
      <c r="B104" s="7">
        <v>0.4465277777777778</v>
      </c>
      <c r="C104" s="2" t="str">
        <f>"FES1162729681"</f>
        <v>FES1162729681</v>
      </c>
      <c r="D104" s="2" t="s">
        <v>19</v>
      </c>
      <c r="E104" s="2" t="s">
        <v>144</v>
      </c>
      <c r="F104" s="2" t="str">
        <f>"2170722572 "</f>
        <v xml:space="preserve">2170722572 </v>
      </c>
      <c r="G104" s="2" t="str">
        <f t="shared" si="3"/>
        <v>ON1</v>
      </c>
      <c r="H104" s="2" t="s">
        <v>21</v>
      </c>
      <c r="I104" s="2" t="s">
        <v>34</v>
      </c>
      <c r="J104" s="2" t="str">
        <f>""</f>
        <v/>
      </c>
      <c r="K104" s="2" t="str">
        <f>"PFES1162729681_0001"</f>
        <v>PFES1162729681_0001</v>
      </c>
      <c r="L104" s="2">
        <v>1</v>
      </c>
      <c r="M104" s="2">
        <v>4</v>
      </c>
    </row>
    <row r="105" spans="1:13">
      <c r="A105" s="6">
        <v>43833</v>
      </c>
      <c r="B105" s="7">
        <v>0.4465277777777778</v>
      </c>
      <c r="C105" s="2" t="str">
        <f>"FES1162729682"</f>
        <v>FES1162729682</v>
      </c>
      <c r="D105" s="2" t="s">
        <v>19</v>
      </c>
      <c r="E105" s="2" t="s">
        <v>144</v>
      </c>
      <c r="F105" s="2" t="str">
        <f>"2170722573 "</f>
        <v xml:space="preserve">2170722573 </v>
      </c>
      <c r="G105" s="2" t="str">
        <f t="shared" si="3"/>
        <v>ON1</v>
      </c>
      <c r="H105" s="2" t="s">
        <v>21</v>
      </c>
      <c r="I105" s="2" t="s">
        <v>34</v>
      </c>
      <c r="J105" s="2" t="str">
        <f>""</f>
        <v/>
      </c>
      <c r="K105" s="2" t="str">
        <f>"PFES1162729682_0001"</f>
        <v>PFES1162729682_0001</v>
      </c>
      <c r="L105" s="2">
        <v>1</v>
      </c>
      <c r="M105" s="2">
        <v>7</v>
      </c>
    </row>
    <row r="106" spans="1:13">
      <c r="A106" s="6">
        <v>43833</v>
      </c>
      <c r="B106" s="7">
        <v>0.4465277777777778</v>
      </c>
      <c r="C106" s="2" t="str">
        <f>"FES1162729551"</f>
        <v>FES1162729551</v>
      </c>
      <c r="D106" s="2" t="s">
        <v>19</v>
      </c>
      <c r="E106" s="2" t="s">
        <v>145</v>
      </c>
      <c r="F106" s="2" t="str">
        <f>"2170722495 "</f>
        <v xml:space="preserve">2170722495 </v>
      </c>
      <c r="G106" s="2" t="str">
        <f t="shared" si="3"/>
        <v>ON1</v>
      </c>
      <c r="H106" s="2" t="s">
        <v>21</v>
      </c>
      <c r="I106" s="2" t="s">
        <v>146</v>
      </c>
      <c r="J106" s="2" t="str">
        <f>""</f>
        <v/>
      </c>
      <c r="K106" s="2" t="str">
        <f>"PFES1162729551_0001"</f>
        <v>PFES1162729551_0001</v>
      </c>
      <c r="L106" s="2">
        <v>1</v>
      </c>
      <c r="M106" s="2">
        <v>2</v>
      </c>
    </row>
    <row r="107" spans="1:13">
      <c r="A107" s="6">
        <v>43833</v>
      </c>
      <c r="B107" s="7">
        <v>0.44236111111111115</v>
      </c>
      <c r="C107" s="2" t="str">
        <f>"FES1162729633"</f>
        <v>FES1162729633</v>
      </c>
      <c r="D107" s="2" t="s">
        <v>19</v>
      </c>
      <c r="E107" s="2" t="s">
        <v>147</v>
      </c>
      <c r="F107" s="2" t="str">
        <f>"2170722501 "</f>
        <v xml:space="preserve">2170722501 </v>
      </c>
      <c r="G107" s="2" t="str">
        <f t="shared" si="3"/>
        <v>ON1</v>
      </c>
      <c r="H107" s="2" t="s">
        <v>21</v>
      </c>
      <c r="I107" s="2" t="s">
        <v>148</v>
      </c>
      <c r="J107" s="2" t="str">
        <f>""</f>
        <v/>
      </c>
      <c r="K107" s="2" t="str">
        <f>"PFES1162729633_0001"</f>
        <v>PFES1162729633_0001</v>
      </c>
      <c r="L107" s="2">
        <v>1</v>
      </c>
      <c r="M107" s="2">
        <v>9</v>
      </c>
    </row>
    <row r="108" spans="1:13">
      <c r="A108" s="6">
        <v>43833</v>
      </c>
      <c r="B108" s="7">
        <v>0.44097222222222227</v>
      </c>
      <c r="C108" s="2" t="str">
        <f>"FES1162729586"</f>
        <v>FES1162729586</v>
      </c>
      <c r="D108" s="2" t="s">
        <v>19</v>
      </c>
      <c r="E108" s="2" t="s">
        <v>30</v>
      </c>
      <c r="F108" s="2" t="str">
        <f>"2170718831 "</f>
        <v xml:space="preserve">2170718831 </v>
      </c>
      <c r="G108" s="2" t="str">
        <f t="shared" si="3"/>
        <v>ON1</v>
      </c>
      <c r="H108" s="2" t="s">
        <v>21</v>
      </c>
      <c r="I108" s="2" t="s">
        <v>31</v>
      </c>
      <c r="J108" s="2" t="str">
        <f>""</f>
        <v/>
      </c>
      <c r="K108" s="2" t="str">
        <f>"PFES1162729586_0001"</f>
        <v>PFES1162729586_0001</v>
      </c>
      <c r="L108" s="2">
        <v>1</v>
      </c>
      <c r="M108" s="2">
        <v>13</v>
      </c>
    </row>
    <row r="109" spans="1:13">
      <c r="A109" s="6">
        <v>43833</v>
      </c>
      <c r="B109" s="7">
        <v>0.44027777777777777</v>
      </c>
      <c r="C109" s="2" t="str">
        <f>"FES1162729583"</f>
        <v>FES1162729583</v>
      </c>
      <c r="D109" s="2" t="s">
        <v>19</v>
      </c>
      <c r="E109" s="2" t="s">
        <v>30</v>
      </c>
      <c r="F109" s="2" t="str">
        <f>"2170718642 "</f>
        <v xml:space="preserve">2170718642 </v>
      </c>
      <c r="G109" s="2" t="str">
        <f t="shared" si="3"/>
        <v>ON1</v>
      </c>
      <c r="H109" s="2" t="s">
        <v>21</v>
      </c>
      <c r="I109" s="2" t="s">
        <v>31</v>
      </c>
      <c r="J109" s="2" t="str">
        <f>""</f>
        <v/>
      </c>
      <c r="K109" s="2" t="str">
        <f>"PFES1162729583_0001"</f>
        <v>PFES1162729583_0001</v>
      </c>
      <c r="L109" s="2">
        <v>1</v>
      </c>
      <c r="M109" s="2">
        <v>13</v>
      </c>
    </row>
    <row r="110" spans="1:13">
      <c r="A110" s="6">
        <v>43833</v>
      </c>
      <c r="B110" s="7">
        <v>0.4375</v>
      </c>
      <c r="C110" s="2" t="str">
        <f>"FES1162729626"</f>
        <v>FES1162729626</v>
      </c>
      <c r="D110" s="2" t="s">
        <v>19</v>
      </c>
      <c r="E110" s="2" t="s">
        <v>149</v>
      </c>
      <c r="F110" s="2" t="str">
        <f>"2170722507 "</f>
        <v xml:space="preserve">2170722507 </v>
      </c>
      <c r="G110" s="2" t="str">
        <f t="shared" si="3"/>
        <v>ON1</v>
      </c>
      <c r="H110" s="2" t="s">
        <v>21</v>
      </c>
      <c r="I110" s="2" t="s">
        <v>150</v>
      </c>
      <c r="J110" s="2" t="str">
        <f>""</f>
        <v/>
      </c>
      <c r="K110" s="2" t="str">
        <f>"PFES1162729626_0001"</f>
        <v>PFES1162729626_0001</v>
      </c>
      <c r="L110" s="2">
        <v>1</v>
      </c>
      <c r="M110" s="2">
        <v>8</v>
      </c>
    </row>
    <row r="111" spans="1:13">
      <c r="A111" s="6">
        <v>43833</v>
      </c>
      <c r="B111" s="7">
        <v>0.4368055555555555</v>
      </c>
      <c r="C111" s="2" t="str">
        <f>"FES1162729667"</f>
        <v>FES1162729667</v>
      </c>
      <c r="D111" s="2" t="s">
        <v>19</v>
      </c>
      <c r="E111" s="2" t="s">
        <v>151</v>
      </c>
      <c r="F111" s="2" t="str">
        <f>"217078518 "</f>
        <v xml:space="preserve">217078518 </v>
      </c>
      <c r="G111" s="2" t="str">
        <f t="shared" si="3"/>
        <v>ON1</v>
      </c>
      <c r="H111" s="2" t="s">
        <v>21</v>
      </c>
      <c r="I111" s="2" t="s">
        <v>152</v>
      </c>
      <c r="J111" s="2" t="str">
        <f>""</f>
        <v/>
      </c>
      <c r="K111" s="2" t="str">
        <f>"PFES1162729667_0001"</f>
        <v>PFES1162729667_0001</v>
      </c>
      <c r="L111" s="2">
        <v>1</v>
      </c>
      <c r="M111" s="2">
        <v>8</v>
      </c>
    </row>
    <row r="112" spans="1:13">
      <c r="A112" s="6">
        <v>43833</v>
      </c>
      <c r="B112" s="7">
        <v>0.4368055555555555</v>
      </c>
      <c r="C112" s="2" t="str">
        <f>"FES1162729610"</f>
        <v>FES1162729610</v>
      </c>
      <c r="D112" s="2" t="s">
        <v>19</v>
      </c>
      <c r="E112" s="2" t="s">
        <v>143</v>
      </c>
      <c r="F112" s="2" t="str">
        <f>"2170721332 "</f>
        <v xml:space="preserve">2170721332 </v>
      </c>
      <c r="G112" s="2" t="str">
        <f t="shared" si="3"/>
        <v>ON1</v>
      </c>
      <c r="H112" s="2" t="s">
        <v>21</v>
      </c>
      <c r="I112" s="2" t="s">
        <v>137</v>
      </c>
      <c r="J112" s="2" t="str">
        <f>""</f>
        <v/>
      </c>
      <c r="K112" s="2" t="str">
        <f>"PFES1162729610_0001"</f>
        <v>PFES1162729610_0001</v>
      </c>
      <c r="L112" s="2">
        <v>1</v>
      </c>
      <c r="M112" s="2">
        <v>2</v>
      </c>
    </row>
    <row r="113" spans="1:13">
      <c r="A113" s="6">
        <v>43833</v>
      </c>
      <c r="B113" s="7">
        <v>0.43611111111111112</v>
      </c>
      <c r="C113" s="2" t="str">
        <f>"FES1162729619"</f>
        <v>FES1162729619</v>
      </c>
      <c r="D113" s="2" t="s">
        <v>19</v>
      </c>
      <c r="E113" s="2" t="s">
        <v>86</v>
      </c>
      <c r="F113" s="2" t="str">
        <f>"2170721912 "</f>
        <v xml:space="preserve">2170721912 </v>
      </c>
      <c r="G113" s="2" t="str">
        <f t="shared" si="3"/>
        <v>ON1</v>
      </c>
      <c r="H113" s="2" t="s">
        <v>21</v>
      </c>
      <c r="I113" s="2" t="s">
        <v>63</v>
      </c>
      <c r="J113" s="2" t="str">
        <f>""</f>
        <v/>
      </c>
      <c r="K113" s="2" t="str">
        <f>"PFES1162729619_0001"</f>
        <v>PFES1162729619_0001</v>
      </c>
      <c r="L113" s="2">
        <v>1</v>
      </c>
      <c r="M113" s="2">
        <v>3</v>
      </c>
    </row>
    <row r="114" spans="1:13">
      <c r="A114" s="6">
        <v>43833</v>
      </c>
      <c r="B114" s="7">
        <v>0.4145833333333333</v>
      </c>
      <c r="C114" s="2" t="str">
        <f>"FES1162729637"</f>
        <v>FES1162729637</v>
      </c>
      <c r="D114" s="2" t="s">
        <v>19</v>
      </c>
      <c r="E114" s="2" t="s">
        <v>153</v>
      </c>
      <c r="F114" s="2" t="str">
        <f>"2170722537 "</f>
        <v xml:space="preserve">2170722537 </v>
      </c>
      <c r="G114" s="2" t="str">
        <f t="shared" si="3"/>
        <v>ON1</v>
      </c>
      <c r="H114" s="2" t="s">
        <v>21</v>
      </c>
      <c r="I114" s="2" t="s">
        <v>146</v>
      </c>
      <c r="J114" s="2" t="str">
        <f>""</f>
        <v/>
      </c>
      <c r="K114" s="2" t="str">
        <f>"PFES1162729637_0001"</f>
        <v>PFES1162729637_0001</v>
      </c>
      <c r="L114" s="2">
        <v>1</v>
      </c>
      <c r="M114" s="2">
        <v>1</v>
      </c>
    </row>
    <row r="115" spans="1:13">
      <c r="A115" s="6">
        <v>43833</v>
      </c>
      <c r="B115" s="7">
        <v>0.41388888888888892</v>
      </c>
      <c r="C115" s="2" t="str">
        <f>"FES1162729631"</f>
        <v>FES1162729631</v>
      </c>
      <c r="D115" s="2" t="s">
        <v>19</v>
      </c>
      <c r="E115" s="2" t="s">
        <v>154</v>
      </c>
      <c r="F115" s="2" t="str">
        <f>"2170722506 "</f>
        <v xml:space="preserve">2170722506 </v>
      </c>
      <c r="G115" s="2" t="str">
        <f t="shared" si="3"/>
        <v>ON1</v>
      </c>
      <c r="H115" s="2" t="s">
        <v>21</v>
      </c>
      <c r="I115" s="2" t="s">
        <v>155</v>
      </c>
      <c r="J115" s="2" t="str">
        <f>""</f>
        <v/>
      </c>
      <c r="K115" s="2" t="str">
        <f>"PFES1162729631_0001"</f>
        <v>PFES1162729631_0001</v>
      </c>
      <c r="L115" s="2">
        <v>1</v>
      </c>
      <c r="M115" s="2">
        <v>2</v>
      </c>
    </row>
    <row r="116" spans="1:13">
      <c r="A116" s="6">
        <v>43833</v>
      </c>
      <c r="B116" s="7">
        <v>0.40763888888888888</v>
      </c>
      <c r="C116" s="2" t="str">
        <f>"FES1162729670"</f>
        <v>FES1162729670</v>
      </c>
      <c r="D116" s="2" t="s">
        <v>19</v>
      </c>
      <c r="E116" s="2" t="s">
        <v>156</v>
      </c>
      <c r="F116" s="2" t="str">
        <f>"2170720753 "</f>
        <v xml:space="preserve">2170720753 </v>
      </c>
      <c r="G116" s="2" t="str">
        <f t="shared" si="3"/>
        <v>ON1</v>
      </c>
      <c r="H116" s="2" t="s">
        <v>21</v>
      </c>
      <c r="I116" s="2" t="s">
        <v>85</v>
      </c>
      <c r="J116" s="2" t="str">
        <f>""</f>
        <v/>
      </c>
      <c r="K116" s="2" t="str">
        <f>"PFES1162729670_0001"</f>
        <v>PFES1162729670_0001</v>
      </c>
      <c r="L116" s="2">
        <v>1</v>
      </c>
      <c r="M116" s="2">
        <v>1</v>
      </c>
    </row>
    <row r="117" spans="1:13">
      <c r="A117" s="6">
        <v>43833</v>
      </c>
      <c r="B117" s="7">
        <v>0.4069444444444445</v>
      </c>
      <c r="C117" s="2" t="str">
        <f>"FES1162729630"</f>
        <v>FES1162729630</v>
      </c>
      <c r="D117" s="2" t="s">
        <v>19</v>
      </c>
      <c r="E117" s="2" t="s">
        <v>136</v>
      </c>
      <c r="F117" s="2" t="str">
        <f>"2170722528 "</f>
        <v xml:space="preserve">2170722528 </v>
      </c>
      <c r="G117" s="2" t="str">
        <f t="shared" si="3"/>
        <v>ON1</v>
      </c>
      <c r="H117" s="2" t="s">
        <v>21</v>
      </c>
      <c r="I117" s="2" t="s">
        <v>137</v>
      </c>
      <c r="J117" s="2" t="str">
        <f>""</f>
        <v/>
      </c>
      <c r="K117" s="2" t="str">
        <f>"PFES1162729630_0001"</f>
        <v>PFES1162729630_0001</v>
      </c>
      <c r="L117" s="2">
        <v>1</v>
      </c>
      <c r="M117" s="2">
        <v>1</v>
      </c>
    </row>
    <row r="118" spans="1:13">
      <c r="A118" s="6">
        <v>43833</v>
      </c>
      <c r="B118" s="7">
        <v>0.40625</v>
      </c>
      <c r="C118" s="2" t="str">
        <f>"FES1162729676"</f>
        <v>FES1162729676</v>
      </c>
      <c r="D118" s="2" t="s">
        <v>19</v>
      </c>
      <c r="E118" s="2" t="s">
        <v>142</v>
      </c>
      <c r="F118" s="2" t="str">
        <f>"2170721688 "</f>
        <v xml:space="preserve">2170721688 </v>
      </c>
      <c r="G118" s="2" t="str">
        <f t="shared" si="3"/>
        <v>ON1</v>
      </c>
      <c r="H118" s="2" t="s">
        <v>21</v>
      </c>
      <c r="I118" s="2" t="s">
        <v>123</v>
      </c>
      <c r="J118" s="2" t="str">
        <f>""</f>
        <v/>
      </c>
      <c r="K118" s="2" t="str">
        <f>"PFES1162729676_0001"</f>
        <v>PFES1162729676_0001</v>
      </c>
      <c r="L118" s="2">
        <v>1</v>
      </c>
      <c r="M118" s="2">
        <v>1</v>
      </c>
    </row>
    <row r="119" spans="1:13">
      <c r="A119" s="6">
        <v>43833</v>
      </c>
      <c r="B119" s="7">
        <v>0.40625</v>
      </c>
      <c r="C119" s="2" t="str">
        <f>"FES1162729660"</f>
        <v>FES1162729660</v>
      </c>
      <c r="D119" s="2" t="s">
        <v>19</v>
      </c>
      <c r="E119" s="2" t="s">
        <v>157</v>
      </c>
      <c r="F119" s="2" t="str">
        <f>"2170718443 "</f>
        <v xml:space="preserve">2170718443 </v>
      </c>
      <c r="G119" s="2" t="str">
        <f t="shared" si="3"/>
        <v>ON1</v>
      </c>
      <c r="H119" s="2" t="s">
        <v>21</v>
      </c>
      <c r="I119" s="2" t="s">
        <v>158</v>
      </c>
      <c r="J119" s="2" t="str">
        <f>""</f>
        <v/>
      </c>
      <c r="K119" s="2" t="str">
        <f>"PFES1162729660_0001"</f>
        <v>PFES1162729660_0001</v>
      </c>
      <c r="L119" s="2">
        <v>1</v>
      </c>
      <c r="M119" s="2">
        <v>1</v>
      </c>
    </row>
    <row r="120" spans="1:13">
      <c r="A120" s="6">
        <v>43833</v>
      </c>
      <c r="B120" s="7">
        <v>0.4055555555555555</v>
      </c>
      <c r="C120" s="2" t="str">
        <f>"FES1162729550"</f>
        <v>FES1162729550</v>
      </c>
      <c r="D120" s="2" t="s">
        <v>19</v>
      </c>
      <c r="E120" s="2" t="s">
        <v>136</v>
      </c>
      <c r="F120" s="2" t="str">
        <f>"2170722494 "</f>
        <v xml:space="preserve">2170722494 </v>
      </c>
      <c r="G120" s="2" t="str">
        <f t="shared" si="3"/>
        <v>ON1</v>
      </c>
      <c r="H120" s="2" t="s">
        <v>21</v>
      </c>
      <c r="I120" s="2" t="s">
        <v>137</v>
      </c>
      <c r="J120" s="2" t="str">
        <f>""</f>
        <v/>
      </c>
      <c r="K120" s="2" t="str">
        <f>"PFES1162729550_0001"</f>
        <v>PFES1162729550_0001</v>
      </c>
      <c r="L120" s="2">
        <v>1</v>
      </c>
      <c r="M120" s="2">
        <v>1</v>
      </c>
    </row>
    <row r="121" spans="1:13">
      <c r="A121" s="6">
        <v>43833</v>
      </c>
      <c r="B121" s="7">
        <v>0.4055555555555555</v>
      </c>
      <c r="C121" s="2" t="str">
        <f>"FES1162729654"</f>
        <v>FES1162729654</v>
      </c>
      <c r="D121" s="2" t="s">
        <v>19</v>
      </c>
      <c r="E121" s="2" t="s">
        <v>159</v>
      </c>
      <c r="F121" s="2" t="str">
        <f>"21772256 "</f>
        <v xml:space="preserve">21772256 </v>
      </c>
      <c r="G121" s="2" t="str">
        <f t="shared" si="3"/>
        <v>ON1</v>
      </c>
      <c r="H121" s="2" t="s">
        <v>21</v>
      </c>
      <c r="I121" s="2" t="s">
        <v>83</v>
      </c>
      <c r="J121" s="2" t="str">
        <f>""</f>
        <v/>
      </c>
      <c r="K121" s="2" t="str">
        <f>"PFES1162729654_0001"</f>
        <v>PFES1162729654_0001</v>
      </c>
      <c r="L121" s="2">
        <v>1</v>
      </c>
      <c r="M121" s="2">
        <v>1</v>
      </c>
    </row>
    <row r="122" spans="1:13">
      <c r="A122" s="6">
        <v>43833</v>
      </c>
      <c r="B122" s="7">
        <v>0.40486111111111112</v>
      </c>
      <c r="C122" s="2" t="str">
        <f>"FES1162729574"</f>
        <v>FES1162729574</v>
      </c>
      <c r="D122" s="2" t="s">
        <v>19</v>
      </c>
      <c r="E122" s="2" t="s">
        <v>143</v>
      </c>
      <c r="F122" s="2" t="str">
        <f>"2170716491 "</f>
        <v xml:space="preserve">2170716491 </v>
      </c>
      <c r="G122" s="2" t="str">
        <f t="shared" si="3"/>
        <v>ON1</v>
      </c>
      <c r="H122" s="2" t="s">
        <v>21</v>
      </c>
      <c r="I122" s="2" t="s">
        <v>137</v>
      </c>
      <c r="J122" s="2" t="str">
        <f>""</f>
        <v/>
      </c>
      <c r="K122" s="2" t="str">
        <f>"PFES1162729574_0001"</f>
        <v>PFES1162729574_0001</v>
      </c>
      <c r="L122" s="2">
        <v>1</v>
      </c>
      <c r="M122" s="2">
        <v>7</v>
      </c>
    </row>
    <row r="123" spans="1:13">
      <c r="A123" s="6">
        <v>43833</v>
      </c>
      <c r="B123" s="7">
        <v>0.40416666666666662</v>
      </c>
      <c r="C123" s="2" t="str">
        <f>"FES1162729564"</f>
        <v>FES1162729564</v>
      </c>
      <c r="D123" s="2" t="s">
        <v>19</v>
      </c>
      <c r="E123" s="2" t="s">
        <v>160</v>
      </c>
      <c r="F123" s="2" t="str">
        <f>"2170722520 "</f>
        <v xml:space="preserve">2170722520 </v>
      </c>
      <c r="G123" s="2" t="str">
        <f t="shared" si="3"/>
        <v>ON1</v>
      </c>
      <c r="H123" s="2" t="s">
        <v>21</v>
      </c>
      <c r="I123" s="2" t="s">
        <v>161</v>
      </c>
      <c r="J123" s="2" t="str">
        <f>""</f>
        <v/>
      </c>
      <c r="K123" s="2" t="str">
        <f>"PFES1162729564_0001"</f>
        <v>PFES1162729564_0001</v>
      </c>
      <c r="L123" s="2">
        <v>1</v>
      </c>
      <c r="M123" s="2">
        <v>1</v>
      </c>
    </row>
    <row r="124" spans="1:13">
      <c r="A124" s="6">
        <v>43833</v>
      </c>
      <c r="B124" s="7">
        <v>0.3972222222222222</v>
      </c>
      <c r="C124" s="2" t="str">
        <f>"FES1162729587"</f>
        <v>FES1162729587</v>
      </c>
      <c r="D124" s="2" t="s">
        <v>19</v>
      </c>
      <c r="E124" s="2" t="s">
        <v>30</v>
      </c>
      <c r="F124" s="2" t="str">
        <f>"2170718942 "</f>
        <v xml:space="preserve">2170718942 </v>
      </c>
      <c r="G124" s="2" t="str">
        <f t="shared" si="3"/>
        <v>ON1</v>
      </c>
      <c r="H124" s="2" t="s">
        <v>21</v>
      </c>
      <c r="I124" s="2" t="s">
        <v>31</v>
      </c>
      <c r="J124" s="2" t="str">
        <f>""</f>
        <v/>
      </c>
      <c r="K124" s="2" t="str">
        <f>"PFES1162729587_0001"</f>
        <v>PFES1162729587_0001</v>
      </c>
      <c r="L124" s="2">
        <v>1</v>
      </c>
      <c r="M124" s="2">
        <v>1</v>
      </c>
    </row>
    <row r="125" spans="1:13">
      <c r="A125" s="6">
        <v>43833</v>
      </c>
      <c r="B125" s="7">
        <v>0.3972222222222222</v>
      </c>
      <c r="C125" s="2" t="str">
        <f>"FES1162729604"</f>
        <v>FES1162729604</v>
      </c>
      <c r="D125" s="2" t="s">
        <v>19</v>
      </c>
      <c r="E125" s="2" t="s">
        <v>30</v>
      </c>
      <c r="F125" s="2" t="str">
        <f>"2170720627 "</f>
        <v xml:space="preserve">2170720627 </v>
      </c>
      <c r="G125" s="2" t="str">
        <f t="shared" si="3"/>
        <v>ON1</v>
      </c>
      <c r="H125" s="2" t="s">
        <v>21</v>
      </c>
      <c r="I125" s="2" t="s">
        <v>31</v>
      </c>
      <c r="J125" s="2" t="str">
        <f>""</f>
        <v/>
      </c>
      <c r="K125" s="2" t="str">
        <f>"PFES1162729604_0001"</f>
        <v>PFES1162729604_0001</v>
      </c>
      <c r="L125" s="2">
        <v>1</v>
      </c>
      <c r="M125" s="2">
        <v>1</v>
      </c>
    </row>
    <row r="126" spans="1:13">
      <c r="A126" s="6">
        <v>43833</v>
      </c>
      <c r="B126" s="7">
        <v>0.3972222222222222</v>
      </c>
      <c r="C126" s="2" t="str">
        <f>"FES1162729588"</f>
        <v>FES1162729588</v>
      </c>
      <c r="D126" s="2" t="s">
        <v>19</v>
      </c>
      <c r="E126" s="2" t="s">
        <v>30</v>
      </c>
      <c r="F126" s="2" t="str">
        <f>"2170718943 "</f>
        <v xml:space="preserve">2170718943 </v>
      </c>
      <c r="G126" s="2" t="str">
        <f t="shared" si="3"/>
        <v>ON1</v>
      </c>
      <c r="H126" s="2" t="s">
        <v>21</v>
      </c>
      <c r="I126" s="2" t="s">
        <v>31</v>
      </c>
      <c r="J126" s="2" t="str">
        <f>""</f>
        <v/>
      </c>
      <c r="K126" s="2" t="str">
        <f>"PFES1162729588_0001"</f>
        <v>PFES1162729588_0001</v>
      </c>
      <c r="L126" s="2">
        <v>1</v>
      </c>
      <c r="M126" s="2">
        <v>1</v>
      </c>
    </row>
    <row r="127" spans="1:13">
      <c r="A127" s="6">
        <v>43833</v>
      </c>
      <c r="B127" s="7">
        <v>0.39652777777777781</v>
      </c>
      <c r="C127" s="2" t="str">
        <f>"FES1162729585"</f>
        <v>FES1162729585</v>
      </c>
      <c r="D127" s="2" t="s">
        <v>19</v>
      </c>
      <c r="E127" s="2" t="s">
        <v>30</v>
      </c>
      <c r="F127" s="2" t="str">
        <f>"2170718802 "</f>
        <v xml:space="preserve">2170718802 </v>
      </c>
      <c r="G127" s="2" t="str">
        <f t="shared" si="3"/>
        <v>ON1</v>
      </c>
      <c r="H127" s="2" t="s">
        <v>21</v>
      </c>
      <c r="I127" s="2" t="s">
        <v>31</v>
      </c>
      <c r="J127" s="2" t="str">
        <f>""</f>
        <v/>
      </c>
      <c r="K127" s="2" t="str">
        <f>"PFES1162729585_0001"</f>
        <v>PFES1162729585_0001</v>
      </c>
      <c r="L127" s="2">
        <v>1</v>
      </c>
      <c r="M127" s="2">
        <v>1</v>
      </c>
    </row>
    <row r="128" spans="1:13">
      <c r="A128" s="6">
        <v>43833</v>
      </c>
      <c r="B128" s="7">
        <v>0.39652777777777781</v>
      </c>
      <c r="C128" s="2" t="str">
        <f>"FES1162729651"</f>
        <v>FES1162729651</v>
      </c>
      <c r="D128" s="2" t="s">
        <v>19</v>
      </c>
      <c r="E128" s="2" t="s">
        <v>162</v>
      </c>
      <c r="F128" s="2" t="str">
        <f>"2170722554 "</f>
        <v xml:space="preserve">2170722554 </v>
      </c>
      <c r="G128" s="2" t="str">
        <f t="shared" si="3"/>
        <v>ON1</v>
      </c>
      <c r="H128" s="2" t="s">
        <v>21</v>
      </c>
      <c r="I128" s="2" t="s">
        <v>163</v>
      </c>
      <c r="J128" s="2" t="str">
        <f>""</f>
        <v/>
      </c>
      <c r="K128" s="2" t="str">
        <f>"PFES1162729651_0001"</f>
        <v>PFES1162729651_0001</v>
      </c>
      <c r="L128" s="2">
        <v>1</v>
      </c>
      <c r="M128" s="2">
        <v>1</v>
      </c>
    </row>
    <row r="129" spans="1:13">
      <c r="A129" s="6">
        <v>43833</v>
      </c>
      <c r="B129" s="7">
        <v>0.39583333333333331</v>
      </c>
      <c r="C129" s="2" t="str">
        <f>"FES1162729597"</f>
        <v>FES1162729597</v>
      </c>
      <c r="D129" s="2" t="s">
        <v>19</v>
      </c>
      <c r="E129" s="2" t="s">
        <v>164</v>
      </c>
      <c r="F129" s="2" t="str">
        <f>"2170719816 "</f>
        <v xml:space="preserve">2170719816 </v>
      </c>
      <c r="G129" s="2" t="str">
        <f t="shared" si="3"/>
        <v>ON1</v>
      </c>
      <c r="H129" s="2" t="s">
        <v>21</v>
      </c>
      <c r="I129" s="2" t="s">
        <v>165</v>
      </c>
      <c r="J129" s="2" t="str">
        <f>""</f>
        <v/>
      </c>
      <c r="K129" s="2" t="str">
        <f>"PFES1162729597_0001"</f>
        <v>PFES1162729597_0001</v>
      </c>
      <c r="L129" s="2">
        <v>1</v>
      </c>
      <c r="M129" s="2">
        <v>1</v>
      </c>
    </row>
    <row r="130" spans="1:13">
      <c r="A130" s="6">
        <v>43833</v>
      </c>
      <c r="B130" s="7">
        <v>0.39444444444444443</v>
      </c>
      <c r="C130" s="2" t="str">
        <f>"FES1162729622"</f>
        <v>FES1162729622</v>
      </c>
      <c r="D130" s="2" t="s">
        <v>19</v>
      </c>
      <c r="E130" s="2" t="s">
        <v>166</v>
      </c>
      <c r="F130" s="2" t="str">
        <f>"21707228265 "</f>
        <v xml:space="preserve">21707228265 </v>
      </c>
      <c r="G130" s="2" t="str">
        <f t="shared" si="3"/>
        <v>ON1</v>
      </c>
      <c r="H130" s="2" t="s">
        <v>21</v>
      </c>
      <c r="I130" s="2" t="s">
        <v>167</v>
      </c>
      <c r="J130" s="2" t="str">
        <f>""</f>
        <v/>
      </c>
      <c r="K130" s="2" t="str">
        <f>"PFES1162729622_0001"</f>
        <v>PFES1162729622_0001</v>
      </c>
      <c r="L130" s="2">
        <v>1</v>
      </c>
      <c r="M130" s="2">
        <v>1</v>
      </c>
    </row>
    <row r="131" spans="1:13">
      <c r="A131" s="6">
        <v>43833</v>
      </c>
      <c r="B131" s="7">
        <v>0.39374999999999999</v>
      </c>
      <c r="C131" s="2" t="str">
        <f>"FES1162729655"</f>
        <v>FES1162729655</v>
      </c>
      <c r="D131" s="2" t="s">
        <v>19</v>
      </c>
      <c r="E131" s="2" t="s">
        <v>168</v>
      </c>
      <c r="F131" s="2" t="str">
        <f>"2170722557 "</f>
        <v xml:space="preserve">2170722557 </v>
      </c>
      <c r="G131" s="2" t="str">
        <f t="shared" si="3"/>
        <v>ON1</v>
      </c>
      <c r="H131" s="2" t="s">
        <v>21</v>
      </c>
      <c r="I131" s="2" t="s">
        <v>169</v>
      </c>
      <c r="J131" s="2" t="str">
        <f>""</f>
        <v/>
      </c>
      <c r="K131" s="2" t="str">
        <f>"PFES1162729655_0001"</f>
        <v>PFES1162729655_0001</v>
      </c>
      <c r="L131" s="2">
        <v>1</v>
      </c>
      <c r="M131" s="2">
        <v>1</v>
      </c>
    </row>
    <row r="132" spans="1:13">
      <c r="A132" s="6">
        <v>43833</v>
      </c>
      <c r="B132" s="7">
        <v>0.39305555555555555</v>
      </c>
      <c r="C132" s="2" t="str">
        <f>"FES1162729674"</f>
        <v>FES1162729674</v>
      </c>
      <c r="D132" s="2" t="s">
        <v>19</v>
      </c>
      <c r="E132" s="2" t="s">
        <v>170</v>
      </c>
      <c r="F132" s="2" t="str">
        <f>"2170721139 "</f>
        <v xml:space="preserve">2170721139 </v>
      </c>
      <c r="G132" s="2" t="str">
        <f t="shared" si="3"/>
        <v>ON1</v>
      </c>
      <c r="H132" s="2" t="s">
        <v>21</v>
      </c>
      <c r="I132" s="2" t="s">
        <v>63</v>
      </c>
      <c r="J132" s="2" t="str">
        <f>""</f>
        <v/>
      </c>
      <c r="K132" s="2" t="str">
        <f>"PFES1162729674_0001"</f>
        <v>PFES1162729674_0001</v>
      </c>
      <c r="L132" s="2">
        <v>1</v>
      </c>
      <c r="M132" s="2">
        <v>1</v>
      </c>
    </row>
    <row r="133" spans="1:13">
      <c r="A133" s="6">
        <v>43833</v>
      </c>
      <c r="B133" s="7">
        <v>0.39305555555555555</v>
      </c>
      <c r="C133" s="2" t="str">
        <f>"FES1162729666"</f>
        <v>FES1162729666</v>
      </c>
      <c r="D133" s="2" t="s">
        <v>19</v>
      </c>
      <c r="E133" s="2" t="s">
        <v>171</v>
      </c>
      <c r="F133" s="2" t="str">
        <f>"2170718289 "</f>
        <v xml:space="preserve">2170718289 </v>
      </c>
      <c r="G133" s="2" t="str">
        <f t="shared" si="3"/>
        <v>ON1</v>
      </c>
      <c r="H133" s="2" t="s">
        <v>21</v>
      </c>
      <c r="I133" s="2" t="s">
        <v>47</v>
      </c>
      <c r="J133" s="2" t="str">
        <f>""</f>
        <v/>
      </c>
      <c r="K133" s="2" t="str">
        <f>"PFES1162729666_0001"</f>
        <v>PFES1162729666_0001</v>
      </c>
      <c r="L133" s="2">
        <v>1</v>
      </c>
      <c r="M133" s="2">
        <v>1</v>
      </c>
    </row>
    <row r="134" spans="1:13">
      <c r="A134" s="6">
        <v>43833</v>
      </c>
      <c r="B134" s="7">
        <v>0.3923611111111111</v>
      </c>
      <c r="C134" s="2" t="str">
        <f>"FES1162729592"</f>
        <v>FES1162729592</v>
      </c>
      <c r="D134" s="2" t="s">
        <v>19</v>
      </c>
      <c r="E134" s="2" t="s">
        <v>30</v>
      </c>
      <c r="F134" s="2" t="str">
        <f>"217079269 "</f>
        <v xml:space="preserve">217079269 </v>
      </c>
      <c r="G134" s="2" t="str">
        <f t="shared" si="3"/>
        <v>ON1</v>
      </c>
      <c r="H134" s="2" t="s">
        <v>21</v>
      </c>
      <c r="I134" s="2" t="s">
        <v>31</v>
      </c>
      <c r="J134" s="2" t="str">
        <f>""</f>
        <v/>
      </c>
      <c r="K134" s="2" t="str">
        <f>"PFES1162729592_0001"</f>
        <v>PFES1162729592_0001</v>
      </c>
      <c r="L134" s="2">
        <v>1</v>
      </c>
      <c r="M134" s="2">
        <v>2</v>
      </c>
    </row>
    <row r="135" spans="1:13">
      <c r="A135" s="6">
        <v>43833</v>
      </c>
      <c r="B135" s="7">
        <v>0.3923611111111111</v>
      </c>
      <c r="C135" s="2" t="str">
        <f>"FES1162729636"</f>
        <v>FES1162729636</v>
      </c>
      <c r="D135" s="2" t="s">
        <v>19</v>
      </c>
      <c r="E135" s="2" t="s">
        <v>168</v>
      </c>
      <c r="F135" s="2" t="str">
        <f>"2170722535 "</f>
        <v xml:space="preserve">2170722535 </v>
      </c>
      <c r="G135" s="2" t="str">
        <f t="shared" si="3"/>
        <v>ON1</v>
      </c>
      <c r="H135" s="2" t="s">
        <v>21</v>
      </c>
      <c r="I135" s="2" t="s">
        <v>169</v>
      </c>
      <c r="J135" s="2" t="str">
        <f>""</f>
        <v/>
      </c>
      <c r="K135" s="2" t="str">
        <f>"PFES1162729636_0001"</f>
        <v>PFES1162729636_0001</v>
      </c>
      <c r="L135" s="2">
        <v>1</v>
      </c>
      <c r="M135" s="2">
        <v>2</v>
      </c>
    </row>
    <row r="136" spans="1:13">
      <c r="A136" s="6">
        <v>43833</v>
      </c>
      <c r="B136" s="7">
        <v>0.39166666666666666</v>
      </c>
      <c r="C136" s="2" t="str">
        <f>"FES1162729598"</f>
        <v>FES1162729598</v>
      </c>
      <c r="D136" s="2" t="s">
        <v>19</v>
      </c>
      <c r="E136" s="2" t="s">
        <v>30</v>
      </c>
      <c r="F136" s="2" t="str">
        <f>"2170719877 "</f>
        <v xml:space="preserve">2170719877 </v>
      </c>
      <c r="G136" s="2" t="str">
        <f t="shared" si="3"/>
        <v>ON1</v>
      </c>
      <c r="H136" s="2" t="s">
        <v>21</v>
      </c>
      <c r="I136" s="2" t="s">
        <v>31</v>
      </c>
      <c r="J136" s="2" t="str">
        <f>""</f>
        <v/>
      </c>
      <c r="K136" s="2" t="str">
        <f>"PFES1162729598_0001"</f>
        <v>PFES1162729598_0001</v>
      </c>
      <c r="L136" s="2">
        <v>1</v>
      </c>
      <c r="M136" s="2">
        <v>6</v>
      </c>
    </row>
    <row r="137" spans="1:13">
      <c r="A137" s="6">
        <v>43833</v>
      </c>
      <c r="B137" s="7">
        <v>0.39166666666666666</v>
      </c>
      <c r="C137" s="2" t="str">
        <f>"FES1162729599"</f>
        <v>FES1162729599</v>
      </c>
      <c r="D137" s="2" t="s">
        <v>19</v>
      </c>
      <c r="E137" s="2" t="s">
        <v>30</v>
      </c>
      <c r="F137" s="2" t="str">
        <f>"2170719883 "</f>
        <v xml:space="preserve">2170719883 </v>
      </c>
      <c r="G137" s="2" t="str">
        <f t="shared" si="3"/>
        <v>ON1</v>
      </c>
      <c r="H137" s="2" t="s">
        <v>21</v>
      </c>
      <c r="I137" s="2" t="s">
        <v>31</v>
      </c>
      <c r="J137" s="2" t="str">
        <f>""</f>
        <v/>
      </c>
      <c r="K137" s="2" t="str">
        <f>"PFES1162729599_0001"</f>
        <v>PFES1162729599_0001</v>
      </c>
      <c r="L137" s="2">
        <v>1</v>
      </c>
      <c r="M137" s="2">
        <v>6</v>
      </c>
    </row>
    <row r="138" spans="1:13">
      <c r="A138" s="6">
        <v>43833</v>
      </c>
      <c r="B138" s="7">
        <v>0.39166666666666666</v>
      </c>
      <c r="C138" s="2" t="str">
        <f>"FES1162729605"</f>
        <v>FES1162729605</v>
      </c>
      <c r="D138" s="2" t="s">
        <v>19</v>
      </c>
      <c r="E138" s="2" t="s">
        <v>30</v>
      </c>
      <c r="F138" s="2" t="str">
        <f>"2170720629 "</f>
        <v xml:space="preserve">2170720629 </v>
      </c>
      <c r="G138" s="2" t="str">
        <f t="shared" si="3"/>
        <v>ON1</v>
      </c>
      <c r="H138" s="2" t="s">
        <v>21</v>
      </c>
      <c r="I138" s="2" t="s">
        <v>31</v>
      </c>
      <c r="J138" s="2" t="str">
        <f>""</f>
        <v/>
      </c>
      <c r="K138" s="2" t="str">
        <f>"PFES1162729605_0001"</f>
        <v>PFES1162729605_0001</v>
      </c>
      <c r="L138" s="2">
        <v>1</v>
      </c>
      <c r="M138" s="2">
        <v>2</v>
      </c>
    </row>
    <row r="139" spans="1:13">
      <c r="A139" s="6">
        <v>43833</v>
      </c>
      <c r="B139" s="7">
        <v>0.39097222222222222</v>
      </c>
      <c r="C139" s="2" t="str">
        <f>"FES1162729589"</f>
        <v>FES1162729589</v>
      </c>
      <c r="D139" s="2" t="s">
        <v>19</v>
      </c>
      <c r="E139" s="2" t="s">
        <v>30</v>
      </c>
      <c r="F139" s="2" t="str">
        <f>"2170718946 "</f>
        <v xml:space="preserve">2170718946 </v>
      </c>
      <c r="G139" s="2" t="str">
        <f t="shared" si="3"/>
        <v>ON1</v>
      </c>
      <c r="H139" s="2" t="s">
        <v>21</v>
      </c>
      <c r="I139" s="2" t="s">
        <v>31</v>
      </c>
      <c r="J139" s="2" t="str">
        <f>""</f>
        <v/>
      </c>
      <c r="K139" s="2" t="str">
        <f>"PFES1162729589_0001"</f>
        <v>PFES1162729589_0001</v>
      </c>
      <c r="L139" s="2">
        <v>1</v>
      </c>
      <c r="M139" s="2">
        <v>8</v>
      </c>
    </row>
    <row r="140" spans="1:13">
      <c r="A140" s="6">
        <v>43833</v>
      </c>
      <c r="B140" s="7">
        <v>0.39097222222222222</v>
      </c>
      <c r="C140" s="2" t="str">
        <f>"FES1162729669"</f>
        <v>FES1162729669</v>
      </c>
      <c r="D140" s="2" t="s">
        <v>19</v>
      </c>
      <c r="E140" s="2" t="s">
        <v>170</v>
      </c>
      <c r="F140" s="2" t="str">
        <f>"2170720161 "</f>
        <v xml:space="preserve">2170720161 </v>
      </c>
      <c r="G140" s="2" t="str">
        <f t="shared" si="3"/>
        <v>ON1</v>
      </c>
      <c r="H140" s="2" t="s">
        <v>21</v>
      </c>
      <c r="I140" s="2" t="s">
        <v>63</v>
      </c>
      <c r="J140" s="2" t="str">
        <f>""</f>
        <v/>
      </c>
      <c r="K140" s="2" t="str">
        <f>"PFES1162729669_0001"</f>
        <v>PFES1162729669_0001</v>
      </c>
      <c r="L140" s="2">
        <v>1</v>
      </c>
      <c r="M140" s="2">
        <v>5</v>
      </c>
    </row>
    <row r="141" spans="1:13">
      <c r="A141" s="6">
        <v>43833</v>
      </c>
      <c r="B141" s="7">
        <v>0.39027777777777778</v>
      </c>
      <c r="C141" s="2" t="str">
        <f>"FES1162729554"</f>
        <v>FES1162729554</v>
      </c>
      <c r="D141" s="2" t="s">
        <v>19</v>
      </c>
      <c r="E141" s="2" t="s">
        <v>172</v>
      </c>
      <c r="F141" s="2" t="str">
        <f>"2170721525 "</f>
        <v xml:space="preserve">2170721525 </v>
      </c>
      <c r="G141" s="2" t="str">
        <f t="shared" si="3"/>
        <v>ON1</v>
      </c>
      <c r="H141" s="2" t="s">
        <v>21</v>
      </c>
      <c r="I141" s="2" t="s">
        <v>173</v>
      </c>
      <c r="J141" s="2" t="str">
        <f>""</f>
        <v/>
      </c>
      <c r="K141" s="2" t="str">
        <f>"PFES1162729554_0001"</f>
        <v>PFES1162729554_0001</v>
      </c>
      <c r="L141" s="2">
        <v>1</v>
      </c>
      <c r="M141" s="2">
        <v>19</v>
      </c>
    </row>
    <row r="142" spans="1:13">
      <c r="A142" s="6">
        <v>43836</v>
      </c>
      <c r="B142" s="7">
        <v>0.68472222222222223</v>
      </c>
      <c r="C142" s="2" t="str">
        <f>"FES1162729903"</f>
        <v>FES1162729903</v>
      </c>
      <c r="D142" s="2" t="s">
        <v>19</v>
      </c>
      <c r="E142" s="2" t="s">
        <v>174</v>
      </c>
      <c r="F142" s="2" t="str">
        <f>"2170722747 "</f>
        <v xml:space="preserve">2170722747 </v>
      </c>
      <c r="G142" s="2" t="str">
        <f>"ON1"</f>
        <v>ON1</v>
      </c>
      <c r="H142" s="2" t="s">
        <v>21</v>
      </c>
      <c r="I142" s="2" t="s">
        <v>175</v>
      </c>
      <c r="J142" s="2" t="str">
        <f>""</f>
        <v/>
      </c>
      <c r="K142" s="2" t="str">
        <f>"PFES1162729903_0001"</f>
        <v>PFES1162729903_0001</v>
      </c>
      <c r="L142" s="2">
        <v>1</v>
      </c>
      <c r="M142" s="2">
        <v>6</v>
      </c>
    </row>
    <row r="143" spans="1:13">
      <c r="A143" s="6">
        <v>43836</v>
      </c>
      <c r="B143" s="7">
        <v>0.67361111111111116</v>
      </c>
      <c r="C143" s="2" t="str">
        <f>"FES1162729895"</f>
        <v>FES1162729895</v>
      </c>
      <c r="D143" s="2" t="s">
        <v>19</v>
      </c>
      <c r="E143" s="2" t="s">
        <v>164</v>
      </c>
      <c r="F143" s="2" t="str">
        <f>"2170722739 "</f>
        <v xml:space="preserve">2170722739 </v>
      </c>
      <c r="G143" s="2" t="str">
        <f>"ON1"</f>
        <v>ON1</v>
      </c>
      <c r="H143" s="2" t="s">
        <v>21</v>
      </c>
      <c r="I143" s="2" t="s">
        <v>165</v>
      </c>
      <c r="J143" s="2" t="str">
        <f>""</f>
        <v/>
      </c>
      <c r="K143" s="2" t="str">
        <f>"PFES1162729895_0001"</f>
        <v>PFES1162729895_0001</v>
      </c>
      <c r="L143" s="2">
        <v>1</v>
      </c>
      <c r="M143" s="2">
        <v>10</v>
      </c>
    </row>
    <row r="144" spans="1:13">
      <c r="A144" s="6">
        <v>43836</v>
      </c>
      <c r="B144" s="7">
        <v>0.67152777777777783</v>
      </c>
      <c r="C144" s="2" t="str">
        <f>"FES1162729869"</f>
        <v>FES1162729869</v>
      </c>
      <c r="D144" s="2" t="s">
        <v>19</v>
      </c>
      <c r="E144" s="2" t="s">
        <v>86</v>
      </c>
      <c r="F144" s="2" t="str">
        <f>"2170722707 "</f>
        <v xml:space="preserve">2170722707 </v>
      </c>
      <c r="G144" s="2" t="str">
        <f>"ON1"</f>
        <v>ON1</v>
      </c>
      <c r="H144" s="2" t="s">
        <v>21</v>
      </c>
      <c r="I144" s="2" t="s">
        <v>63</v>
      </c>
      <c r="J144" s="2" t="str">
        <f>""</f>
        <v/>
      </c>
      <c r="K144" s="2" t="str">
        <f>"PFES1162729869_0001"</f>
        <v>PFES1162729869_0001</v>
      </c>
      <c r="L144" s="2">
        <v>1</v>
      </c>
      <c r="M144" s="2">
        <v>2</v>
      </c>
    </row>
    <row r="145" spans="1:13">
      <c r="A145" s="6">
        <v>43836</v>
      </c>
      <c r="B145" s="7">
        <v>0.67083333333333339</v>
      </c>
      <c r="C145" s="2" t="str">
        <f>"FES1162729847"</f>
        <v>FES1162729847</v>
      </c>
      <c r="D145" s="2" t="s">
        <v>19</v>
      </c>
      <c r="E145" s="2" t="s">
        <v>64</v>
      </c>
      <c r="F145" s="2" t="str">
        <f>"2170719303 "</f>
        <v xml:space="preserve">2170719303 </v>
      </c>
      <c r="G145" s="2" t="str">
        <f>"ON1"</f>
        <v>ON1</v>
      </c>
      <c r="H145" s="2" t="s">
        <v>21</v>
      </c>
      <c r="I145" s="2" t="s">
        <v>60</v>
      </c>
      <c r="J145" s="2" t="str">
        <f>""</f>
        <v/>
      </c>
      <c r="K145" s="2" t="str">
        <f>"PFES1162729847_0001"</f>
        <v>PFES1162729847_0001</v>
      </c>
      <c r="L145" s="2">
        <v>1</v>
      </c>
      <c r="M145" s="2">
        <v>4</v>
      </c>
    </row>
    <row r="146" spans="1:13">
      <c r="A146" s="6">
        <v>43836</v>
      </c>
      <c r="B146" s="7">
        <v>0.67083333333333339</v>
      </c>
      <c r="C146" s="2" t="str">
        <f>"FES1162729843"</f>
        <v>FES1162729843</v>
      </c>
      <c r="D146" s="2" t="s">
        <v>19</v>
      </c>
      <c r="E146" s="2" t="s">
        <v>64</v>
      </c>
      <c r="F146" s="2" t="str">
        <f>"2170720244 "</f>
        <v xml:space="preserve">2170720244 </v>
      </c>
      <c r="G146" s="2" t="str">
        <f>"DBC"</f>
        <v>DBC</v>
      </c>
      <c r="H146" s="2" t="s">
        <v>21</v>
      </c>
      <c r="I146" s="2" t="s">
        <v>60</v>
      </c>
      <c r="J146" s="2" t="str">
        <f>""</f>
        <v/>
      </c>
      <c r="K146" s="2" t="str">
        <f>"PFES1162729843_0001"</f>
        <v>PFES1162729843_0001</v>
      </c>
      <c r="L146" s="2">
        <v>2</v>
      </c>
      <c r="M146" s="2">
        <v>25</v>
      </c>
    </row>
    <row r="147" spans="1:13">
      <c r="A147" s="6">
        <v>43496</v>
      </c>
      <c r="B147" s="7">
        <v>0.68541666666666667</v>
      </c>
      <c r="C147" s="2" t="str">
        <f>"FES1162729843"</f>
        <v>FES1162729843</v>
      </c>
      <c r="D147" s="2" t="s">
        <v>19</v>
      </c>
      <c r="E147" s="2" t="s">
        <v>176</v>
      </c>
      <c r="F147" s="2" t="str">
        <f>"2170671863 "</f>
        <v xml:space="preserve">2170671863 </v>
      </c>
      <c r="G147" s="2" t="str">
        <f t="shared" ref="G147:G160" si="4">"ON1"</f>
        <v>ON1</v>
      </c>
      <c r="H147" s="2" t="s">
        <v>21</v>
      </c>
      <c r="I147" s="2" t="s">
        <v>85</v>
      </c>
      <c r="J147" s="2" t="str">
        <f>""</f>
        <v/>
      </c>
      <c r="K147" s="2" t="str">
        <f>"PFES1162729843_0002"</f>
        <v>PFES1162729843_0002</v>
      </c>
      <c r="L147" s="2">
        <v>1</v>
      </c>
      <c r="M147" s="2">
        <v>1</v>
      </c>
    </row>
    <row r="148" spans="1:13">
      <c r="A148" s="6">
        <v>43836</v>
      </c>
      <c r="B148" s="7">
        <v>0.66736111111111107</v>
      </c>
      <c r="C148" s="2" t="str">
        <f>"FES1162729875"</f>
        <v>FES1162729875</v>
      </c>
      <c r="D148" s="2" t="s">
        <v>19</v>
      </c>
      <c r="E148" s="2" t="s">
        <v>54</v>
      </c>
      <c r="F148" s="2" t="str">
        <f>"2170722713 "</f>
        <v xml:space="preserve">2170722713 </v>
      </c>
      <c r="G148" s="2" t="str">
        <f t="shared" si="4"/>
        <v>ON1</v>
      </c>
      <c r="H148" s="2" t="s">
        <v>21</v>
      </c>
      <c r="I148" s="2" t="s">
        <v>31</v>
      </c>
      <c r="J148" s="2" t="str">
        <f>""</f>
        <v/>
      </c>
      <c r="K148" s="2" t="str">
        <f>"PFES1162729875_0001"</f>
        <v>PFES1162729875_0001</v>
      </c>
      <c r="L148" s="2">
        <v>1</v>
      </c>
      <c r="M148" s="2">
        <v>1</v>
      </c>
    </row>
    <row r="149" spans="1:13">
      <c r="A149" s="6">
        <v>43836</v>
      </c>
      <c r="B149" s="7">
        <v>0.66736111111111107</v>
      </c>
      <c r="C149" s="2" t="str">
        <f>"FES1162729906"</f>
        <v>FES1162729906</v>
      </c>
      <c r="D149" s="2" t="s">
        <v>19</v>
      </c>
      <c r="E149" s="2" t="s">
        <v>177</v>
      </c>
      <c r="F149" s="2" t="str">
        <f>"2170722750 "</f>
        <v xml:space="preserve">2170722750 </v>
      </c>
      <c r="G149" s="2" t="str">
        <f t="shared" si="4"/>
        <v>ON1</v>
      </c>
      <c r="H149" s="2" t="s">
        <v>21</v>
      </c>
      <c r="I149" s="2" t="s">
        <v>165</v>
      </c>
      <c r="J149" s="2" t="str">
        <f>""</f>
        <v/>
      </c>
      <c r="K149" s="2" t="str">
        <f>"PFES1162729906_0001"</f>
        <v>PFES1162729906_0001</v>
      </c>
      <c r="L149" s="2">
        <v>1</v>
      </c>
      <c r="M149" s="2">
        <v>1</v>
      </c>
    </row>
    <row r="150" spans="1:13">
      <c r="A150" s="6">
        <v>43836</v>
      </c>
      <c r="B150" s="7">
        <v>0.66736111111111107</v>
      </c>
      <c r="C150" s="2" t="str">
        <f>"FES1162729907"</f>
        <v>FES1162729907</v>
      </c>
      <c r="D150" s="2" t="s">
        <v>19</v>
      </c>
      <c r="E150" s="2" t="s">
        <v>178</v>
      </c>
      <c r="F150" s="2" t="str">
        <f>"21707225751 "</f>
        <v xml:space="preserve">21707225751 </v>
      </c>
      <c r="G150" s="2" t="str">
        <f t="shared" si="4"/>
        <v>ON1</v>
      </c>
      <c r="H150" s="2" t="s">
        <v>21</v>
      </c>
      <c r="I150" s="2" t="s">
        <v>179</v>
      </c>
      <c r="J150" s="2" t="str">
        <f>""</f>
        <v/>
      </c>
      <c r="K150" s="2" t="str">
        <f>"PFES1162729907_0001"</f>
        <v>PFES1162729907_0001</v>
      </c>
      <c r="L150" s="2">
        <v>1</v>
      </c>
      <c r="M150" s="2">
        <v>1</v>
      </c>
    </row>
    <row r="151" spans="1:13">
      <c r="A151" s="6">
        <v>43836</v>
      </c>
      <c r="B151" s="7">
        <v>0.66736111111111107</v>
      </c>
      <c r="C151" s="2" t="str">
        <f>"FES1162729913"</f>
        <v>FES1162729913</v>
      </c>
      <c r="D151" s="2" t="s">
        <v>19</v>
      </c>
      <c r="E151" s="2" t="s">
        <v>174</v>
      </c>
      <c r="F151" s="2" t="str">
        <f>"2170722673 "</f>
        <v xml:space="preserve">2170722673 </v>
      </c>
      <c r="G151" s="2" t="str">
        <f t="shared" si="4"/>
        <v>ON1</v>
      </c>
      <c r="H151" s="2" t="s">
        <v>21</v>
      </c>
      <c r="I151" s="2" t="s">
        <v>175</v>
      </c>
      <c r="J151" s="2" t="str">
        <f>""</f>
        <v/>
      </c>
      <c r="K151" s="2" t="str">
        <f>"PFES1162729913_0001"</f>
        <v>PFES1162729913_0001</v>
      </c>
      <c r="L151" s="2">
        <v>1</v>
      </c>
      <c r="M151" s="2">
        <v>1</v>
      </c>
    </row>
    <row r="152" spans="1:13">
      <c r="A152" s="6">
        <v>43836</v>
      </c>
      <c r="B152" s="7">
        <v>0.66666666666666663</v>
      </c>
      <c r="C152" s="2" t="str">
        <f>"FES1162729897"</f>
        <v>FES1162729897</v>
      </c>
      <c r="D152" s="2" t="s">
        <v>19</v>
      </c>
      <c r="E152" s="2" t="s">
        <v>180</v>
      </c>
      <c r="F152" s="2" t="str">
        <f>"2170722743 "</f>
        <v xml:space="preserve">2170722743 </v>
      </c>
      <c r="G152" s="2" t="str">
        <f t="shared" si="4"/>
        <v>ON1</v>
      </c>
      <c r="H152" s="2" t="s">
        <v>21</v>
      </c>
      <c r="I152" s="2" t="s">
        <v>28</v>
      </c>
      <c r="J152" s="2" t="str">
        <f>""</f>
        <v/>
      </c>
      <c r="K152" s="2" t="str">
        <f>"PFES1162729897_0001"</f>
        <v>PFES1162729897_0001</v>
      </c>
      <c r="L152" s="2">
        <v>1</v>
      </c>
      <c r="M152" s="2">
        <v>2</v>
      </c>
    </row>
    <row r="153" spans="1:13">
      <c r="A153" s="6">
        <v>43836</v>
      </c>
      <c r="B153" s="7">
        <v>0.66180555555555554</v>
      </c>
      <c r="C153" s="2" t="str">
        <f>"FES1162729800"</f>
        <v>FES1162729800</v>
      </c>
      <c r="D153" s="2" t="s">
        <v>19</v>
      </c>
      <c r="E153" s="2" t="s">
        <v>64</v>
      </c>
      <c r="F153" s="2" t="str">
        <f>"2170729982 "</f>
        <v xml:space="preserve">2170729982 </v>
      </c>
      <c r="G153" s="2" t="str">
        <f t="shared" si="4"/>
        <v>ON1</v>
      </c>
      <c r="H153" s="2" t="s">
        <v>21</v>
      </c>
      <c r="I153" s="2" t="s">
        <v>60</v>
      </c>
      <c r="J153" s="2" t="str">
        <f>""</f>
        <v/>
      </c>
      <c r="K153" s="2" t="str">
        <f>"PFES1162729800_0001"</f>
        <v>PFES1162729800_0001</v>
      </c>
      <c r="L153" s="2">
        <v>2</v>
      </c>
      <c r="M153" s="2">
        <v>18</v>
      </c>
    </row>
    <row r="154" spans="1:13">
      <c r="A154" s="6">
        <v>43496</v>
      </c>
      <c r="B154" s="7">
        <v>0.68125000000000002</v>
      </c>
      <c r="C154" s="2" t="str">
        <f>"FES1162729800"</f>
        <v>FES1162729800</v>
      </c>
      <c r="D154" s="2" t="s">
        <v>19</v>
      </c>
      <c r="E154" s="2" t="s">
        <v>181</v>
      </c>
      <c r="F154" s="2" t="str">
        <f>"2170672046 "</f>
        <v xml:space="preserve">2170672046 </v>
      </c>
      <c r="G154" s="2" t="str">
        <f t="shared" si="4"/>
        <v>ON1</v>
      </c>
      <c r="H154" s="2" t="s">
        <v>21</v>
      </c>
      <c r="I154" s="2" t="s">
        <v>24</v>
      </c>
      <c r="J154" s="2" t="str">
        <f>""</f>
        <v/>
      </c>
      <c r="K154" s="2" t="str">
        <f>"PFES1162729800_0002"</f>
        <v>PFES1162729800_0002</v>
      </c>
      <c r="L154" s="2">
        <v>1</v>
      </c>
      <c r="M154" s="2">
        <v>4</v>
      </c>
    </row>
    <row r="155" spans="1:13">
      <c r="A155" s="6">
        <v>43836</v>
      </c>
      <c r="B155" s="7">
        <v>0.66111111111111109</v>
      </c>
      <c r="C155" s="2" t="str">
        <f>"FES1162729899"</f>
        <v>FES1162729899</v>
      </c>
      <c r="D155" s="2" t="s">
        <v>19</v>
      </c>
      <c r="E155" s="2" t="s">
        <v>182</v>
      </c>
      <c r="F155" s="2" t="str">
        <f>"2170722744 "</f>
        <v xml:space="preserve">2170722744 </v>
      </c>
      <c r="G155" s="2" t="str">
        <f t="shared" si="4"/>
        <v>ON1</v>
      </c>
      <c r="H155" s="2" t="s">
        <v>21</v>
      </c>
      <c r="I155" s="2" t="s">
        <v>183</v>
      </c>
      <c r="J155" s="2" t="str">
        <f>""</f>
        <v/>
      </c>
      <c r="K155" s="2" t="str">
        <f>"PFES1162729899_0001"</f>
        <v>PFES1162729899_0001</v>
      </c>
      <c r="L155" s="2">
        <v>1</v>
      </c>
      <c r="M155" s="2">
        <v>1</v>
      </c>
    </row>
    <row r="156" spans="1:13">
      <c r="A156" s="6">
        <v>43836</v>
      </c>
      <c r="B156" s="7">
        <v>0.66111111111111109</v>
      </c>
      <c r="C156" s="2" t="str">
        <f>"FES1162729902"</f>
        <v>FES1162729902</v>
      </c>
      <c r="D156" s="2" t="s">
        <v>19</v>
      </c>
      <c r="E156" s="2" t="s">
        <v>182</v>
      </c>
      <c r="F156" s="2" t="str">
        <f>"2170722746 "</f>
        <v xml:space="preserve">2170722746 </v>
      </c>
      <c r="G156" s="2" t="str">
        <f t="shared" si="4"/>
        <v>ON1</v>
      </c>
      <c r="H156" s="2" t="s">
        <v>21</v>
      </c>
      <c r="I156" s="2" t="s">
        <v>183</v>
      </c>
      <c r="J156" s="2" t="str">
        <f>""</f>
        <v/>
      </c>
      <c r="K156" s="2" t="str">
        <f>"PFES1162729902_0001"</f>
        <v>PFES1162729902_0001</v>
      </c>
      <c r="L156" s="2">
        <v>1</v>
      </c>
      <c r="M156" s="2">
        <v>1</v>
      </c>
    </row>
    <row r="157" spans="1:13">
      <c r="A157" s="6">
        <v>43836</v>
      </c>
      <c r="B157" s="7">
        <v>0.65763888888888888</v>
      </c>
      <c r="C157" s="2" t="str">
        <f>"FES1162729867"</f>
        <v>FES1162729867</v>
      </c>
      <c r="D157" s="2" t="s">
        <v>19</v>
      </c>
      <c r="E157" s="2" t="s">
        <v>184</v>
      </c>
      <c r="F157" s="2" t="str">
        <f>"2170722704 "</f>
        <v xml:space="preserve">2170722704 </v>
      </c>
      <c r="G157" s="2" t="str">
        <f t="shared" si="4"/>
        <v>ON1</v>
      </c>
      <c r="H157" s="2" t="s">
        <v>21</v>
      </c>
      <c r="I157" s="2" t="s">
        <v>49</v>
      </c>
      <c r="J157" s="2" t="str">
        <f>""</f>
        <v/>
      </c>
      <c r="K157" s="2" t="str">
        <f>"PFES1162729867_0001"</f>
        <v>PFES1162729867_0001</v>
      </c>
      <c r="L157" s="2">
        <v>1</v>
      </c>
      <c r="M157" s="2">
        <v>1</v>
      </c>
    </row>
    <row r="158" spans="1:13">
      <c r="A158" s="6">
        <v>43836</v>
      </c>
      <c r="B158" s="7">
        <v>0.65694444444444444</v>
      </c>
      <c r="C158" s="2" t="str">
        <f>"FES1162729909"</f>
        <v>FES1162729909</v>
      </c>
      <c r="D158" s="2" t="s">
        <v>19</v>
      </c>
      <c r="E158" s="2" t="s">
        <v>185</v>
      </c>
      <c r="F158" s="2" t="str">
        <f>"2170722755 "</f>
        <v xml:space="preserve">2170722755 </v>
      </c>
      <c r="G158" s="2" t="str">
        <f t="shared" si="4"/>
        <v>ON1</v>
      </c>
      <c r="H158" s="2" t="s">
        <v>21</v>
      </c>
      <c r="I158" s="2" t="s">
        <v>47</v>
      </c>
      <c r="J158" s="2" t="str">
        <f>""</f>
        <v/>
      </c>
      <c r="K158" s="2" t="str">
        <f>"PFES1162729909_0001"</f>
        <v>PFES1162729909_0001</v>
      </c>
      <c r="L158" s="2">
        <v>1</v>
      </c>
      <c r="M158" s="2">
        <v>1</v>
      </c>
    </row>
    <row r="159" spans="1:13">
      <c r="A159" s="6">
        <v>43836</v>
      </c>
      <c r="B159" s="7">
        <v>0.65694444444444444</v>
      </c>
      <c r="C159" s="2" t="str">
        <f>"FES1162729889"</f>
        <v>FES1162729889</v>
      </c>
      <c r="D159" s="2" t="s">
        <v>19</v>
      </c>
      <c r="E159" s="2" t="s">
        <v>74</v>
      </c>
      <c r="F159" s="2" t="str">
        <f>"21707322734 "</f>
        <v xml:space="preserve">21707322734 </v>
      </c>
      <c r="G159" s="2" t="str">
        <f t="shared" si="4"/>
        <v>ON1</v>
      </c>
      <c r="H159" s="2" t="s">
        <v>21</v>
      </c>
      <c r="I159" s="2" t="s">
        <v>49</v>
      </c>
      <c r="J159" s="2" t="str">
        <f>""</f>
        <v/>
      </c>
      <c r="K159" s="2" t="str">
        <f>"PFES1162729889_0001"</f>
        <v>PFES1162729889_0001</v>
      </c>
      <c r="L159" s="2">
        <v>1</v>
      </c>
      <c r="M159" s="2">
        <v>1</v>
      </c>
    </row>
    <row r="160" spans="1:13">
      <c r="A160" s="6">
        <v>43836</v>
      </c>
      <c r="B160" s="7">
        <v>0.65694444444444444</v>
      </c>
      <c r="C160" s="2" t="str">
        <f>"FES1162729793"</f>
        <v>FES1162729793</v>
      </c>
      <c r="D160" s="2" t="s">
        <v>19</v>
      </c>
      <c r="E160" s="2" t="s">
        <v>68</v>
      </c>
      <c r="F160" s="2" t="str">
        <f>"2170721549 "</f>
        <v xml:space="preserve">2170721549 </v>
      </c>
      <c r="G160" s="2" t="str">
        <f t="shared" si="4"/>
        <v>ON1</v>
      </c>
      <c r="H160" s="2" t="s">
        <v>21</v>
      </c>
      <c r="I160" s="2" t="s">
        <v>69</v>
      </c>
      <c r="J160" s="2" t="str">
        <f>""</f>
        <v/>
      </c>
      <c r="K160" s="2" t="str">
        <f>"PFES1162729793_0001"</f>
        <v>PFES1162729793_0001</v>
      </c>
      <c r="L160" s="2">
        <v>1</v>
      </c>
      <c r="M160" s="2">
        <v>2</v>
      </c>
    </row>
    <row r="161" spans="1:13">
      <c r="A161" s="6">
        <v>43836</v>
      </c>
      <c r="B161" s="7">
        <v>0.65625</v>
      </c>
      <c r="C161" s="2" t="str">
        <f>"FES1162729888"</f>
        <v>FES1162729888</v>
      </c>
      <c r="D161" s="2" t="s">
        <v>19</v>
      </c>
      <c r="E161" s="2" t="s">
        <v>186</v>
      </c>
      <c r="F161" s="2" t="str">
        <f>"2170722732 "</f>
        <v xml:space="preserve">2170722732 </v>
      </c>
      <c r="G161" s="2" t="str">
        <f>"DBC"</f>
        <v>DBC</v>
      </c>
      <c r="H161" s="2" t="s">
        <v>21</v>
      </c>
      <c r="I161" s="2" t="s">
        <v>187</v>
      </c>
      <c r="J161" s="2" t="str">
        <f>"OIL"</f>
        <v>OIL</v>
      </c>
      <c r="K161" s="2" t="str">
        <f>"PFES1162729888_0001"</f>
        <v>PFES1162729888_0001</v>
      </c>
      <c r="L161" s="2">
        <v>1</v>
      </c>
      <c r="M161" s="2">
        <v>1</v>
      </c>
    </row>
    <row r="162" spans="1:13">
      <c r="A162" s="6">
        <v>43836</v>
      </c>
      <c r="B162" s="7">
        <v>0.65486111111111112</v>
      </c>
      <c r="C162" s="2" t="str">
        <f>"FES1162729865"</f>
        <v>FES1162729865</v>
      </c>
      <c r="D162" s="2" t="s">
        <v>19</v>
      </c>
      <c r="E162" s="2" t="s">
        <v>188</v>
      </c>
      <c r="F162" s="2" t="str">
        <f>"2170722701 "</f>
        <v xml:space="preserve">2170722701 </v>
      </c>
      <c r="G162" s="2" t="str">
        <f t="shared" ref="G162:G184" si="5">"ON1"</f>
        <v>ON1</v>
      </c>
      <c r="H162" s="2" t="s">
        <v>21</v>
      </c>
      <c r="I162" s="2" t="s">
        <v>189</v>
      </c>
      <c r="J162" s="2" t="str">
        <f>""</f>
        <v/>
      </c>
      <c r="K162" s="2" t="str">
        <f>"PFES1162729865_0001"</f>
        <v>PFES1162729865_0001</v>
      </c>
      <c r="L162" s="2">
        <v>1</v>
      </c>
      <c r="M162" s="2">
        <v>1</v>
      </c>
    </row>
    <row r="163" spans="1:13">
      <c r="A163" s="6">
        <v>43836</v>
      </c>
      <c r="B163" s="7">
        <v>0.65486111111111112</v>
      </c>
      <c r="C163" s="2" t="str">
        <f>"FES1162729878"</f>
        <v>FES1162729878</v>
      </c>
      <c r="D163" s="2" t="s">
        <v>19</v>
      </c>
      <c r="E163" s="2" t="s">
        <v>190</v>
      </c>
      <c r="F163" s="2" t="str">
        <f>"2170722717 "</f>
        <v xml:space="preserve">2170722717 </v>
      </c>
      <c r="G163" s="2" t="str">
        <f t="shared" si="5"/>
        <v>ON1</v>
      </c>
      <c r="H163" s="2" t="s">
        <v>21</v>
      </c>
      <c r="I163" s="2" t="s">
        <v>191</v>
      </c>
      <c r="J163" s="2" t="str">
        <f>""</f>
        <v/>
      </c>
      <c r="K163" s="2" t="str">
        <f>"PFES1162729878_0001"</f>
        <v>PFES1162729878_0001</v>
      </c>
      <c r="L163" s="2">
        <v>1</v>
      </c>
      <c r="M163" s="2">
        <v>1</v>
      </c>
    </row>
    <row r="164" spans="1:13">
      <c r="A164" s="6">
        <v>43836</v>
      </c>
      <c r="B164" s="7">
        <v>0.65486111111111112</v>
      </c>
      <c r="C164" s="2" t="str">
        <f>"FES1162729879"</f>
        <v>FES1162729879</v>
      </c>
      <c r="D164" s="2" t="s">
        <v>19</v>
      </c>
      <c r="E164" s="2" t="s">
        <v>188</v>
      </c>
      <c r="F164" s="2" t="str">
        <f>"2170722718 "</f>
        <v xml:space="preserve">2170722718 </v>
      </c>
      <c r="G164" s="2" t="str">
        <f t="shared" si="5"/>
        <v>ON1</v>
      </c>
      <c r="H164" s="2" t="s">
        <v>21</v>
      </c>
      <c r="I164" s="2" t="s">
        <v>189</v>
      </c>
      <c r="J164" s="2" t="str">
        <f>""</f>
        <v/>
      </c>
      <c r="K164" s="2" t="str">
        <f>"PFES1162729879_0001"</f>
        <v>PFES1162729879_0001</v>
      </c>
      <c r="L164" s="2">
        <v>1</v>
      </c>
      <c r="M164" s="2">
        <v>1</v>
      </c>
    </row>
    <row r="165" spans="1:13">
      <c r="A165" s="6">
        <v>43836</v>
      </c>
      <c r="B165" s="7">
        <v>0.65416666666666667</v>
      </c>
      <c r="C165" s="2" t="str">
        <f>"FES1162729825"</f>
        <v>FES1162729825</v>
      </c>
      <c r="D165" s="2" t="s">
        <v>19</v>
      </c>
      <c r="E165" s="2" t="s">
        <v>192</v>
      </c>
      <c r="F165" s="2" t="str">
        <f>"21707207983 "</f>
        <v xml:space="preserve">21707207983 </v>
      </c>
      <c r="G165" s="2" t="str">
        <f t="shared" si="5"/>
        <v>ON1</v>
      </c>
      <c r="H165" s="2" t="s">
        <v>21</v>
      </c>
      <c r="I165" s="2" t="s">
        <v>193</v>
      </c>
      <c r="J165" s="2" t="str">
        <f>""</f>
        <v/>
      </c>
      <c r="K165" s="2" t="str">
        <f>"PFES1162729825_0001"</f>
        <v>PFES1162729825_0001</v>
      </c>
      <c r="L165" s="2">
        <v>1</v>
      </c>
      <c r="M165" s="2">
        <v>3</v>
      </c>
    </row>
    <row r="166" spans="1:13">
      <c r="A166" s="6">
        <v>43836</v>
      </c>
      <c r="B166" s="7">
        <v>0.65416666666666667</v>
      </c>
      <c r="C166" s="2" t="str">
        <f>"FES1162729811"</f>
        <v>FES1162729811</v>
      </c>
      <c r="D166" s="2" t="s">
        <v>19</v>
      </c>
      <c r="E166" s="2" t="s">
        <v>194</v>
      </c>
      <c r="F166" s="2" t="str">
        <f>"2170720874 "</f>
        <v xml:space="preserve">2170720874 </v>
      </c>
      <c r="G166" s="2" t="str">
        <f t="shared" si="5"/>
        <v>ON1</v>
      </c>
      <c r="H166" s="2" t="s">
        <v>21</v>
      </c>
      <c r="I166" s="2" t="s">
        <v>85</v>
      </c>
      <c r="J166" s="2" t="str">
        <f>""</f>
        <v/>
      </c>
      <c r="K166" s="2" t="str">
        <f>"PFES1162729811_0001"</f>
        <v>PFES1162729811_0001</v>
      </c>
      <c r="L166" s="2">
        <v>1</v>
      </c>
      <c r="M166" s="2">
        <v>5</v>
      </c>
    </row>
    <row r="167" spans="1:13">
      <c r="A167" s="6">
        <v>43836</v>
      </c>
      <c r="B167" s="7">
        <v>0.65347222222222223</v>
      </c>
      <c r="C167" s="2" t="str">
        <f>"FES1162729870"</f>
        <v>FES1162729870</v>
      </c>
      <c r="D167" s="2" t="s">
        <v>19</v>
      </c>
      <c r="E167" s="2" t="s">
        <v>195</v>
      </c>
      <c r="F167" s="2" t="str">
        <f>"2170722708 "</f>
        <v xml:space="preserve">2170722708 </v>
      </c>
      <c r="G167" s="2" t="str">
        <f t="shared" si="5"/>
        <v>ON1</v>
      </c>
      <c r="H167" s="2" t="s">
        <v>21</v>
      </c>
      <c r="I167" s="2" t="s">
        <v>196</v>
      </c>
      <c r="J167" s="2" t="str">
        <f>""</f>
        <v/>
      </c>
      <c r="K167" s="2" t="str">
        <f>"PFES1162729870_0001"</f>
        <v>PFES1162729870_0001</v>
      </c>
      <c r="L167" s="2">
        <v>1</v>
      </c>
      <c r="M167" s="2">
        <v>3</v>
      </c>
    </row>
    <row r="168" spans="1:13">
      <c r="A168" s="6">
        <v>43836</v>
      </c>
      <c r="B168" s="7">
        <v>0.63611111111111118</v>
      </c>
      <c r="C168" s="2" t="str">
        <f>"FES1162729213"</f>
        <v>FES1162729213</v>
      </c>
      <c r="D168" s="2" t="s">
        <v>19</v>
      </c>
      <c r="E168" s="2" t="s">
        <v>124</v>
      </c>
      <c r="F168" s="2" t="str">
        <f>"217078503 "</f>
        <v xml:space="preserve">217078503 </v>
      </c>
      <c r="G168" s="2" t="str">
        <f t="shared" si="5"/>
        <v>ON1</v>
      </c>
      <c r="H168" s="2" t="s">
        <v>21</v>
      </c>
      <c r="I168" s="2" t="s">
        <v>125</v>
      </c>
      <c r="J168" s="2" t="str">
        <f>""</f>
        <v/>
      </c>
      <c r="K168" s="2" t="str">
        <f>"PFES1162729213_0001"</f>
        <v>PFES1162729213_0001</v>
      </c>
      <c r="L168" s="2">
        <v>1</v>
      </c>
      <c r="M168" s="2">
        <v>9</v>
      </c>
    </row>
    <row r="169" spans="1:13">
      <c r="A169" s="6">
        <v>43836</v>
      </c>
      <c r="B169" s="7">
        <v>0.62916666666666665</v>
      </c>
      <c r="C169" s="2" t="str">
        <f>"FES1162729546"</f>
        <v>FES1162729546</v>
      </c>
      <c r="D169" s="2" t="s">
        <v>19</v>
      </c>
      <c r="E169" s="2" t="s">
        <v>197</v>
      </c>
      <c r="F169" s="2" t="str">
        <f>"2170722154 "</f>
        <v xml:space="preserve">2170722154 </v>
      </c>
      <c r="G169" s="2" t="str">
        <f t="shared" si="5"/>
        <v>ON1</v>
      </c>
      <c r="H169" s="2" t="s">
        <v>21</v>
      </c>
      <c r="I169" s="2" t="s">
        <v>198</v>
      </c>
      <c r="J169" s="2" t="str">
        <f>""</f>
        <v/>
      </c>
      <c r="K169" s="2" t="str">
        <f>"PFES1162729546_0001"</f>
        <v>PFES1162729546_0001</v>
      </c>
      <c r="L169" s="2">
        <v>1</v>
      </c>
      <c r="M169" s="2">
        <v>1</v>
      </c>
    </row>
    <row r="170" spans="1:13">
      <c r="A170" s="6">
        <v>43836</v>
      </c>
      <c r="B170" s="7">
        <v>0.62916666666666665</v>
      </c>
      <c r="C170" s="2" t="str">
        <f>"FES1162729748"</f>
        <v>FES1162729748</v>
      </c>
      <c r="D170" s="2" t="s">
        <v>19</v>
      </c>
      <c r="E170" s="2" t="s">
        <v>199</v>
      </c>
      <c r="F170" s="2" t="str">
        <f>"2170721771 "</f>
        <v xml:space="preserve">2170721771 </v>
      </c>
      <c r="G170" s="2" t="str">
        <f t="shared" si="5"/>
        <v>ON1</v>
      </c>
      <c r="H170" s="2" t="s">
        <v>21</v>
      </c>
      <c r="I170" s="2" t="s">
        <v>200</v>
      </c>
      <c r="J170" s="2" t="str">
        <f>""</f>
        <v/>
      </c>
      <c r="K170" s="2" t="str">
        <f>"PFES1162729748_0001"</f>
        <v>PFES1162729748_0001</v>
      </c>
      <c r="L170" s="2">
        <v>1</v>
      </c>
      <c r="M170" s="2">
        <v>7</v>
      </c>
    </row>
    <row r="171" spans="1:13">
      <c r="A171" s="6">
        <v>43836</v>
      </c>
      <c r="B171" s="7">
        <v>0.62847222222222221</v>
      </c>
      <c r="C171" s="2" t="str">
        <f>"FES1162729762"</f>
        <v>FES1162729762</v>
      </c>
      <c r="D171" s="2" t="s">
        <v>19</v>
      </c>
      <c r="E171" s="2" t="s">
        <v>201</v>
      </c>
      <c r="F171" s="2" t="str">
        <f>"2170722667 "</f>
        <v xml:space="preserve">2170722667 </v>
      </c>
      <c r="G171" s="2" t="str">
        <f t="shared" si="5"/>
        <v>ON1</v>
      </c>
      <c r="H171" s="2" t="s">
        <v>21</v>
      </c>
      <c r="I171" s="2" t="s">
        <v>202</v>
      </c>
      <c r="J171" s="2" t="str">
        <f>""</f>
        <v/>
      </c>
      <c r="K171" s="2" t="str">
        <f>"PFES1162729762_0001"</f>
        <v>PFES1162729762_0001</v>
      </c>
      <c r="L171" s="2">
        <v>1</v>
      </c>
      <c r="M171" s="2">
        <v>7</v>
      </c>
    </row>
    <row r="172" spans="1:13">
      <c r="A172" s="6">
        <v>43836</v>
      </c>
      <c r="B172" s="7">
        <v>0.62638888888888888</v>
      </c>
      <c r="C172" s="2" t="str">
        <f>"FES1162729862"</f>
        <v>FES1162729862</v>
      </c>
      <c r="D172" s="2" t="s">
        <v>19</v>
      </c>
      <c r="E172" s="2" t="s">
        <v>203</v>
      </c>
      <c r="F172" s="2" t="str">
        <f>"21707212679 "</f>
        <v xml:space="preserve">21707212679 </v>
      </c>
      <c r="G172" s="2" t="str">
        <f t="shared" si="5"/>
        <v>ON1</v>
      </c>
      <c r="H172" s="2" t="s">
        <v>21</v>
      </c>
      <c r="I172" s="2" t="s">
        <v>204</v>
      </c>
      <c r="J172" s="2" t="str">
        <f>""</f>
        <v/>
      </c>
      <c r="K172" s="2" t="str">
        <f>"PFES1162729862_0001"</f>
        <v>PFES1162729862_0001</v>
      </c>
      <c r="L172" s="2">
        <v>1</v>
      </c>
      <c r="M172" s="2">
        <v>2</v>
      </c>
    </row>
    <row r="173" spans="1:13">
      <c r="A173" s="6">
        <v>43836</v>
      </c>
      <c r="B173" s="7">
        <v>0.62569444444444444</v>
      </c>
      <c r="C173" s="2" t="str">
        <f>"FES1162729764"</f>
        <v>FES1162729764</v>
      </c>
      <c r="D173" s="2" t="s">
        <v>19</v>
      </c>
      <c r="E173" s="2" t="s">
        <v>205</v>
      </c>
      <c r="F173" s="2" t="str">
        <f>"217072269 "</f>
        <v xml:space="preserve">217072269 </v>
      </c>
      <c r="G173" s="2" t="str">
        <f t="shared" si="5"/>
        <v>ON1</v>
      </c>
      <c r="H173" s="2" t="s">
        <v>21</v>
      </c>
      <c r="I173" s="2" t="s">
        <v>88</v>
      </c>
      <c r="J173" s="2" t="str">
        <f>""</f>
        <v/>
      </c>
      <c r="K173" s="2" t="str">
        <f>"PFES1162729764_0001"</f>
        <v>PFES1162729764_0001</v>
      </c>
      <c r="L173" s="2">
        <v>1</v>
      </c>
      <c r="M173" s="2">
        <v>1</v>
      </c>
    </row>
    <row r="174" spans="1:13">
      <c r="A174" s="6">
        <v>43836</v>
      </c>
      <c r="B174" s="7">
        <v>0.625</v>
      </c>
      <c r="C174" s="2" t="str">
        <f>"FES1162729861"</f>
        <v>FES1162729861</v>
      </c>
      <c r="D174" s="2" t="s">
        <v>19</v>
      </c>
      <c r="E174" s="2" t="s">
        <v>134</v>
      </c>
      <c r="F174" s="2" t="str">
        <f>"2170722696 "</f>
        <v xml:space="preserve">2170722696 </v>
      </c>
      <c r="G174" s="2" t="str">
        <f t="shared" si="5"/>
        <v>ON1</v>
      </c>
      <c r="H174" s="2" t="s">
        <v>21</v>
      </c>
      <c r="I174" s="2" t="s">
        <v>135</v>
      </c>
      <c r="J174" s="2" t="str">
        <f>""</f>
        <v/>
      </c>
      <c r="K174" s="2" t="str">
        <f>"PFES1162729861_0001"</f>
        <v>PFES1162729861_0001</v>
      </c>
      <c r="L174" s="2">
        <v>1</v>
      </c>
      <c r="M174" s="2">
        <v>1</v>
      </c>
    </row>
    <row r="175" spans="1:13">
      <c r="A175" s="6">
        <v>43836</v>
      </c>
      <c r="B175" s="7">
        <v>0.625</v>
      </c>
      <c r="C175" s="2" t="str">
        <f>"FES1162729893"</f>
        <v>FES1162729893</v>
      </c>
      <c r="D175" s="2" t="s">
        <v>19</v>
      </c>
      <c r="E175" s="2" t="s">
        <v>206</v>
      </c>
      <c r="F175" s="2" t="str">
        <f>"2170722737 "</f>
        <v xml:space="preserve">2170722737 </v>
      </c>
      <c r="G175" s="2" t="str">
        <f t="shared" si="5"/>
        <v>ON1</v>
      </c>
      <c r="H175" s="2" t="s">
        <v>21</v>
      </c>
      <c r="I175" s="2" t="s">
        <v>207</v>
      </c>
      <c r="J175" s="2" t="str">
        <f>""</f>
        <v/>
      </c>
      <c r="K175" s="2" t="str">
        <f>"PFES1162729893_0001"</f>
        <v>PFES1162729893_0001</v>
      </c>
      <c r="L175" s="2">
        <v>1</v>
      </c>
      <c r="M175" s="2">
        <v>1</v>
      </c>
    </row>
    <row r="176" spans="1:13">
      <c r="A176" s="6">
        <v>43836</v>
      </c>
      <c r="B176" s="7">
        <v>0.625</v>
      </c>
      <c r="C176" s="2" t="str">
        <f>"FES1162729767"</f>
        <v>FES1162729767</v>
      </c>
      <c r="D176" s="2" t="s">
        <v>19</v>
      </c>
      <c r="E176" s="2" t="s">
        <v>199</v>
      </c>
      <c r="F176" s="2" t="str">
        <f>"2170718470 "</f>
        <v xml:space="preserve">2170718470 </v>
      </c>
      <c r="G176" s="2" t="str">
        <f t="shared" si="5"/>
        <v>ON1</v>
      </c>
      <c r="H176" s="2" t="s">
        <v>21</v>
      </c>
      <c r="I176" s="2" t="s">
        <v>200</v>
      </c>
      <c r="J176" s="2" t="str">
        <f>""</f>
        <v/>
      </c>
      <c r="K176" s="2" t="str">
        <f>"PFES1162729767_0001"</f>
        <v>PFES1162729767_0001</v>
      </c>
      <c r="L176" s="2">
        <v>1</v>
      </c>
      <c r="M176" s="2">
        <v>1</v>
      </c>
    </row>
    <row r="177" spans="1:13">
      <c r="A177" s="6">
        <v>43836</v>
      </c>
      <c r="B177" s="7">
        <v>0.62430555555555556</v>
      </c>
      <c r="C177" s="2" t="str">
        <f>"FES1162729818"</f>
        <v>FES1162729818</v>
      </c>
      <c r="D177" s="2" t="s">
        <v>19</v>
      </c>
      <c r="E177" s="2" t="s">
        <v>208</v>
      </c>
      <c r="F177" s="2" t="str">
        <f>"2170720921 "</f>
        <v xml:space="preserve">2170720921 </v>
      </c>
      <c r="G177" s="2" t="str">
        <f t="shared" si="5"/>
        <v>ON1</v>
      </c>
      <c r="H177" s="2" t="s">
        <v>21</v>
      </c>
      <c r="I177" s="2" t="s">
        <v>209</v>
      </c>
      <c r="J177" s="2" t="str">
        <f>""</f>
        <v/>
      </c>
      <c r="K177" s="2" t="str">
        <f>"PFES1162729818_0001"</f>
        <v>PFES1162729818_0001</v>
      </c>
      <c r="L177" s="2">
        <v>1</v>
      </c>
      <c r="M177" s="2">
        <v>1</v>
      </c>
    </row>
    <row r="178" spans="1:13">
      <c r="A178" s="6">
        <v>43836</v>
      </c>
      <c r="B178" s="7">
        <v>0.62361111111111112</v>
      </c>
      <c r="C178" s="2" t="str">
        <f>"FES1162729814"</f>
        <v>FES1162729814</v>
      </c>
      <c r="D178" s="2" t="s">
        <v>19</v>
      </c>
      <c r="E178" s="2" t="s">
        <v>210</v>
      </c>
      <c r="F178" s="2" t="str">
        <f>"2170720892 "</f>
        <v xml:space="preserve">2170720892 </v>
      </c>
      <c r="G178" s="2" t="str">
        <f t="shared" si="5"/>
        <v>ON1</v>
      </c>
      <c r="H178" s="2" t="s">
        <v>21</v>
      </c>
      <c r="I178" s="2" t="s">
        <v>211</v>
      </c>
      <c r="J178" s="2" t="str">
        <f>""</f>
        <v/>
      </c>
      <c r="K178" s="2" t="str">
        <f>"PFES1162729814_0001"</f>
        <v>PFES1162729814_0001</v>
      </c>
      <c r="L178" s="2">
        <v>1</v>
      </c>
      <c r="M178" s="2">
        <v>1</v>
      </c>
    </row>
    <row r="179" spans="1:13">
      <c r="A179" s="6">
        <v>43836</v>
      </c>
      <c r="B179" s="7">
        <v>0.62291666666666667</v>
      </c>
      <c r="C179" s="2" t="str">
        <f>"009935712070"</f>
        <v>009935712070</v>
      </c>
      <c r="D179" s="2" t="s">
        <v>19</v>
      </c>
      <c r="E179" s="2" t="s">
        <v>212</v>
      </c>
      <c r="F179" s="2" t="str">
        <f>"1162729154 "</f>
        <v xml:space="preserve">1162729154 </v>
      </c>
      <c r="G179" s="2" t="str">
        <f t="shared" si="5"/>
        <v>ON1</v>
      </c>
      <c r="H179" s="2" t="s">
        <v>21</v>
      </c>
      <c r="I179" s="2" t="s">
        <v>213</v>
      </c>
      <c r="J179" s="2" t="str">
        <f>""</f>
        <v/>
      </c>
      <c r="K179" s="2" t="str">
        <f>"P009935712070_0001"</f>
        <v>P009935712070_0001</v>
      </c>
      <c r="L179" s="2">
        <v>1</v>
      </c>
      <c r="M179" s="2">
        <v>2</v>
      </c>
    </row>
    <row r="180" spans="1:13">
      <c r="A180" s="6">
        <v>43836</v>
      </c>
      <c r="B180" s="7">
        <v>0.61597222222222225</v>
      </c>
      <c r="C180" s="2" t="str">
        <f>"FES1162729824"</f>
        <v>FES1162729824</v>
      </c>
      <c r="D180" s="2" t="s">
        <v>19</v>
      </c>
      <c r="E180" s="2" t="s">
        <v>214</v>
      </c>
      <c r="F180" s="2" t="str">
        <f>"2170720969 "</f>
        <v xml:space="preserve">2170720969 </v>
      </c>
      <c r="G180" s="2" t="str">
        <f t="shared" si="5"/>
        <v>ON1</v>
      </c>
      <c r="H180" s="2" t="s">
        <v>21</v>
      </c>
      <c r="I180" s="2" t="s">
        <v>215</v>
      </c>
      <c r="J180" s="2" t="str">
        <f>""</f>
        <v/>
      </c>
      <c r="K180" s="2" t="str">
        <f>"PFES1162729824_0001"</f>
        <v>PFES1162729824_0001</v>
      </c>
      <c r="L180" s="2">
        <v>1</v>
      </c>
      <c r="M180" s="2">
        <v>2</v>
      </c>
    </row>
    <row r="181" spans="1:13">
      <c r="A181" s="6">
        <v>43836</v>
      </c>
      <c r="B181" s="7">
        <v>0.61597222222222225</v>
      </c>
      <c r="C181" s="2" t="str">
        <f>"FES1162729791"</f>
        <v>FES1162729791</v>
      </c>
      <c r="D181" s="2" t="s">
        <v>19</v>
      </c>
      <c r="E181" s="2" t="s">
        <v>216</v>
      </c>
      <c r="F181" s="2" t="str">
        <f>"2170721416 "</f>
        <v xml:space="preserve">2170721416 </v>
      </c>
      <c r="G181" s="2" t="str">
        <f t="shared" si="5"/>
        <v>ON1</v>
      </c>
      <c r="H181" s="2" t="s">
        <v>21</v>
      </c>
      <c r="I181" s="2" t="s">
        <v>217</v>
      </c>
      <c r="J181" s="2" t="str">
        <f>""</f>
        <v/>
      </c>
      <c r="K181" s="2" t="str">
        <f>"PFES1162729791_0001"</f>
        <v>PFES1162729791_0001</v>
      </c>
      <c r="L181" s="2">
        <v>1</v>
      </c>
      <c r="M181" s="2">
        <v>1</v>
      </c>
    </row>
    <row r="182" spans="1:13">
      <c r="A182" s="6">
        <v>43836</v>
      </c>
      <c r="B182" s="7">
        <v>0.61527777777777781</v>
      </c>
      <c r="C182" s="2" t="str">
        <f>"FES1162729769"</f>
        <v>FES1162729769</v>
      </c>
      <c r="D182" s="2" t="s">
        <v>19</v>
      </c>
      <c r="E182" s="2" t="s">
        <v>134</v>
      </c>
      <c r="F182" s="2" t="str">
        <f>"2170721759 "</f>
        <v xml:space="preserve">2170721759 </v>
      </c>
      <c r="G182" s="2" t="str">
        <f t="shared" si="5"/>
        <v>ON1</v>
      </c>
      <c r="H182" s="2" t="s">
        <v>21</v>
      </c>
      <c r="I182" s="2" t="s">
        <v>135</v>
      </c>
      <c r="J182" s="2" t="str">
        <f>""</f>
        <v/>
      </c>
      <c r="K182" s="2" t="str">
        <f>"PFES1162729769_0001"</f>
        <v>PFES1162729769_0001</v>
      </c>
      <c r="L182" s="2">
        <v>1</v>
      </c>
      <c r="M182" s="2">
        <v>1</v>
      </c>
    </row>
    <row r="183" spans="1:13">
      <c r="A183" s="6">
        <v>43836</v>
      </c>
      <c r="B183" s="7">
        <v>0.61527777777777781</v>
      </c>
      <c r="C183" s="2" t="str">
        <f>"FES1162729849"</f>
        <v>FES1162729849</v>
      </c>
      <c r="D183" s="2" t="s">
        <v>19</v>
      </c>
      <c r="E183" s="2" t="s">
        <v>142</v>
      </c>
      <c r="F183" s="2" t="str">
        <f>"2170722348 "</f>
        <v xml:space="preserve">2170722348 </v>
      </c>
      <c r="G183" s="2" t="str">
        <f t="shared" si="5"/>
        <v>ON1</v>
      </c>
      <c r="H183" s="2" t="s">
        <v>21</v>
      </c>
      <c r="I183" s="2" t="s">
        <v>123</v>
      </c>
      <c r="J183" s="2" t="str">
        <f>""</f>
        <v/>
      </c>
      <c r="K183" s="2" t="str">
        <f>"PFES1162729849_0001"</f>
        <v>PFES1162729849_0001</v>
      </c>
      <c r="L183" s="2">
        <v>1</v>
      </c>
      <c r="M183" s="2">
        <v>3</v>
      </c>
    </row>
    <row r="184" spans="1:13">
      <c r="A184" s="6">
        <v>43836</v>
      </c>
      <c r="B184" s="7">
        <v>0.61458333333333337</v>
      </c>
      <c r="C184" s="2" t="str">
        <f>"FES1162729810"</f>
        <v>FES1162729810</v>
      </c>
      <c r="D184" s="2" t="s">
        <v>19</v>
      </c>
      <c r="E184" s="2" t="s">
        <v>218</v>
      </c>
      <c r="F184" s="2" t="str">
        <f>"21707208679 "</f>
        <v xml:space="preserve">21707208679 </v>
      </c>
      <c r="G184" s="2" t="str">
        <f t="shared" si="5"/>
        <v>ON1</v>
      </c>
      <c r="H184" s="2" t="s">
        <v>21</v>
      </c>
      <c r="I184" s="2" t="s">
        <v>49</v>
      </c>
      <c r="J184" s="2" t="str">
        <f>""</f>
        <v/>
      </c>
      <c r="K184" s="2" t="str">
        <f>"PFES1162729810_0001"</f>
        <v>PFES1162729810_0001</v>
      </c>
      <c r="L184" s="2">
        <v>1</v>
      </c>
      <c r="M184" s="2">
        <v>7</v>
      </c>
    </row>
    <row r="185" spans="1:13">
      <c r="A185" s="6">
        <v>43836</v>
      </c>
      <c r="B185" s="7">
        <v>0.61458333333333337</v>
      </c>
      <c r="C185" s="2" t="str">
        <f>"FES1162729817"</f>
        <v>FES1162729817</v>
      </c>
      <c r="D185" s="2" t="s">
        <v>19</v>
      </c>
      <c r="E185" s="2" t="s">
        <v>33</v>
      </c>
      <c r="F185" s="2" t="str">
        <f>"2170720915 "</f>
        <v xml:space="preserve">2170720915 </v>
      </c>
      <c r="G185" s="2" t="str">
        <f>"DBC"</f>
        <v>DBC</v>
      </c>
      <c r="H185" s="2" t="s">
        <v>21</v>
      </c>
      <c r="I185" s="2" t="s">
        <v>34</v>
      </c>
      <c r="J185" s="2" t="str">
        <f>""</f>
        <v/>
      </c>
      <c r="K185" s="2" t="str">
        <f>"PFES1162729817_0001"</f>
        <v>PFES1162729817_0001</v>
      </c>
      <c r="L185" s="2">
        <v>1</v>
      </c>
      <c r="M185" s="2">
        <v>28</v>
      </c>
    </row>
    <row r="186" spans="1:13">
      <c r="A186" s="6">
        <v>43836</v>
      </c>
      <c r="B186" s="7">
        <v>0.61388888888888882</v>
      </c>
      <c r="C186" s="2" t="str">
        <f>"FES1162729746"</f>
        <v>FES1162729746</v>
      </c>
      <c r="D186" s="2" t="s">
        <v>19</v>
      </c>
      <c r="E186" s="2" t="s">
        <v>29</v>
      </c>
      <c r="F186" s="2" t="str">
        <f>"217071307 "</f>
        <v xml:space="preserve">217071307 </v>
      </c>
      <c r="G186" s="2" t="str">
        <f t="shared" ref="G186:G204" si="6">"ON1"</f>
        <v>ON1</v>
      </c>
      <c r="H186" s="2" t="s">
        <v>21</v>
      </c>
      <c r="I186" s="2" t="s">
        <v>22</v>
      </c>
      <c r="J186" s="2" t="str">
        <f>""</f>
        <v/>
      </c>
      <c r="K186" s="2" t="str">
        <f>"PFES1162729746_0001"</f>
        <v>PFES1162729746_0001</v>
      </c>
      <c r="L186" s="2">
        <v>1</v>
      </c>
      <c r="M186" s="2">
        <v>4</v>
      </c>
    </row>
    <row r="187" spans="1:13">
      <c r="A187" s="6">
        <v>43836</v>
      </c>
      <c r="B187" s="7">
        <v>0.61319444444444449</v>
      </c>
      <c r="C187" s="2" t="str">
        <f>"FES1162729743"</f>
        <v>FES1162729743</v>
      </c>
      <c r="D187" s="2" t="s">
        <v>19</v>
      </c>
      <c r="E187" s="2" t="s">
        <v>219</v>
      </c>
      <c r="F187" s="2" t="str">
        <f>"2170720237 "</f>
        <v xml:space="preserve">2170720237 </v>
      </c>
      <c r="G187" s="2" t="str">
        <f t="shared" si="6"/>
        <v>ON1</v>
      </c>
      <c r="H187" s="2" t="s">
        <v>21</v>
      </c>
      <c r="I187" s="2" t="s">
        <v>220</v>
      </c>
      <c r="J187" s="2" t="str">
        <f>""</f>
        <v/>
      </c>
      <c r="K187" s="2" t="str">
        <f>"PFES1162729743_0001"</f>
        <v>PFES1162729743_0001</v>
      </c>
      <c r="L187" s="2">
        <v>1</v>
      </c>
      <c r="M187" s="2">
        <v>4</v>
      </c>
    </row>
    <row r="188" spans="1:13">
      <c r="A188" s="6">
        <v>43836</v>
      </c>
      <c r="B188" s="7">
        <v>0.61249999999999993</v>
      </c>
      <c r="C188" s="2" t="str">
        <f>"FES1162729860"</f>
        <v>FES1162729860</v>
      </c>
      <c r="D188" s="2" t="s">
        <v>19</v>
      </c>
      <c r="E188" s="2" t="s">
        <v>221</v>
      </c>
      <c r="F188" s="2" t="str">
        <f>"2170719669 "</f>
        <v xml:space="preserve">2170719669 </v>
      </c>
      <c r="G188" s="2" t="str">
        <f t="shared" si="6"/>
        <v>ON1</v>
      </c>
      <c r="H188" s="2" t="s">
        <v>21</v>
      </c>
      <c r="I188" s="2" t="s">
        <v>31</v>
      </c>
      <c r="J188" s="2" t="str">
        <f>""</f>
        <v/>
      </c>
      <c r="K188" s="2" t="str">
        <f>"PFES1162729860_0001"</f>
        <v>PFES1162729860_0001</v>
      </c>
      <c r="L188" s="2">
        <v>1</v>
      </c>
      <c r="M188" s="2">
        <v>2</v>
      </c>
    </row>
    <row r="189" spans="1:13">
      <c r="A189" s="6">
        <v>43836</v>
      </c>
      <c r="B189" s="7">
        <v>0.6118055555555556</v>
      </c>
      <c r="C189" s="2" t="str">
        <f>"FES1162729844"</f>
        <v>FES1162729844</v>
      </c>
      <c r="D189" s="2" t="s">
        <v>19</v>
      </c>
      <c r="E189" s="2" t="s">
        <v>222</v>
      </c>
      <c r="F189" s="2" t="str">
        <f>"2170722681 "</f>
        <v xml:space="preserve">2170722681 </v>
      </c>
      <c r="G189" s="2" t="str">
        <f t="shared" si="6"/>
        <v>ON1</v>
      </c>
      <c r="H189" s="2" t="s">
        <v>21</v>
      </c>
      <c r="I189" s="2" t="s">
        <v>28</v>
      </c>
      <c r="J189" s="2" t="str">
        <f>""</f>
        <v/>
      </c>
      <c r="K189" s="2" t="str">
        <f>"PFES1162729844_0001"</f>
        <v>PFES1162729844_0001</v>
      </c>
      <c r="L189" s="2">
        <v>1</v>
      </c>
      <c r="M189" s="2">
        <v>1</v>
      </c>
    </row>
    <row r="190" spans="1:13">
      <c r="A190" s="6">
        <v>43836</v>
      </c>
      <c r="B190" s="7">
        <v>0.6118055555555556</v>
      </c>
      <c r="C190" s="2" t="str">
        <f>"FES1162729823"</f>
        <v>FES1162729823</v>
      </c>
      <c r="D190" s="2" t="s">
        <v>19</v>
      </c>
      <c r="E190" s="2" t="s">
        <v>223</v>
      </c>
      <c r="F190" s="2" t="str">
        <f>"2170720968 "</f>
        <v xml:space="preserve">2170720968 </v>
      </c>
      <c r="G190" s="2" t="str">
        <f t="shared" si="6"/>
        <v>ON1</v>
      </c>
      <c r="H190" s="2" t="s">
        <v>21</v>
      </c>
      <c r="I190" s="2" t="s">
        <v>165</v>
      </c>
      <c r="J190" s="2" t="str">
        <f>""</f>
        <v/>
      </c>
      <c r="K190" s="2" t="str">
        <f>"PFES1162729823_0001"</f>
        <v>PFES1162729823_0001</v>
      </c>
      <c r="L190" s="2">
        <v>1</v>
      </c>
      <c r="M190" s="2">
        <v>1</v>
      </c>
    </row>
    <row r="191" spans="1:13">
      <c r="A191" s="6">
        <v>43836</v>
      </c>
      <c r="B191" s="7">
        <v>0.6118055555555556</v>
      </c>
      <c r="C191" s="2" t="str">
        <f>"FES1162729808"</f>
        <v>FES1162729808</v>
      </c>
      <c r="D191" s="2" t="s">
        <v>19</v>
      </c>
      <c r="E191" s="2" t="s">
        <v>224</v>
      </c>
      <c r="F191" s="2" t="str">
        <f>"2170720848 "</f>
        <v xml:space="preserve">2170720848 </v>
      </c>
      <c r="G191" s="2" t="str">
        <f t="shared" si="6"/>
        <v>ON1</v>
      </c>
      <c r="H191" s="2" t="s">
        <v>21</v>
      </c>
      <c r="I191" s="2" t="s">
        <v>225</v>
      </c>
      <c r="J191" s="2" t="str">
        <f>""</f>
        <v/>
      </c>
      <c r="K191" s="2" t="str">
        <f>"PFES1162729808_0001"</f>
        <v>PFES1162729808_0001</v>
      </c>
      <c r="L191" s="2">
        <v>1</v>
      </c>
      <c r="M191" s="2">
        <v>2</v>
      </c>
    </row>
    <row r="192" spans="1:13">
      <c r="A192" s="6">
        <v>43836</v>
      </c>
      <c r="B192" s="7">
        <v>0.61111111111111105</v>
      </c>
      <c r="C192" s="2" t="str">
        <f>"FES1162729763"</f>
        <v>FES1162729763</v>
      </c>
      <c r="D192" s="2" t="s">
        <v>19</v>
      </c>
      <c r="E192" s="2" t="s">
        <v>222</v>
      </c>
      <c r="F192" s="2" t="str">
        <f>"2170722668 "</f>
        <v xml:space="preserve">2170722668 </v>
      </c>
      <c r="G192" s="2" t="str">
        <f t="shared" si="6"/>
        <v>ON1</v>
      </c>
      <c r="H192" s="2" t="s">
        <v>21</v>
      </c>
      <c r="I192" s="2" t="s">
        <v>28</v>
      </c>
      <c r="J192" s="2" t="str">
        <f>""</f>
        <v/>
      </c>
      <c r="K192" s="2" t="str">
        <f>"PFES1162729763_0001"</f>
        <v>PFES1162729763_0001</v>
      </c>
      <c r="L192" s="2">
        <v>1</v>
      </c>
      <c r="M192" s="2">
        <v>2</v>
      </c>
    </row>
    <row r="193" spans="1:13">
      <c r="A193" s="6">
        <v>43836</v>
      </c>
      <c r="B193" s="7">
        <v>0.61111111111111105</v>
      </c>
      <c r="C193" s="2" t="str">
        <f>"FES1162729839"</f>
        <v>FES1162729839</v>
      </c>
      <c r="D193" s="2" t="s">
        <v>19</v>
      </c>
      <c r="E193" s="2" t="s">
        <v>74</v>
      </c>
      <c r="F193" s="2" t="str">
        <f>"2170722678 "</f>
        <v xml:space="preserve">2170722678 </v>
      </c>
      <c r="G193" s="2" t="str">
        <f t="shared" si="6"/>
        <v>ON1</v>
      </c>
      <c r="H193" s="2" t="s">
        <v>21</v>
      </c>
      <c r="I193" s="2" t="s">
        <v>49</v>
      </c>
      <c r="J193" s="2" t="str">
        <f>""</f>
        <v/>
      </c>
      <c r="K193" s="2" t="str">
        <f>"PFES1162729839_0001"</f>
        <v>PFES1162729839_0001</v>
      </c>
      <c r="L193" s="2">
        <v>1</v>
      </c>
      <c r="M193" s="2">
        <v>3</v>
      </c>
    </row>
    <row r="194" spans="1:13">
      <c r="A194" s="6">
        <v>43836</v>
      </c>
      <c r="B194" s="7">
        <v>0.61041666666666672</v>
      </c>
      <c r="C194" s="2" t="str">
        <f>"FES1162729850"</f>
        <v>FES1162729850</v>
      </c>
      <c r="D194" s="2" t="s">
        <v>19</v>
      </c>
      <c r="E194" s="2" t="s">
        <v>37</v>
      </c>
      <c r="F194" s="2" t="str">
        <f>"2170722684 "</f>
        <v xml:space="preserve">2170722684 </v>
      </c>
      <c r="G194" s="2" t="str">
        <f t="shared" si="6"/>
        <v>ON1</v>
      </c>
      <c r="H194" s="2" t="s">
        <v>21</v>
      </c>
      <c r="I194" s="2" t="s">
        <v>38</v>
      </c>
      <c r="J194" s="2" t="str">
        <f>""</f>
        <v/>
      </c>
      <c r="K194" s="2" t="str">
        <f>"PFES1162729850_0001"</f>
        <v>PFES1162729850_0001</v>
      </c>
      <c r="L194" s="2">
        <v>1</v>
      </c>
      <c r="M194" s="2">
        <v>1</v>
      </c>
    </row>
    <row r="195" spans="1:13">
      <c r="A195" s="6">
        <v>43836</v>
      </c>
      <c r="B195" s="7">
        <v>0.61041666666666672</v>
      </c>
      <c r="C195" s="2" t="str">
        <f>"FES1162729778"</f>
        <v>FES1162729778</v>
      </c>
      <c r="D195" s="2" t="s">
        <v>19</v>
      </c>
      <c r="E195" s="2" t="s">
        <v>132</v>
      </c>
      <c r="F195" s="2" t="str">
        <f>"2170721044 "</f>
        <v xml:space="preserve">2170721044 </v>
      </c>
      <c r="G195" s="2" t="str">
        <f t="shared" si="6"/>
        <v>ON1</v>
      </c>
      <c r="H195" s="2" t="s">
        <v>21</v>
      </c>
      <c r="I195" s="2" t="s">
        <v>133</v>
      </c>
      <c r="J195" s="2" t="str">
        <f>""</f>
        <v/>
      </c>
      <c r="K195" s="2" t="str">
        <f>"PFES1162729778_0001"</f>
        <v>PFES1162729778_0001</v>
      </c>
      <c r="L195" s="2">
        <v>1</v>
      </c>
      <c r="M195" s="2">
        <v>1</v>
      </c>
    </row>
    <row r="196" spans="1:13">
      <c r="A196" s="6">
        <v>43836</v>
      </c>
      <c r="B196" s="7">
        <v>0.61041666666666672</v>
      </c>
      <c r="C196" s="2" t="str">
        <f>"FES1162729851"</f>
        <v>FES1162729851</v>
      </c>
      <c r="D196" s="2" t="s">
        <v>19</v>
      </c>
      <c r="E196" s="2" t="s">
        <v>226</v>
      </c>
      <c r="F196" s="2" t="str">
        <f>"2170722686 "</f>
        <v xml:space="preserve">2170722686 </v>
      </c>
      <c r="G196" s="2" t="str">
        <f t="shared" si="6"/>
        <v>ON1</v>
      </c>
      <c r="H196" s="2" t="s">
        <v>21</v>
      </c>
      <c r="I196" s="2" t="s">
        <v>69</v>
      </c>
      <c r="J196" s="2" t="str">
        <f>""</f>
        <v/>
      </c>
      <c r="K196" s="2" t="str">
        <f>"PFES1162729851_0001"</f>
        <v>PFES1162729851_0001</v>
      </c>
      <c r="L196" s="2">
        <v>1</v>
      </c>
      <c r="M196" s="2">
        <v>1</v>
      </c>
    </row>
    <row r="197" spans="1:13">
      <c r="A197" s="6">
        <v>43836</v>
      </c>
      <c r="B197" s="7">
        <v>0.60972222222222217</v>
      </c>
      <c r="C197" s="2" t="str">
        <f>"FES1162729788"</f>
        <v>FES1162729788</v>
      </c>
      <c r="D197" s="2" t="s">
        <v>19</v>
      </c>
      <c r="E197" s="2" t="s">
        <v>185</v>
      </c>
      <c r="F197" s="2" t="str">
        <f>"2170721294 "</f>
        <v xml:space="preserve">2170721294 </v>
      </c>
      <c r="G197" s="2" t="str">
        <f t="shared" si="6"/>
        <v>ON1</v>
      </c>
      <c r="H197" s="2" t="s">
        <v>21</v>
      </c>
      <c r="I197" s="2" t="s">
        <v>47</v>
      </c>
      <c r="J197" s="2" t="str">
        <f>""</f>
        <v/>
      </c>
      <c r="K197" s="2" t="str">
        <f>"PFES1162729788_0001"</f>
        <v>PFES1162729788_0001</v>
      </c>
      <c r="L197" s="2">
        <v>1</v>
      </c>
      <c r="M197" s="2">
        <v>1</v>
      </c>
    </row>
    <row r="198" spans="1:13">
      <c r="A198" s="6">
        <v>43836</v>
      </c>
      <c r="B198" s="7">
        <v>0.60972222222222217</v>
      </c>
      <c r="C198" s="2" t="str">
        <f>"FES1162729822"</f>
        <v>FES1162729822</v>
      </c>
      <c r="D198" s="2" t="s">
        <v>19</v>
      </c>
      <c r="E198" s="2" t="s">
        <v>227</v>
      </c>
      <c r="F198" s="2" t="str">
        <f>"2170720966 "</f>
        <v xml:space="preserve">2170720966 </v>
      </c>
      <c r="G198" s="2" t="str">
        <f t="shared" si="6"/>
        <v>ON1</v>
      </c>
      <c r="H198" s="2" t="s">
        <v>21</v>
      </c>
      <c r="I198" s="2" t="s">
        <v>228</v>
      </c>
      <c r="J198" s="2" t="str">
        <f>""</f>
        <v/>
      </c>
      <c r="K198" s="2" t="str">
        <f>"PFES1162729822_0001"</f>
        <v>PFES1162729822_0001</v>
      </c>
      <c r="L198" s="2">
        <v>1</v>
      </c>
      <c r="M198" s="2">
        <v>1</v>
      </c>
    </row>
    <row r="199" spans="1:13">
      <c r="A199" s="6">
        <v>43836</v>
      </c>
      <c r="B199" s="7">
        <v>0.60972222222222217</v>
      </c>
      <c r="C199" s="2" t="str">
        <f>"FES1162729789"</f>
        <v>FES1162729789</v>
      </c>
      <c r="D199" s="2" t="s">
        <v>19</v>
      </c>
      <c r="E199" s="2" t="s">
        <v>74</v>
      </c>
      <c r="F199" s="2" t="str">
        <f>"2170721373 "</f>
        <v xml:space="preserve">2170721373 </v>
      </c>
      <c r="G199" s="2" t="str">
        <f t="shared" si="6"/>
        <v>ON1</v>
      </c>
      <c r="H199" s="2" t="s">
        <v>21</v>
      </c>
      <c r="I199" s="2" t="s">
        <v>49</v>
      </c>
      <c r="J199" s="2" t="str">
        <f>""</f>
        <v/>
      </c>
      <c r="K199" s="2" t="str">
        <f>"PFES1162729789_0001"</f>
        <v>PFES1162729789_0001</v>
      </c>
      <c r="L199" s="2">
        <v>1</v>
      </c>
      <c r="M199" s="2">
        <v>1</v>
      </c>
    </row>
    <row r="200" spans="1:13">
      <c r="A200" s="6">
        <v>43836</v>
      </c>
      <c r="B200" s="7">
        <v>0.60902777777777783</v>
      </c>
      <c r="C200" s="2" t="str">
        <f>"FES1162729575"</f>
        <v>FES1162729575</v>
      </c>
      <c r="D200" s="2" t="s">
        <v>19</v>
      </c>
      <c r="E200" s="2" t="s">
        <v>64</v>
      </c>
      <c r="F200" s="2" t="str">
        <f>"2170716710 "</f>
        <v xml:space="preserve">2170716710 </v>
      </c>
      <c r="G200" s="2" t="str">
        <f t="shared" si="6"/>
        <v>ON1</v>
      </c>
      <c r="H200" s="2" t="s">
        <v>21</v>
      </c>
      <c r="I200" s="2" t="s">
        <v>60</v>
      </c>
      <c r="J200" s="2" t="str">
        <f>""</f>
        <v/>
      </c>
      <c r="K200" s="2" t="str">
        <f>"PFES1162729575_0001"</f>
        <v>PFES1162729575_0001</v>
      </c>
      <c r="L200" s="2">
        <v>1</v>
      </c>
      <c r="M200" s="2">
        <v>1</v>
      </c>
    </row>
    <row r="201" spans="1:13">
      <c r="A201" s="6">
        <v>43836</v>
      </c>
      <c r="B201" s="7">
        <v>0.60902777777777783</v>
      </c>
      <c r="C201" s="2" t="str">
        <f>"FES1162729859"</f>
        <v>FES1162729859</v>
      </c>
      <c r="D201" s="2" t="s">
        <v>19</v>
      </c>
      <c r="E201" s="2" t="s">
        <v>54</v>
      </c>
      <c r="F201" s="2" t="str">
        <f>"2170722695 "</f>
        <v xml:space="preserve">2170722695 </v>
      </c>
      <c r="G201" s="2" t="str">
        <f t="shared" si="6"/>
        <v>ON1</v>
      </c>
      <c r="H201" s="2" t="s">
        <v>21</v>
      </c>
      <c r="I201" s="2" t="s">
        <v>31</v>
      </c>
      <c r="J201" s="2" t="str">
        <f>""</f>
        <v/>
      </c>
      <c r="K201" s="2" t="str">
        <f>"PFES1162729859_0001"</f>
        <v>PFES1162729859_0001</v>
      </c>
      <c r="L201" s="2">
        <v>1</v>
      </c>
      <c r="M201" s="2">
        <v>1</v>
      </c>
    </row>
    <row r="202" spans="1:13">
      <c r="A202" s="6">
        <v>43836</v>
      </c>
      <c r="B202" s="7">
        <v>0.60833333333333328</v>
      </c>
      <c r="C202" s="2" t="str">
        <f>"FES1162729838"</f>
        <v>FES1162729838</v>
      </c>
      <c r="D202" s="2" t="s">
        <v>19</v>
      </c>
      <c r="E202" s="2" t="s">
        <v>229</v>
      </c>
      <c r="F202" s="2" t="str">
        <f>"2170722675 "</f>
        <v xml:space="preserve">2170722675 </v>
      </c>
      <c r="G202" s="2" t="str">
        <f t="shared" si="6"/>
        <v>ON1</v>
      </c>
      <c r="H202" s="2" t="s">
        <v>21</v>
      </c>
      <c r="I202" s="2" t="s">
        <v>230</v>
      </c>
      <c r="J202" s="2" t="str">
        <f>""</f>
        <v/>
      </c>
      <c r="K202" s="2" t="str">
        <f>"PFES1162729838_0001"</f>
        <v>PFES1162729838_0001</v>
      </c>
      <c r="L202" s="2">
        <v>1</v>
      </c>
      <c r="M202" s="2">
        <v>1</v>
      </c>
    </row>
    <row r="203" spans="1:13">
      <c r="A203" s="6">
        <v>43836</v>
      </c>
      <c r="B203" s="7">
        <v>0.60833333333333328</v>
      </c>
      <c r="C203" s="2" t="str">
        <f>"FES1162729601"</f>
        <v>FES1162729601</v>
      </c>
      <c r="D203" s="2" t="s">
        <v>19</v>
      </c>
      <c r="E203" s="2" t="s">
        <v>164</v>
      </c>
      <c r="F203" s="2" t="str">
        <f>"2170720227 "</f>
        <v xml:space="preserve">2170720227 </v>
      </c>
      <c r="G203" s="2" t="str">
        <f t="shared" si="6"/>
        <v>ON1</v>
      </c>
      <c r="H203" s="2" t="s">
        <v>21</v>
      </c>
      <c r="I203" s="2" t="s">
        <v>165</v>
      </c>
      <c r="J203" s="2" t="str">
        <f>""</f>
        <v/>
      </c>
      <c r="K203" s="2" t="str">
        <f>"PFES1162729601_0001"</f>
        <v>PFES1162729601_0001</v>
      </c>
      <c r="L203" s="2">
        <v>1</v>
      </c>
      <c r="M203" s="2">
        <v>1</v>
      </c>
    </row>
    <row r="204" spans="1:13">
      <c r="A204" s="6">
        <v>43836</v>
      </c>
      <c r="B204" s="7">
        <v>0.60763888888888895</v>
      </c>
      <c r="C204" s="2" t="str">
        <f>"FES1162729761"</f>
        <v>FES1162729761</v>
      </c>
      <c r="D204" s="2" t="s">
        <v>19</v>
      </c>
      <c r="E204" s="2" t="s">
        <v>231</v>
      </c>
      <c r="F204" s="2" t="str">
        <f>"2170722666 "</f>
        <v xml:space="preserve">2170722666 </v>
      </c>
      <c r="G204" s="2" t="str">
        <f t="shared" si="6"/>
        <v>ON1</v>
      </c>
      <c r="H204" s="2" t="s">
        <v>21</v>
      </c>
      <c r="I204" s="2" t="s">
        <v>31</v>
      </c>
      <c r="J204" s="2" t="str">
        <f>""</f>
        <v/>
      </c>
      <c r="K204" s="2" t="str">
        <f>"PFES1162729761_0001"</f>
        <v>PFES1162729761_0001</v>
      </c>
      <c r="L204" s="2">
        <v>1</v>
      </c>
      <c r="M204" s="2">
        <v>1</v>
      </c>
    </row>
    <row r="205" spans="1:13">
      <c r="A205" s="6">
        <v>43836</v>
      </c>
      <c r="B205" s="7">
        <v>0.57916666666666672</v>
      </c>
      <c r="C205" s="2" t="str">
        <f>"FES1162729881"</f>
        <v>FES1162729881</v>
      </c>
      <c r="D205" s="2" t="s">
        <v>19</v>
      </c>
      <c r="E205" s="2" t="s">
        <v>218</v>
      </c>
      <c r="F205" s="2" t="str">
        <f>"2170722719 "</f>
        <v xml:space="preserve">2170722719 </v>
      </c>
      <c r="G205" s="2" t="str">
        <f>"SDX"</f>
        <v>SDX</v>
      </c>
      <c r="H205" s="2" t="s">
        <v>21</v>
      </c>
      <c r="I205" s="2" t="s">
        <v>49</v>
      </c>
      <c r="J205" s="2" t="str">
        <f>"SDX 071 351 7617 RYNO"</f>
        <v>SDX 071 351 7617 RYNO</v>
      </c>
      <c r="K205" s="2" t="str">
        <f>"PFES1162729881_0001"</f>
        <v>PFES1162729881_0001</v>
      </c>
      <c r="L205" s="2">
        <v>1</v>
      </c>
      <c r="M205" s="2">
        <v>1</v>
      </c>
    </row>
    <row r="206" spans="1:13">
      <c r="A206" s="6">
        <v>43836</v>
      </c>
      <c r="B206" s="7">
        <v>0.57777777777777783</v>
      </c>
      <c r="C206" s="2" t="str">
        <f>"FES1162729717"</f>
        <v>FES1162729717</v>
      </c>
      <c r="D206" s="2" t="s">
        <v>19</v>
      </c>
      <c r="E206" s="2" t="s">
        <v>232</v>
      </c>
      <c r="F206" s="2" t="str">
        <f>"21707210757 "</f>
        <v xml:space="preserve">21707210757 </v>
      </c>
      <c r="G206" s="2" t="str">
        <f t="shared" ref="G206:G269" si="7">"ON1"</f>
        <v>ON1</v>
      </c>
      <c r="H206" s="2" t="s">
        <v>21</v>
      </c>
      <c r="I206" s="2" t="s">
        <v>233</v>
      </c>
      <c r="J206" s="2" t="str">
        <f>""</f>
        <v/>
      </c>
      <c r="K206" s="2" t="str">
        <f>"PFES1162729717_0001"</f>
        <v>PFES1162729717_0001</v>
      </c>
      <c r="L206" s="2">
        <v>1</v>
      </c>
      <c r="M206" s="2">
        <v>1</v>
      </c>
    </row>
    <row r="207" spans="1:13">
      <c r="A207" s="6">
        <v>43836</v>
      </c>
      <c r="B207" s="7">
        <v>0.57777777777777783</v>
      </c>
      <c r="C207" s="2" t="str">
        <f>"FES1162729827"</f>
        <v>FES1162729827</v>
      </c>
      <c r="D207" s="2" t="s">
        <v>19</v>
      </c>
      <c r="E207" s="2" t="s">
        <v>234</v>
      </c>
      <c r="F207" s="2" t="str">
        <f>"2170720986 "</f>
        <v xml:space="preserve">2170720986 </v>
      </c>
      <c r="G207" s="2" t="str">
        <f t="shared" si="7"/>
        <v>ON1</v>
      </c>
      <c r="H207" s="2" t="s">
        <v>21</v>
      </c>
      <c r="I207" s="2" t="s">
        <v>235</v>
      </c>
      <c r="J207" s="2" t="str">
        <f>""</f>
        <v/>
      </c>
      <c r="K207" s="2" t="str">
        <f>"PFES1162729827_0001"</f>
        <v>PFES1162729827_0001</v>
      </c>
      <c r="L207" s="2">
        <v>1</v>
      </c>
      <c r="M207" s="2">
        <v>1</v>
      </c>
    </row>
    <row r="208" spans="1:13">
      <c r="A208" s="6">
        <v>43836</v>
      </c>
      <c r="B208" s="7">
        <v>0.57708333333333328</v>
      </c>
      <c r="C208" s="2" t="str">
        <f>"FES1162729725"</f>
        <v>FES1162729725</v>
      </c>
      <c r="D208" s="2" t="s">
        <v>19</v>
      </c>
      <c r="E208" s="2" t="s">
        <v>55</v>
      </c>
      <c r="F208" s="2" t="str">
        <f>"2170720833 "</f>
        <v xml:space="preserve">2170720833 </v>
      </c>
      <c r="G208" s="2" t="str">
        <f t="shared" si="7"/>
        <v>ON1</v>
      </c>
      <c r="H208" s="2" t="s">
        <v>21</v>
      </c>
      <c r="I208" s="2" t="s">
        <v>56</v>
      </c>
      <c r="J208" s="2" t="str">
        <f>""</f>
        <v/>
      </c>
      <c r="K208" s="2" t="str">
        <f>"PFES1162729725_0001"</f>
        <v>PFES1162729725_0001</v>
      </c>
      <c r="L208" s="2">
        <v>1</v>
      </c>
      <c r="M208" s="2">
        <v>1</v>
      </c>
    </row>
    <row r="209" spans="1:13">
      <c r="A209" s="6">
        <v>43836</v>
      </c>
      <c r="B209" s="7">
        <v>0.57708333333333328</v>
      </c>
      <c r="C209" s="2" t="str">
        <f>"FES1162729756"</f>
        <v>FES1162729756</v>
      </c>
      <c r="D209" s="2" t="s">
        <v>19</v>
      </c>
      <c r="E209" s="2" t="s">
        <v>236</v>
      </c>
      <c r="F209" s="2" t="str">
        <f>"2170722657 "</f>
        <v xml:space="preserve">2170722657 </v>
      </c>
      <c r="G209" s="2" t="str">
        <f t="shared" si="7"/>
        <v>ON1</v>
      </c>
      <c r="H209" s="2" t="s">
        <v>21</v>
      </c>
      <c r="I209" s="2" t="s">
        <v>237</v>
      </c>
      <c r="J209" s="2" t="str">
        <f>""</f>
        <v/>
      </c>
      <c r="K209" s="2" t="str">
        <f>"PFES1162729756_0001"</f>
        <v>PFES1162729756_0001</v>
      </c>
      <c r="L209" s="2">
        <v>1</v>
      </c>
      <c r="M209" s="2">
        <v>1</v>
      </c>
    </row>
    <row r="210" spans="1:13">
      <c r="A210" s="6">
        <v>43836</v>
      </c>
      <c r="B210" s="7">
        <v>0.57638888888888895</v>
      </c>
      <c r="C210" s="2" t="str">
        <f>"FES1162729809"</f>
        <v>FES1162729809</v>
      </c>
      <c r="D210" s="2" t="s">
        <v>19</v>
      </c>
      <c r="E210" s="2" t="s">
        <v>238</v>
      </c>
      <c r="F210" s="2" t="str">
        <f>"21707208763 "</f>
        <v xml:space="preserve">21707208763 </v>
      </c>
      <c r="G210" s="2" t="str">
        <f t="shared" si="7"/>
        <v>ON1</v>
      </c>
      <c r="H210" s="2" t="s">
        <v>21</v>
      </c>
      <c r="I210" s="2" t="s">
        <v>119</v>
      </c>
      <c r="J210" s="2" t="str">
        <f>""</f>
        <v/>
      </c>
      <c r="K210" s="2" t="str">
        <f>"PFES1162729809_0001"</f>
        <v>PFES1162729809_0001</v>
      </c>
      <c r="L210" s="2">
        <v>1</v>
      </c>
      <c r="M210" s="2">
        <v>1</v>
      </c>
    </row>
    <row r="211" spans="1:13">
      <c r="A211" s="6">
        <v>43836</v>
      </c>
      <c r="B211" s="7">
        <v>0.5756944444444444</v>
      </c>
      <c r="C211" s="2" t="str">
        <f>"FES1162729758"</f>
        <v>FES1162729758</v>
      </c>
      <c r="D211" s="2" t="s">
        <v>19</v>
      </c>
      <c r="E211" s="2" t="s">
        <v>239</v>
      </c>
      <c r="F211" s="2" t="str">
        <f>"2170722660 "</f>
        <v xml:space="preserve">2170722660 </v>
      </c>
      <c r="G211" s="2" t="str">
        <f t="shared" si="7"/>
        <v>ON1</v>
      </c>
      <c r="H211" s="2" t="s">
        <v>21</v>
      </c>
      <c r="I211" s="2" t="s">
        <v>165</v>
      </c>
      <c r="J211" s="2" t="str">
        <f>""</f>
        <v/>
      </c>
      <c r="K211" s="2" t="str">
        <f>"PFES1162729758_0001"</f>
        <v>PFES1162729758_0001</v>
      </c>
      <c r="L211" s="2">
        <v>1</v>
      </c>
      <c r="M211" s="2">
        <v>1</v>
      </c>
    </row>
    <row r="212" spans="1:13">
      <c r="A212" s="6">
        <v>43836</v>
      </c>
      <c r="B212" s="7">
        <v>0.5756944444444444</v>
      </c>
      <c r="C212" s="2" t="str">
        <f>"FES1162729803"</f>
        <v>FES1162729803</v>
      </c>
      <c r="D212" s="2" t="s">
        <v>19</v>
      </c>
      <c r="E212" s="2" t="s">
        <v>164</v>
      </c>
      <c r="F212" s="2" t="str">
        <f>"2170720227 "</f>
        <v xml:space="preserve">2170720227 </v>
      </c>
      <c r="G212" s="2" t="str">
        <f t="shared" si="7"/>
        <v>ON1</v>
      </c>
      <c r="H212" s="2" t="s">
        <v>21</v>
      </c>
      <c r="I212" s="2" t="s">
        <v>165</v>
      </c>
      <c r="J212" s="2" t="str">
        <f>""</f>
        <v/>
      </c>
      <c r="K212" s="2" t="str">
        <f>"PFES1162729803_0001"</f>
        <v>PFES1162729803_0001</v>
      </c>
      <c r="L212" s="2">
        <v>1</v>
      </c>
      <c r="M212" s="2">
        <v>1</v>
      </c>
    </row>
    <row r="213" spans="1:13">
      <c r="A213" s="6">
        <v>43836</v>
      </c>
      <c r="B213" s="7">
        <v>0.5756944444444444</v>
      </c>
      <c r="C213" s="2" t="str">
        <f>"FES1162729815"</f>
        <v>FES1162729815</v>
      </c>
      <c r="D213" s="2" t="s">
        <v>19</v>
      </c>
      <c r="E213" s="2" t="s">
        <v>222</v>
      </c>
      <c r="F213" s="2" t="str">
        <f>"21707520903 "</f>
        <v xml:space="preserve">21707520903 </v>
      </c>
      <c r="G213" s="2" t="str">
        <f t="shared" si="7"/>
        <v>ON1</v>
      </c>
      <c r="H213" s="2" t="s">
        <v>21</v>
      </c>
      <c r="I213" s="2" t="s">
        <v>28</v>
      </c>
      <c r="J213" s="2" t="str">
        <f>""</f>
        <v/>
      </c>
      <c r="K213" s="2" t="str">
        <f>"PFES1162729815_0001"</f>
        <v>PFES1162729815_0001</v>
      </c>
      <c r="L213" s="2">
        <v>1</v>
      </c>
      <c r="M213" s="2">
        <v>1</v>
      </c>
    </row>
    <row r="214" spans="1:13">
      <c r="A214" s="6">
        <v>43836</v>
      </c>
      <c r="B214" s="7">
        <v>0.57500000000000007</v>
      </c>
      <c r="C214" s="2" t="str">
        <f>"FES1162729812"</f>
        <v>FES1162729812</v>
      </c>
      <c r="D214" s="2" t="s">
        <v>19</v>
      </c>
      <c r="E214" s="2" t="s">
        <v>23</v>
      </c>
      <c r="F214" s="2" t="str">
        <f>"2170720880 "</f>
        <v xml:space="preserve">2170720880 </v>
      </c>
      <c r="G214" s="2" t="str">
        <f t="shared" si="7"/>
        <v>ON1</v>
      </c>
      <c r="H214" s="2" t="s">
        <v>21</v>
      </c>
      <c r="I214" s="2" t="s">
        <v>24</v>
      </c>
      <c r="J214" s="2" t="str">
        <f>""</f>
        <v/>
      </c>
      <c r="K214" s="2" t="str">
        <f>"PFES1162729812_0001"</f>
        <v>PFES1162729812_0001</v>
      </c>
      <c r="L214" s="2">
        <v>1</v>
      </c>
      <c r="M214" s="2">
        <v>1</v>
      </c>
    </row>
    <row r="215" spans="1:13">
      <c r="A215" s="6">
        <v>43836</v>
      </c>
      <c r="B215" s="7">
        <v>0.57430555555555551</v>
      </c>
      <c r="C215" s="2" t="str">
        <f>"FES1162729634"</f>
        <v>FES1162729634</v>
      </c>
      <c r="D215" s="2" t="s">
        <v>19</v>
      </c>
      <c r="E215" s="2" t="s">
        <v>240</v>
      </c>
      <c r="F215" s="2" t="str">
        <f>"2170722533 "</f>
        <v xml:space="preserve">2170722533 </v>
      </c>
      <c r="G215" s="2" t="str">
        <f t="shared" si="7"/>
        <v>ON1</v>
      </c>
      <c r="H215" s="2" t="s">
        <v>21</v>
      </c>
      <c r="I215" s="2" t="s">
        <v>241</v>
      </c>
      <c r="J215" s="2" t="str">
        <f>""</f>
        <v/>
      </c>
      <c r="K215" s="2" t="str">
        <f>"PFES1162729634_0001"</f>
        <v>PFES1162729634_0001</v>
      </c>
      <c r="L215" s="2">
        <v>1</v>
      </c>
      <c r="M215" s="2">
        <v>14</v>
      </c>
    </row>
    <row r="216" spans="1:13">
      <c r="A216" s="6">
        <v>43836</v>
      </c>
      <c r="B216" s="7">
        <v>0.57361111111111118</v>
      </c>
      <c r="C216" s="2" t="str">
        <f>"FES1162729777"</f>
        <v>FES1162729777</v>
      </c>
      <c r="D216" s="2" t="s">
        <v>19</v>
      </c>
      <c r="E216" s="2" t="s">
        <v>242</v>
      </c>
      <c r="F216" s="2" t="str">
        <f>"2170721043 "</f>
        <v xml:space="preserve">2170721043 </v>
      </c>
      <c r="G216" s="2" t="str">
        <f t="shared" si="7"/>
        <v>ON1</v>
      </c>
      <c r="H216" s="2" t="s">
        <v>21</v>
      </c>
      <c r="I216" s="2" t="s">
        <v>85</v>
      </c>
      <c r="J216" s="2" t="str">
        <f>""</f>
        <v/>
      </c>
      <c r="K216" s="2" t="str">
        <f>"PFES1162729777_0001"</f>
        <v>PFES1162729777_0001</v>
      </c>
      <c r="L216" s="2">
        <v>1</v>
      </c>
      <c r="M216" s="2">
        <v>2</v>
      </c>
    </row>
    <row r="217" spans="1:13">
      <c r="A217" s="6">
        <v>43836</v>
      </c>
      <c r="B217" s="7">
        <v>0.57361111111111118</v>
      </c>
      <c r="C217" s="2" t="str">
        <f>"FES1162729716"</f>
        <v>FES1162729716</v>
      </c>
      <c r="D217" s="2" t="s">
        <v>19</v>
      </c>
      <c r="E217" s="2" t="s">
        <v>159</v>
      </c>
      <c r="F217" s="2" t="str">
        <f>"2170722618 "</f>
        <v xml:space="preserve">2170722618 </v>
      </c>
      <c r="G217" s="2" t="str">
        <f t="shared" si="7"/>
        <v>ON1</v>
      </c>
      <c r="H217" s="2" t="s">
        <v>21</v>
      </c>
      <c r="I217" s="2" t="s">
        <v>83</v>
      </c>
      <c r="J217" s="2" t="str">
        <f>""</f>
        <v/>
      </c>
      <c r="K217" s="2" t="str">
        <f>"PFES1162729716_0001"</f>
        <v>PFES1162729716_0001</v>
      </c>
      <c r="L217" s="2">
        <v>1</v>
      </c>
      <c r="M217" s="2">
        <v>2</v>
      </c>
    </row>
    <row r="218" spans="1:13">
      <c r="A218" s="6">
        <v>43836</v>
      </c>
      <c r="B218" s="7">
        <v>0.57291666666666663</v>
      </c>
      <c r="C218" s="2" t="str">
        <f>"FES1162729833"</f>
        <v>FES1162729833</v>
      </c>
      <c r="D218" s="2" t="s">
        <v>19</v>
      </c>
      <c r="E218" s="2" t="s">
        <v>174</v>
      </c>
      <c r="F218" s="2" t="str">
        <f>"2170722673 "</f>
        <v xml:space="preserve">2170722673 </v>
      </c>
      <c r="G218" s="2" t="str">
        <f t="shared" si="7"/>
        <v>ON1</v>
      </c>
      <c r="H218" s="2" t="s">
        <v>21</v>
      </c>
      <c r="I218" s="2" t="s">
        <v>175</v>
      </c>
      <c r="J218" s="2" t="str">
        <f>""</f>
        <v/>
      </c>
      <c r="K218" s="2" t="str">
        <f>"PFES1162729833_0001"</f>
        <v>PFES1162729833_0001</v>
      </c>
      <c r="L218" s="2">
        <v>1</v>
      </c>
      <c r="M218" s="2">
        <v>1</v>
      </c>
    </row>
    <row r="219" spans="1:13">
      <c r="A219" s="6">
        <v>43836</v>
      </c>
      <c r="B219" s="7">
        <v>0.57152777777777775</v>
      </c>
      <c r="C219" s="2" t="str">
        <f>"FES1162729719"</f>
        <v>FES1162729719</v>
      </c>
      <c r="D219" s="2" t="s">
        <v>19</v>
      </c>
      <c r="E219" s="2" t="s">
        <v>229</v>
      </c>
      <c r="F219" s="2" t="str">
        <f>"2170721761 "</f>
        <v xml:space="preserve">2170721761 </v>
      </c>
      <c r="G219" s="2" t="str">
        <f t="shared" si="7"/>
        <v>ON1</v>
      </c>
      <c r="H219" s="2" t="s">
        <v>21</v>
      </c>
      <c r="I219" s="2" t="s">
        <v>230</v>
      </c>
      <c r="J219" s="2" t="str">
        <f>""</f>
        <v/>
      </c>
      <c r="K219" s="2" t="str">
        <f>"PFES1162729719_0001"</f>
        <v>PFES1162729719_0001</v>
      </c>
      <c r="L219" s="2">
        <v>1</v>
      </c>
      <c r="M219" s="2">
        <v>1</v>
      </c>
    </row>
    <row r="220" spans="1:13">
      <c r="A220" s="6">
        <v>43836</v>
      </c>
      <c r="B220" s="7">
        <v>0.5708333333333333</v>
      </c>
      <c r="C220" s="2" t="str">
        <f>"FES1162729736"</f>
        <v>FES1162729736</v>
      </c>
      <c r="D220" s="2" t="s">
        <v>19</v>
      </c>
      <c r="E220" s="2" t="s">
        <v>234</v>
      </c>
      <c r="F220" s="2" t="str">
        <f>"2170720986 "</f>
        <v xml:space="preserve">2170720986 </v>
      </c>
      <c r="G220" s="2" t="str">
        <f t="shared" si="7"/>
        <v>ON1</v>
      </c>
      <c r="H220" s="2" t="s">
        <v>21</v>
      </c>
      <c r="I220" s="2" t="s">
        <v>235</v>
      </c>
      <c r="J220" s="2" t="str">
        <f>""</f>
        <v/>
      </c>
      <c r="K220" s="2" t="str">
        <f>"PFES1162729736_0001"</f>
        <v>PFES1162729736_0001</v>
      </c>
      <c r="L220" s="2">
        <v>1</v>
      </c>
      <c r="M220" s="2">
        <v>1</v>
      </c>
    </row>
    <row r="221" spans="1:13">
      <c r="A221" s="6">
        <v>43836</v>
      </c>
      <c r="B221" s="7">
        <v>0.56458333333333333</v>
      </c>
      <c r="C221" s="2" t="str">
        <f>"FES1162729783"</f>
        <v>FES1162729783</v>
      </c>
      <c r="D221" s="2" t="s">
        <v>19</v>
      </c>
      <c r="E221" s="2" t="s">
        <v>243</v>
      </c>
      <c r="F221" s="2" t="str">
        <f>"2170721186 "</f>
        <v xml:space="preserve">2170721186 </v>
      </c>
      <c r="G221" s="2" t="str">
        <f t="shared" si="7"/>
        <v>ON1</v>
      </c>
      <c r="H221" s="2" t="s">
        <v>21</v>
      </c>
      <c r="I221" s="2" t="s">
        <v>71</v>
      </c>
      <c r="J221" s="2" t="str">
        <f>""</f>
        <v/>
      </c>
      <c r="K221" s="2" t="str">
        <f>"PFES1162729783_0001"</f>
        <v>PFES1162729783_0001</v>
      </c>
      <c r="L221" s="2">
        <v>1</v>
      </c>
      <c r="M221" s="2">
        <v>1</v>
      </c>
    </row>
    <row r="222" spans="1:13">
      <c r="A222" s="6">
        <v>43836</v>
      </c>
      <c r="B222" s="7">
        <v>0.56111111111111112</v>
      </c>
      <c r="C222" s="2" t="str">
        <f>"FES1162729752"</f>
        <v>FES1162729752</v>
      </c>
      <c r="D222" s="2" t="s">
        <v>19</v>
      </c>
      <c r="E222" s="2" t="s">
        <v>37</v>
      </c>
      <c r="F222" s="2" t="str">
        <f>"2170722645 "</f>
        <v xml:space="preserve">2170722645 </v>
      </c>
      <c r="G222" s="2" t="str">
        <f t="shared" si="7"/>
        <v>ON1</v>
      </c>
      <c r="H222" s="2" t="s">
        <v>21</v>
      </c>
      <c r="I222" s="2" t="s">
        <v>38</v>
      </c>
      <c r="J222" s="2" t="str">
        <f>""</f>
        <v/>
      </c>
      <c r="K222" s="2" t="str">
        <f>"PFES1162729752_0001"</f>
        <v>PFES1162729752_0001</v>
      </c>
      <c r="L222" s="2">
        <v>1</v>
      </c>
      <c r="M222" s="2">
        <v>1</v>
      </c>
    </row>
    <row r="223" spans="1:13">
      <c r="A223" s="6">
        <v>43836</v>
      </c>
      <c r="B223" s="7">
        <v>0.56041666666666667</v>
      </c>
      <c r="C223" s="2" t="str">
        <f>"FES1162729784"</f>
        <v>FES1162729784</v>
      </c>
      <c r="D223" s="2" t="s">
        <v>19</v>
      </c>
      <c r="E223" s="2" t="s">
        <v>59</v>
      </c>
      <c r="F223" s="2" t="str">
        <f>"2170721190 "</f>
        <v xml:space="preserve">2170721190 </v>
      </c>
      <c r="G223" s="2" t="str">
        <f t="shared" si="7"/>
        <v>ON1</v>
      </c>
      <c r="H223" s="2" t="s">
        <v>21</v>
      </c>
      <c r="I223" s="2" t="s">
        <v>60</v>
      </c>
      <c r="J223" s="2" t="str">
        <f>""</f>
        <v/>
      </c>
      <c r="K223" s="2" t="str">
        <f>"PFES1162729784_0001"</f>
        <v>PFES1162729784_0001</v>
      </c>
      <c r="L223" s="2">
        <v>1</v>
      </c>
      <c r="M223" s="2">
        <v>1</v>
      </c>
    </row>
    <row r="224" spans="1:13">
      <c r="A224" s="6">
        <v>43836</v>
      </c>
      <c r="B224" s="7">
        <v>0.56041666666666667</v>
      </c>
      <c r="C224" s="2" t="str">
        <f>"FES1162729801"</f>
        <v>FES1162729801</v>
      </c>
      <c r="D224" s="2" t="s">
        <v>19</v>
      </c>
      <c r="E224" s="2" t="s">
        <v>218</v>
      </c>
      <c r="F224" s="2" t="str">
        <f>"2170729594 "</f>
        <v xml:space="preserve">2170729594 </v>
      </c>
      <c r="G224" s="2" t="str">
        <f t="shared" si="7"/>
        <v>ON1</v>
      </c>
      <c r="H224" s="2" t="s">
        <v>21</v>
      </c>
      <c r="I224" s="2" t="s">
        <v>49</v>
      </c>
      <c r="J224" s="2" t="str">
        <f>""</f>
        <v/>
      </c>
      <c r="K224" s="2" t="str">
        <f>"PFES1162729801_0001"</f>
        <v>PFES1162729801_0001</v>
      </c>
      <c r="L224" s="2">
        <v>1</v>
      </c>
      <c r="M224" s="2">
        <v>1</v>
      </c>
    </row>
    <row r="225" spans="1:13">
      <c r="A225" s="6">
        <v>43836</v>
      </c>
      <c r="B225" s="7">
        <v>0.55972222222222223</v>
      </c>
      <c r="C225" s="2" t="str">
        <f>"FES1162729856"</f>
        <v>FES1162729856</v>
      </c>
      <c r="D225" s="2" t="s">
        <v>19</v>
      </c>
      <c r="E225" s="2" t="s">
        <v>132</v>
      </c>
      <c r="F225" s="2" t="str">
        <f>"2170722679 "</f>
        <v xml:space="preserve">2170722679 </v>
      </c>
      <c r="G225" s="2" t="str">
        <f t="shared" si="7"/>
        <v>ON1</v>
      </c>
      <c r="H225" s="2" t="s">
        <v>21</v>
      </c>
      <c r="I225" s="2" t="s">
        <v>133</v>
      </c>
      <c r="J225" s="2" t="str">
        <f>""</f>
        <v/>
      </c>
      <c r="K225" s="2" t="str">
        <f>"PFES1162729856_0001"</f>
        <v>PFES1162729856_0001</v>
      </c>
      <c r="L225" s="2">
        <v>1</v>
      </c>
      <c r="M225" s="2">
        <v>1</v>
      </c>
    </row>
    <row r="226" spans="1:13">
      <c r="A226" s="6">
        <v>43836</v>
      </c>
      <c r="B226" s="7">
        <v>0.55902777777777779</v>
      </c>
      <c r="C226" s="2" t="str">
        <f>"FES1162729828"</f>
        <v>FES1162729828</v>
      </c>
      <c r="D226" s="2" t="s">
        <v>19</v>
      </c>
      <c r="E226" s="2" t="s">
        <v>68</v>
      </c>
      <c r="F226" s="2" t="str">
        <f>"2170721125 "</f>
        <v xml:space="preserve">2170721125 </v>
      </c>
      <c r="G226" s="2" t="str">
        <f t="shared" si="7"/>
        <v>ON1</v>
      </c>
      <c r="H226" s="2" t="s">
        <v>21</v>
      </c>
      <c r="I226" s="2" t="s">
        <v>69</v>
      </c>
      <c r="J226" s="2" t="str">
        <f>""</f>
        <v/>
      </c>
      <c r="K226" s="2" t="str">
        <f>"PFES1162729828_0001"</f>
        <v>PFES1162729828_0001</v>
      </c>
      <c r="L226" s="2">
        <v>1</v>
      </c>
      <c r="M226" s="2">
        <v>1</v>
      </c>
    </row>
    <row r="227" spans="1:13">
      <c r="A227" s="6">
        <v>43836</v>
      </c>
      <c r="B227" s="7">
        <v>0.55902777777777779</v>
      </c>
      <c r="C227" s="2" t="str">
        <f>"FES1162729726"</f>
        <v>FES1162729726</v>
      </c>
      <c r="D227" s="2" t="s">
        <v>19</v>
      </c>
      <c r="E227" s="2" t="s">
        <v>44</v>
      </c>
      <c r="F227" s="2" t="str">
        <f>"21707212510 "</f>
        <v xml:space="preserve">21707212510 </v>
      </c>
      <c r="G227" s="2" t="str">
        <f t="shared" si="7"/>
        <v>ON1</v>
      </c>
      <c r="H227" s="2" t="s">
        <v>21</v>
      </c>
      <c r="I227" s="2" t="s">
        <v>63</v>
      </c>
      <c r="J227" s="2" t="str">
        <f>""</f>
        <v/>
      </c>
      <c r="K227" s="2" t="str">
        <f>"PFES1162729726_0001"</f>
        <v>PFES1162729726_0001</v>
      </c>
      <c r="L227" s="2">
        <v>1</v>
      </c>
      <c r="M227" s="2">
        <v>1</v>
      </c>
    </row>
    <row r="228" spans="1:13">
      <c r="A228" s="6">
        <v>43836</v>
      </c>
      <c r="B228" s="7">
        <v>0.55833333333333335</v>
      </c>
      <c r="C228" s="2" t="str">
        <f>"FES1162729790"</f>
        <v>FES1162729790</v>
      </c>
      <c r="D228" s="2" t="s">
        <v>19</v>
      </c>
      <c r="E228" s="2" t="s">
        <v>244</v>
      </c>
      <c r="F228" s="2" t="str">
        <f>"2170721398 "</f>
        <v xml:space="preserve">2170721398 </v>
      </c>
      <c r="G228" s="2" t="str">
        <f t="shared" si="7"/>
        <v>ON1</v>
      </c>
      <c r="H228" s="2" t="s">
        <v>21</v>
      </c>
      <c r="I228" s="2" t="s">
        <v>36</v>
      </c>
      <c r="J228" s="2" t="str">
        <f>""</f>
        <v/>
      </c>
      <c r="K228" s="2" t="str">
        <f>"PFES1162729790_0001"</f>
        <v>PFES1162729790_0001</v>
      </c>
      <c r="L228" s="2">
        <v>1</v>
      </c>
      <c r="M228" s="2">
        <v>1</v>
      </c>
    </row>
    <row r="229" spans="1:13">
      <c r="A229" s="6">
        <v>43836</v>
      </c>
      <c r="B229" s="7">
        <v>0.55763888888888891</v>
      </c>
      <c r="C229" s="2" t="str">
        <f>"FES1162729720"</f>
        <v>FES1162729720</v>
      </c>
      <c r="D229" s="2" t="s">
        <v>19</v>
      </c>
      <c r="E229" s="2" t="s">
        <v>44</v>
      </c>
      <c r="F229" s="2" t="str">
        <f>"2170722019 "</f>
        <v xml:space="preserve">2170722019 </v>
      </c>
      <c r="G229" s="2" t="str">
        <f t="shared" si="7"/>
        <v>ON1</v>
      </c>
      <c r="H229" s="2" t="s">
        <v>21</v>
      </c>
      <c r="I229" s="2" t="s">
        <v>63</v>
      </c>
      <c r="J229" s="2" t="str">
        <f>""</f>
        <v/>
      </c>
      <c r="K229" s="2" t="str">
        <f>"PFES1162729720_0001"</f>
        <v>PFES1162729720_0001</v>
      </c>
      <c r="L229" s="2">
        <v>1</v>
      </c>
      <c r="M229" s="2">
        <v>1</v>
      </c>
    </row>
    <row r="230" spans="1:13">
      <c r="A230" s="6">
        <v>43836</v>
      </c>
      <c r="B230" s="7">
        <v>0.55763888888888891</v>
      </c>
      <c r="C230" s="2" t="str">
        <f>"FES1162729782"</f>
        <v>FES1162729782</v>
      </c>
      <c r="D230" s="2" t="s">
        <v>19</v>
      </c>
      <c r="E230" s="2" t="s">
        <v>243</v>
      </c>
      <c r="F230" s="2" t="str">
        <f>"2170721183 "</f>
        <v xml:space="preserve">2170721183 </v>
      </c>
      <c r="G230" s="2" t="str">
        <f t="shared" si="7"/>
        <v>ON1</v>
      </c>
      <c r="H230" s="2" t="s">
        <v>21</v>
      </c>
      <c r="I230" s="2" t="s">
        <v>71</v>
      </c>
      <c r="J230" s="2" t="str">
        <f>""</f>
        <v/>
      </c>
      <c r="K230" s="2" t="str">
        <f>"PFES1162729782_0001"</f>
        <v>PFES1162729782_0001</v>
      </c>
      <c r="L230" s="2">
        <v>1</v>
      </c>
      <c r="M230" s="2">
        <v>1</v>
      </c>
    </row>
    <row r="231" spans="1:13">
      <c r="A231" s="6">
        <v>43836</v>
      </c>
      <c r="B231" s="7">
        <v>0.55694444444444446</v>
      </c>
      <c r="C231" s="2" t="str">
        <f>"FES1162729832"</f>
        <v>FES1162729832</v>
      </c>
      <c r="D231" s="2" t="s">
        <v>19</v>
      </c>
      <c r="E231" s="2" t="s">
        <v>120</v>
      </c>
      <c r="F231" s="2" t="str">
        <f>"2170722609 "</f>
        <v xml:space="preserve">2170722609 </v>
      </c>
      <c r="G231" s="2" t="str">
        <f t="shared" si="7"/>
        <v>ON1</v>
      </c>
      <c r="H231" s="2" t="s">
        <v>21</v>
      </c>
      <c r="I231" s="2" t="s">
        <v>121</v>
      </c>
      <c r="J231" s="2" t="str">
        <f>""</f>
        <v/>
      </c>
      <c r="K231" s="2" t="str">
        <f>"PFES1162729832_0001"</f>
        <v>PFES1162729832_0001</v>
      </c>
      <c r="L231" s="2">
        <v>1</v>
      </c>
      <c r="M231" s="2">
        <v>1</v>
      </c>
    </row>
    <row r="232" spans="1:13">
      <c r="A232" s="6">
        <v>43836</v>
      </c>
      <c r="B232" s="7">
        <v>0.54791666666666672</v>
      </c>
      <c r="C232" s="2" t="str">
        <f>"FES1162729568"</f>
        <v>FES1162729568</v>
      </c>
      <c r="D232" s="2" t="s">
        <v>19</v>
      </c>
      <c r="E232" s="2" t="s">
        <v>116</v>
      </c>
      <c r="F232" s="2" t="str">
        <f>"2170722526 "</f>
        <v xml:space="preserve">2170722526 </v>
      </c>
      <c r="G232" s="2" t="str">
        <f t="shared" si="7"/>
        <v>ON1</v>
      </c>
      <c r="H232" s="2" t="s">
        <v>21</v>
      </c>
      <c r="I232" s="2" t="s">
        <v>96</v>
      </c>
      <c r="J232" s="2" t="str">
        <f>""</f>
        <v/>
      </c>
      <c r="K232" s="2" t="str">
        <f>"PFES1162729568_0001"</f>
        <v>PFES1162729568_0001</v>
      </c>
      <c r="L232" s="2">
        <v>1</v>
      </c>
      <c r="M232" s="2">
        <v>1</v>
      </c>
    </row>
    <row r="233" spans="1:13">
      <c r="A233" s="6">
        <v>43836</v>
      </c>
      <c r="B233" s="7">
        <v>0.54791666666666672</v>
      </c>
      <c r="C233" s="2" t="str">
        <f>"FES1162729795"</f>
        <v>FES1162729795</v>
      </c>
      <c r="D233" s="2" t="s">
        <v>19</v>
      </c>
      <c r="E233" s="2" t="s">
        <v>245</v>
      </c>
      <c r="F233" s="2" t="str">
        <f>"2170722043 "</f>
        <v xml:space="preserve">2170722043 </v>
      </c>
      <c r="G233" s="2" t="str">
        <f t="shared" si="7"/>
        <v>ON1</v>
      </c>
      <c r="H233" s="2" t="s">
        <v>21</v>
      </c>
      <c r="I233" s="2" t="s">
        <v>96</v>
      </c>
      <c r="J233" s="2" t="str">
        <f>""</f>
        <v/>
      </c>
      <c r="K233" s="2" t="str">
        <f>"PFES1162729795_0001"</f>
        <v>PFES1162729795_0001</v>
      </c>
      <c r="L233" s="2">
        <v>1</v>
      </c>
      <c r="M233" s="2">
        <v>1</v>
      </c>
    </row>
    <row r="234" spans="1:13">
      <c r="A234" s="6">
        <v>43836</v>
      </c>
      <c r="B234" s="7">
        <v>0.54722222222222217</v>
      </c>
      <c r="C234" s="2" t="str">
        <f>"FES1162729561"</f>
        <v>FES1162729561</v>
      </c>
      <c r="D234" s="2" t="s">
        <v>19</v>
      </c>
      <c r="E234" s="2" t="s">
        <v>246</v>
      </c>
      <c r="F234" s="2" t="str">
        <f>"2170722514 "</f>
        <v xml:space="preserve">2170722514 </v>
      </c>
      <c r="G234" s="2" t="str">
        <f t="shared" si="7"/>
        <v>ON1</v>
      </c>
      <c r="H234" s="2" t="s">
        <v>21</v>
      </c>
      <c r="I234" s="2" t="s">
        <v>247</v>
      </c>
      <c r="J234" s="2" t="str">
        <f>""</f>
        <v/>
      </c>
      <c r="K234" s="2" t="str">
        <f>"PFES1162729561_0001"</f>
        <v>PFES1162729561_0001</v>
      </c>
      <c r="L234" s="2">
        <v>1</v>
      </c>
      <c r="M234" s="2">
        <v>1</v>
      </c>
    </row>
    <row r="235" spans="1:13">
      <c r="A235" s="6">
        <v>43836</v>
      </c>
      <c r="B235" s="7">
        <v>0.54652777777777783</v>
      </c>
      <c r="C235" s="2" t="str">
        <f>"FES1162729566"</f>
        <v>FES1162729566</v>
      </c>
      <c r="D235" s="2" t="s">
        <v>19</v>
      </c>
      <c r="E235" s="2" t="s">
        <v>248</v>
      </c>
      <c r="F235" s="2" t="str">
        <f>"2170722524 "</f>
        <v xml:space="preserve">2170722524 </v>
      </c>
      <c r="G235" s="2" t="str">
        <f t="shared" si="7"/>
        <v>ON1</v>
      </c>
      <c r="H235" s="2" t="s">
        <v>21</v>
      </c>
      <c r="I235" s="2" t="s">
        <v>247</v>
      </c>
      <c r="J235" s="2" t="str">
        <f>""</f>
        <v/>
      </c>
      <c r="K235" s="2" t="str">
        <f>"PFES1162729566_0001"</f>
        <v>PFES1162729566_0001</v>
      </c>
      <c r="L235" s="2">
        <v>1</v>
      </c>
      <c r="M235" s="2">
        <v>1</v>
      </c>
    </row>
    <row r="236" spans="1:13">
      <c r="A236" s="6">
        <v>43836</v>
      </c>
      <c r="B236" s="7">
        <v>0.54583333333333328</v>
      </c>
      <c r="C236" s="2" t="str">
        <f>"FES1162729816"</f>
        <v>FES1162729816</v>
      </c>
      <c r="D236" s="2" t="s">
        <v>19</v>
      </c>
      <c r="E236" s="2" t="s">
        <v>44</v>
      </c>
      <c r="F236" s="2" t="str">
        <f>"21707420909 "</f>
        <v xml:space="preserve">21707420909 </v>
      </c>
      <c r="G236" s="2" t="str">
        <f t="shared" si="7"/>
        <v>ON1</v>
      </c>
      <c r="H236" s="2" t="s">
        <v>21</v>
      </c>
      <c r="I236" s="2" t="s">
        <v>249</v>
      </c>
      <c r="J236" s="2" t="str">
        <f>""</f>
        <v/>
      </c>
      <c r="K236" s="2" t="str">
        <f>"PFES1162729816_0001"</f>
        <v>PFES1162729816_0001</v>
      </c>
      <c r="L236" s="2">
        <v>1</v>
      </c>
      <c r="M236" s="2">
        <v>1</v>
      </c>
    </row>
    <row r="237" spans="1:13">
      <c r="A237" s="6">
        <v>43836</v>
      </c>
      <c r="B237" s="7">
        <v>0.54513888888888895</v>
      </c>
      <c r="C237" s="2" t="str">
        <f>"FES1162729821"</f>
        <v>FES1162729821</v>
      </c>
      <c r="D237" s="2" t="s">
        <v>19</v>
      </c>
      <c r="E237" s="2" t="s">
        <v>23</v>
      </c>
      <c r="F237" s="2" t="str">
        <f>"2170720964 "</f>
        <v xml:space="preserve">2170720964 </v>
      </c>
      <c r="G237" s="2" t="str">
        <f t="shared" si="7"/>
        <v>ON1</v>
      </c>
      <c r="H237" s="2" t="s">
        <v>21</v>
      </c>
      <c r="I237" s="2" t="s">
        <v>127</v>
      </c>
      <c r="J237" s="2" t="str">
        <f>""</f>
        <v/>
      </c>
      <c r="K237" s="2" t="str">
        <f>"PFES1162729821_0001"</f>
        <v>PFES1162729821_0001</v>
      </c>
      <c r="L237" s="2">
        <v>1</v>
      </c>
      <c r="M237" s="2">
        <v>2</v>
      </c>
    </row>
    <row r="238" spans="1:13">
      <c r="A238" s="6">
        <v>43836</v>
      </c>
      <c r="B238" s="7">
        <v>0.54513888888888895</v>
      </c>
      <c r="C238" s="2" t="str">
        <f>"FES1162729542"</f>
        <v>FES1162729542</v>
      </c>
      <c r="D238" s="2" t="s">
        <v>19</v>
      </c>
      <c r="E238" s="2" t="s">
        <v>250</v>
      </c>
      <c r="F238" s="2" t="str">
        <f>"2170718365 "</f>
        <v xml:space="preserve">2170718365 </v>
      </c>
      <c r="G238" s="2" t="str">
        <f t="shared" si="7"/>
        <v>ON1</v>
      </c>
      <c r="H238" s="2" t="s">
        <v>21</v>
      </c>
      <c r="I238" s="2" t="s">
        <v>88</v>
      </c>
      <c r="J238" s="2" t="str">
        <f>""</f>
        <v/>
      </c>
      <c r="K238" s="2" t="str">
        <f>"PFES1162729542_0001"</f>
        <v>PFES1162729542_0001</v>
      </c>
      <c r="L238" s="2">
        <v>1</v>
      </c>
      <c r="M238" s="2">
        <v>1</v>
      </c>
    </row>
    <row r="239" spans="1:13">
      <c r="A239" s="6">
        <v>43836</v>
      </c>
      <c r="B239" s="7">
        <v>0.5444444444444444</v>
      </c>
      <c r="C239" s="2" t="str">
        <f>"FES1162729567"</f>
        <v>FES1162729567</v>
      </c>
      <c r="D239" s="2" t="s">
        <v>19</v>
      </c>
      <c r="E239" s="2" t="s">
        <v>251</v>
      </c>
      <c r="F239" s="2" t="str">
        <f>"2170722525 "</f>
        <v xml:space="preserve">2170722525 </v>
      </c>
      <c r="G239" s="2" t="str">
        <f t="shared" si="7"/>
        <v>ON1</v>
      </c>
      <c r="H239" s="2" t="s">
        <v>21</v>
      </c>
      <c r="I239" s="2" t="s">
        <v>96</v>
      </c>
      <c r="J239" s="2" t="str">
        <f>""</f>
        <v/>
      </c>
      <c r="K239" s="2" t="str">
        <f>"PFES1162729567_0001"</f>
        <v>PFES1162729567_0001</v>
      </c>
      <c r="L239" s="2">
        <v>1</v>
      </c>
      <c r="M239" s="2">
        <v>4</v>
      </c>
    </row>
    <row r="240" spans="1:13">
      <c r="A240" s="6">
        <v>43836</v>
      </c>
      <c r="B240" s="7">
        <v>0.5444444444444444</v>
      </c>
      <c r="C240" s="2" t="str">
        <f>"FES1162729796"</f>
        <v>FES1162729796</v>
      </c>
      <c r="D240" s="2" t="s">
        <v>19</v>
      </c>
      <c r="E240" s="2" t="s">
        <v>205</v>
      </c>
      <c r="F240" s="2" t="str">
        <f>"2170722248 "</f>
        <v xml:space="preserve">2170722248 </v>
      </c>
      <c r="G240" s="2" t="str">
        <f t="shared" si="7"/>
        <v>ON1</v>
      </c>
      <c r="H240" s="2" t="s">
        <v>21</v>
      </c>
      <c r="I240" s="2" t="s">
        <v>88</v>
      </c>
      <c r="J240" s="2" t="str">
        <f>""</f>
        <v/>
      </c>
      <c r="K240" s="2" t="str">
        <f>"PFES1162729796_0001"</f>
        <v>PFES1162729796_0001</v>
      </c>
      <c r="L240" s="2">
        <v>1</v>
      </c>
      <c r="M240" s="2">
        <v>3</v>
      </c>
    </row>
    <row r="241" spans="1:13">
      <c r="A241" s="6">
        <v>43836</v>
      </c>
      <c r="B241" s="7">
        <v>0.54375000000000007</v>
      </c>
      <c r="C241" s="2" t="str">
        <f>"FES1162729840"</f>
        <v>FES1162729840</v>
      </c>
      <c r="D241" s="2" t="s">
        <v>19</v>
      </c>
      <c r="E241" s="2" t="s">
        <v>64</v>
      </c>
      <c r="F241" s="2" t="str">
        <f>"2170717511 "</f>
        <v xml:space="preserve">2170717511 </v>
      </c>
      <c r="G241" s="2" t="str">
        <f t="shared" si="7"/>
        <v>ON1</v>
      </c>
      <c r="H241" s="2" t="s">
        <v>21</v>
      </c>
      <c r="I241" s="2" t="s">
        <v>60</v>
      </c>
      <c r="J241" s="2" t="str">
        <f>""</f>
        <v/>
      </c>
      <c r="K241" s="2" t="str">
        <f>"PFES1162729840_0001"</f>
        <v>PFES1162729840_0001</v>
      </c>
      <c r="L241" s="2">
        <v>2</v>
      </c>
      <c r="M241" s="2">
        <v>11</v>
      </c>
    </row>
    <row r="242" spans="1:13">
      <c r="A242" s="6">
        <v>43836</v>
      </c>
      <c r="B242" s="7">
        <v>0.54375000000000007</v>
      </c>
      <c r="C242" s="2" t="str">
        <f>"FES1162729840"</f>
        <v>FES1162729840</v>
      </c>
      <c r="D242" s="2" t="s">
        <v>19</v>
      </c>
      <c r="E242" s="2" t="s">
        <v>64</v>
      </c>
      <c r="F242" s="2" t="str">
        <f>"2170717511 "</f>
        <v xml:space="preserve">2170717511 </v>
      </c>
      <c r="G242" s="2" t="str">
        <f t="shared" si="7"/>
        <v>ON1</v>
      </c>
      <c r="H242" s="2" t="s">
        <v>21</v>
      </c>
      <c r="I242" s="2" t="s">
        <v>60</v>
      </c>
      <c r="J242" s="2"/>
      <c r="K242" s="2" t="str">
        <f>"PFES1162729840_0002"</f>
        <v>PFES1162729840_0002</v>
      </c>
      <c r="L242" s="2">
        <v>2</v>
      </c>
      <c r="M242" s="2">
        <v>11</v>
      </c>
    </row>
    <row r="243" spans="1:13">
      <c r="A243" s="6">
        <v>43836</v>
      </c>
      <c r="B243" s="7">
        <v>0.52152777777777781</v>
      </c>
      <c r="C243" s="2" t="str">
        <f>"FES1162729841"</f>
        <v>FES1162729841</v>
      </c>
      <c r="D243" s="2" t="s">
        <v>19</v>
      </c>
      <c r="E243" s="2" t="s">
        <v>218</v>
      </c>
      <c r="F243" s="2" t="str">
        <f>"217025195494 "</f>
        <v xml:space="preserve">217025195494 </v>
      </c>
      <c r="G243" s="2" t="str">
        <f t="shared" si="7"/>
        <v>ON1</v>
      </c>
      <c r="H243" s="2" t="s">
        <v>21</v>
      </c>
      <c r="I243" s="2" t="s">
        <v>49</v>
      </c>
      <c r="J243" s="2" t="str">
        <f>""</f>
        <v/>
      </c>
      <c r="K243" s="2" t="str">
        <f>"PFES1162729841_0001"</f>
        <v>PFES1162729841_0001</v>
      </c>
      <c r="L243" s="2">
        <v>1</v>
      </c>
      <c r="M243" s="2">
        <v>15</v>
      </c>
    </row>
    <row r="244" spans="1:13">
      <c r="A244" s="6">
        <v>43836</v>
      </c>
      <c r="B244" s="7">
        <v>0.52083333333333337</v>
      </c>
      <c r="C244" s="2" t="str">
        <f>"FES1162729781"</f>
        <v>FES1162729781</v>
      </c>
      <c r="D244" s="2" t="s">
        <v>19</v>
      </c>
      <c r="E244" s="2" t="s">
        <v>252</v>
      </c>
      <c r="F244" s="2" t="str">
        <f>"2170721175 "</f>
        <v xml:space="preserve">2170721175 </v>
      </c>
      <c r="G244" s="2" t="str">
        <f t="shared" si="7"/>
        <v>ON1</v>
      </c>
      <c r="H244" s="2" t="s">
        <v>21</v>
      </c>
      <c r="I244" s="2" t="s">
        <v>253</v>
      </c>
      <c r="J244" s="2" t="str">
        <f>""</f>
        <v/>
      </c>
      <c r="K244" s="2" t="str">
        <f>"PFES1162729781_0001"</f>
        <v>PFES1162729781_0001</v>
      </c>
      <c r="L244" s="2">
        <v>1</v>
      </c>
      <c r="M244" s="2">
        <v>1</v>
      </c>
    </row>
    <row r="245" spans="1:13">
      <c r="A245" s="6">
        <v>43836</v>
      </c>
      <c r="B245" s="7">
        <v>0.52083333333333337</v>
      </c>
      <c r="C245" s="2" t="str">
        <f>"FES1162729854"</f>
        <v>FES1162729854</v>
      </c>
      <c r="D245" s="2" t="s">
        <v>19</v>
      </c>
      <c r="E245" s="2" t="s">
        <v>136</v>
      </c>
      <c r="F245" s="2" t="str">
        <f>"2170722689 "</f>
        <v xml:space="preserve">2170722689 </v>
      </c>
      <c r="G245" s="2" t="str">
        <f t="shared" si="7"/>
        <v>ON1</v>
      </c>
      <c r="H245" s="2" t="s">
        <v>21</v>
      </c>
      <c r="I245" s="2" t="s">
        <v>137</v>
      </c>
      <c r="J245" s="2" t="str">
        <f>""</f>
        <v/>
      </c>
      <c r="K245" s="2" t="str">
        <f>"PFES1162729854_0001"</f>
        <v>PFES1162729854_0001</v>
      </c>
      <c r="L245" s="2">
        <v>1</v>
      </c>
      <c r="M245" s="2">
        <v>1</v>
      </c>
    </row>
    <row r="246" spans="1:13">
      <c r="A246" s="6">
        <v>43836</v>
      </c>
      <c r="B246" s="7">
        <v>0.52013888888888882</v>
      </c>
      <c r="C246" s="2" t="str">
        <f>"FES1162729772"</f>
        <v>FES1162729772</v>
      </c>
      <c r="D246" s="2" t="s">
        <v>19</v>
      </c>
      <c r="E246" s="2" t="s">
        <v>254</v>
      </c>
      <c r="F246" s="2" t="str">
        <f>"2170720339 "</f>
        <v xml:space="preserve">2170720339 </v>
      </c>
      <c r="G246" s="2" t="str">
        <f t="shared" si="7"/>
        <v>ON1</v>
      </c>
      <c r="H246" s="2" t="s">
        <v>21</v>
      </c>
      <c r="I246" s="2" t="s">
        <v>255</v>
      </c>
      <c r="J246" s="2" t="str">
        <f>""</f>
        <v/>
      </c>
      <c r="K246" s="2" t="str">
        <f>"PFES1162729772_0001"</f>
        <v>PFES1162729772_0001</v>
      </c>
      <c r="L246" s="2">
        <v>1</v>
      </c>
      <c r="M246" s="2">
        <v>1</v>
      </c>
    </row>
    <row r="247" spans="1:13">
      <c r="A247" s="6">
        <v>43836</v>
      </c>
      <c r="B247" s="7">
        <v>0.52013888888888882</v>
      </c>
      <c r="C247" s="2" t="str">
        <f>"FES1162729760"</f>
        <v>FES1162729760</v>
      </c>
      <c r="D247" s="2" t="s">
        <v>19</v>
      </c>
      <c r="E247" s="2" t="s">
        <v>256</v>
      </c>
      <c r="F247" s="2" t="str">
        <f>"2170722665 "</f>
        <v xml:space="preserve">2170722665 </v>
      </c>
      <c r="G247" s="2" t="str">
        <f t="shared" si="7"/>
        <v>ON1</v>
      </c>
      <c r="H247" s="2" t="s">
        <v>21</v>
      </c>
      <c r="I247" s="2" t="s">
        <v>257</v>
      </c>
      <c r="J247" s="2" t="str">
        <f>""</f>
        <v/>
      </c>
      <c r="K247" s="2" t="str">
        <f>"PFES1162729760_0001"</f>
        <v>PFES1162729760_0001</v>
      </c>
      <c r="L247" s="2">
        <v>1</v>
      </c>
      <c r="M247" s="2">
        <v>1</v>
      </c>
    </row>
    <row r="248" spans="1:13">
      <c r="A248" s="6">
        <v>43836</v>
      </c>
      <c r="B248" s="7">
        <v>0.51944444444444449</v>
      </c>
      <c r="C248" s="2" t="str">
        <f>"FES1162729724"</f>
        <v>FES1162729724</v>
      </c>
      <c r="D248" s="2" t="s">
        <v>19</v>
      </c>
      <c r="E248" s="2" t="s">
        <v>159</v>
      </c>
      <c r="F248" s="2" t="str">
        <f>"2170722633 "</f>
        <v xml:space="preserve">2170722633 </v>
      </c>
      <c r="G248" s="2" t="str">
        <f t="shared" si="7"/>
        <v>ON1</v>
      </c>
      <c r="H248" s="2" t="s">
        <v>21</v>
      </c>
      <c r="I248" s="2" t="s">
        <v>83</v>
      </c>
      <c r="J248" s="2" t="str">
        <f>""</f>
        <v/>
      </c>
      <c r="K248" s="2" t="str">
        <f>"PFES1162729724_0001"</f>
        <v>PFES1162729724_0001</v>
      </c>
      <c r="L248" s="2">
        <v>1</v>
      </c>
      <c r="M248" s="2">
        <v>1</v>
      </c>
    </row>
    <row r="249" spans="1:13">
      <c r="A249" s="6">
        <v>43836</v>
      </c>
      <c r="B249" s="7">
        <v>0.51944444444444449</v>
      </c>
      <c r="C249" s="2" t="str">
        <f>"FES1162729766"</f>
        <v>FES1162729766</v>
      </c>
      <c r="D249" s="2" t="s">
        <v>19</v>
      </c>
      <c r="E249" s="2" t="s">
        <v>252</v>
      </c>
      <c r="F249" s="2" t="str">
        <f>"2170716023 "</f>
        <v xml:space="preserve">2170716023 </v>
      </c>
      <c r="G249" s="2" t="str">
        <f t="shared" si="7"/>
        <v>ON1</v>
      </c>
      <c r="H249" s="2" t="s">
        <v>21</v>
      </c>
      <c r="I249" s="2" t="s">
        <v>253</v>
      </c>
      <c r="J249" s="2" t="str">
        <f>""</f>
        <v/>
      </c>
      <c r="K249" s="2" t="str">
        <f>"PFES1162729766_0001"</f>
        <v>PFES1162729766_0001</v>
      </c>
      <c r="L249" s="2">
        <v>1</v>
      </c>
      <c r="M249" s="2">
        <v>1</v>
      </c>
    </row>
    <row r="250" spans="1:13">
      <c r="A250" s="6">
        <v>43836</v>
      </c>
      <c r="B250" s="7">
        <v>0.51874999999999993</v>
      </c>
      <c r="C250" s="2" t="str">
        <f>"FES1162729722"</f>
        <v>FES1162729722</v>
      </c>
      <c r="D250" s="2" t="s">
        <v>19</v>
      </c>
      <c r="E250" s="2" t="s">
        <v>159</v>
      </c>
      <c r="F250" s="2" t="str">
        <f>"2170722620 "</f>
        <v xml:space="preserve">2170722620 </v>
      </c>
      <c r="G250" s="2" t="str">
        <f t="shared" si="7"/>
        <v>ON1</v>
      </c>
      <c r="H250" s="2" t="s">
        <v>21</v>
      </c>
      <c r="I250" s="2" t="s">
        <v>83</v>
      </c>
      <c r="J250" s="2" t="str">
        <f>""</f>
        <v/>
      </c>
      <c r="K250" s="2" t="str">
        <f>"PFES1162729722_0001"</f>
        <v>PFES1162729722_0001</v>
      </c>
      <c r="L250" s="2">
        <v>1</v>
      </c>
      <c r="M250" s="2">
        <v>1</v>
      </c>
    </row>
    <row r="251" spans="1:13">
      <c r="A251" s="6">
        <v>43836</v>
      </c>
      <c r="B251" s="7">
        <v>0.51874999999999993</v>
      </c>
      <c r="C251" s="2" t="str">
        <f>"FES1162729813"</f>
        <v>FES1162729813</v>
      </c>
      <c r="D251" s="2" t="s">
        <v>19</v>
      </c>
      <c r="E251" s="2" t="s">
        <v>258</v>
      </c>
      <c r="F251" s="2" t="str">
        <f>"2170720885 "</f>
        <v xml:space="preserve">2170720885 </v>
      </c>
      <c r="G251" s="2" t="str">
        <f t="shared" si="7"/>
        <v>ON1</v>
      </c>
      <c r="H251" s="2" t="s">
        <v>21</v>
      </c>
      <c r="I251" s="2" t="s">
        <v>45</v>
      </c>
      <c r="J251" s="2" t="str">
        <f>""</f>
        <v/>
      </c>
      <c r="K251" s="2" t="str">
        <f>"PFES1162729813_0001"</f>
        <v>PFES1162729813_0001</v>
      </c>
      <c r="L251" s="2">
        <v>1</v>
      </c>
      <c r="M251" s="2">
        <v>1</v>
      </c>
    </row>
    <row r="252" spans="1:13">
      <c r="A252" s="6">
        <v>43836</v>
      </c>
      <c r="B252" s="7">
        <v>0.51874999999999993</v>
      </c>
      <c r="C252" s="2" t="str">
        <f>"FES1162729718"</f>
        <v>FES1162729718</v>
      </c>
      <c r="D252" s="2" t="s">
        <v>19</v>
      </c>
      <c r="E252" s="2" t="s">
        <v>30</v>
      </c>
      <c r="F252" s="2" t="str">
        <f>"2170721082 "</f>
        <v xml:space="preserve">2170721082 </v>
      </c>
      <c r="G252" s="2" t="str">
        <f t="shared" si="7"/>
        <v>ON1</v>
      </c>
      <c r="H252" s="2" t="s">
        <v>21</v>
      </c>
      <c r="I252" s="2" t="s">
        <v>31</v>
      </c>
      <c r="J252" s="2" t="str">
        <f>""</f>
        <v/>
      </c>
      <c r="K252" s="2" t="str">
        <f>"PFES1162729718_0001"</f>
        <v>PFES1162729718_0001</v>
      </c>
      <c r="L252" s="2">
        <v>1</v>
      </c>
      <c r="M252" s="2">
        <v>1</v>
      </c>
    </row>
    <row r="253" spans="1:13">
      <c r="A253" s="6">
        <v>43836</v>
      </c>
      <c r="B253" s="7">
        <v>0.5180555555555556</v>
      </c>
      <c r="C253" s="2" t="str">
        <f>"FES1162729779"</f>
        <v>FES1162729779</v>
      </c>
      <c r="D253" s="2" t="s">
        <v>19</v>
      </c>
      <c r="E253" s="2" t="s">
        <v>223</v>
      </c>
      <c r="F253" s="2" t="str">
        <f>"2170721056 "</f>
        <v xml:space="preserve">2170721056 </v>
      </c>
      <c r="G253" s="2" t="str">
        <f t="shared" si="7"/>
        <v>ON1</v>
      </c>
      <c r="H253" s="2" t="s">
        <v>21</v>
      </c>
      <c r="I253" s="2" t="s">
        <v>165</v>
      </c>
      <c r="J253" s="2" t="str">
        <f>""</f>
        <v/>
      </c>
      <c r="K253" s="2" t="str">
        <f>"PFES1162729779_0001"</f>
        <v>PFES1162729779_0001</v>
      </c>
      <c r="L253" s="2">
        <v>1</v>
      </c>
      <c r="M253" s="2">
        <v>1</v>
      </c>
    </row>
    <row r="254" spans="1:13">
      <c r="A254" s="6">
        <v>43836</v>
      </c>
      <c r="B254" s="7">
        <v>0.5180555555555556</v>
      </c>
      <c r="C254" s="2" t="str">
        <f>"FES1162729792"</f>
        <v>FES1162729792</v>
      </c>
      <c r="D254" s="2" t="s">
        <v>19</v>
      </c>
      <c r="E254" s="2" t="s">
        <v>259</v>
      </c>
      <c r="F254" s="2" t="str">
        <f>"217021450 "</f>
        <v xml:space="preserve">217021450 </v>
      </c>
      <c r="G254" s="2" t="str">
        <f t="shared" si="7"/>
        <v>ON1</v>
      </c>
      <c r="H254" s="2" t="s">
        <v>21</v>
      </c>
      <c r="I254" s="2" t="s">
        <v>260</v>
      </c>
      <c r="J254" s="2" t="str">
        <f>""</f>
        <v/>
      </c>
      <c r="K254" s="2" t="str">
        <f>"PFES1162729792_0001"</f>
        <v>PFES1162729792_0001</v>
      </c>
      <c r="L254" s="2">
        <v>1</v>
      </c>
      <c r="M254" s="2">
        <v>2</v>
      </c>
    </row>
    <row r="255" spans="1:13">
      <c r="A255" s="6">
        <v>43836</v>
      </c>
      <c r="B255" s="7">
        <v>0.5180555555555556</v>
      </c>
      <c r="C255" s="2" t="str">
        <f>"FES1162729799"</f>
        <v>FES1162729799</v>
      </c>
      <c r="D255" s="2" t="s">
        <v>19</v>
      </c>
      <c r="E255" s="2" t="s">
        <v>261</v>
      </c>
      <c r="F255" s="2" t="str">
        <f>"2170721734 "</f>
        <v xml:space="preserve">2170721734 </v>
      </c>
      <c r="G255" s="2" t="str">
        <f t="shared" si="7"/>
        <v>ON1</v>
      </c>
      <c r="H255" s="2" t="s">
        <v>21</v>
      </c>
      <c r="I255" s="2" t="s">
        <v>152</v>
      </c>
      <c r="J255" s="2" t="str">
        <f>""</f>
        <v/>
      </c>
      <c r="K255" s="2" t="str">
        <f>"PFES1162729799_0001"</f>
        <v>PFES1162729799_0001</v>
      </c>
      <c r="L255" s="2">
        <v>1</v>
      </c>
      <c r="M255" s="2">
        <v>7</v>
      </c>
    </row>
    <row r="256" spans="1:13">
      <c r="A256" s="6">
        <v>43836</v>
      </c>
      <c r="B256" s="7">
        <v>0.51736111111111105</v>
      </c>
      <c r="C256" s="2" t="str">
        <f>"FES1162729721"</f>
        <v>FES1162729721</v>
      </c>
      <c r="D256" s="2" t="s">
        <v>19</v>
      </c>
      <c r="E256" s="2" t="s">
        <v>159</v>
      </c>
      <c r="F256" s="2" t="str">
        <f>"2170722619 "</f>
        <v xml:space="preserve">2170722619 </v>
      </c>
      <c r="G256" s="2" t="str">
        <f t="shared" si="7"/>
        <v>ON1</v>
      </c>
      <c r="H256" s="2" t="s">
        <v>21</v>
      </c>
      <c r="I256" s="2" t="s">
        <v>83</v>
      </c>
      <c r="J256" s="2" t="str">
        <f>""</f>
        <v/>
      </c>
      <c r="K256" s="2" t="str">
        <f>"PFES1162729721_0001"</f>
        <v>PFES1162729721_0001</v>
      </c>
      <c r="L256" s="2">
        <v>1</v>
      </c>
      <c r="M256" s="2">
        <v>1</v>
      </c>
    </row>
    <row r="257" spans="1:13">
      <c r="A257" s="6">
        <v>43836</v>
      </c>
      <c r="B257" s="7">
        <v>0.51736111111111105</v>
      </c>
      <c r="C257" s="2" t="str">
        <f>"FES1162729737"</f>
        <v>FES1162729737</v>
      </c>
      <c r="D257" s="2" t="s">
        <v>19</v>
      </c>
      <c r="E257" s="2" t="s">
        <v>82</v>
      </c>
      <c r="F257" s="2" t="str">
        <f>"2170721042 "</f>
        <v xml:space="preserve">2170721042 </v>
      </c>
      <c r="G257" s="2" t="str">
        <f t="shared" si="7"/>
        <v>ON1</v>
      </c>
      <c r="H257" s="2" t="s">
        <v>21</v>
      </c>
      <c r="I257" s="2" t="s">
        <v>83</v>
      </c>
      <c r="J257" s="2" t="str">
        <f>""</f>
        <v/>
      </c>
      <c r="K257" s="2" t="str">
        <f>"PFES1162729737_0001"</f>
        <v>PFES1162729737_0001</v>
      </c>
      <c r="L257" s="2">
        <v>1</v>
      </c>
      <c r="M257" s="2">
        <v>1</v>
      </c>
    </row>
    <row r="258" spans="1:13">
      <c r="A258" s="6">
        <v>43836</v>
      </c>
      <c r="B258" s="7">
        <v>0.51666666666666672</v>
      </c>
      <c r="C258" s="2" t="str">
        <f>"FES1162729837"</f>
        <v>FES1162729837</v>
      </c>
      <c r="D258" s="2" t="s">
        <v>19</v>
      </c>
      <c r="E258" s="2" t="s">
        <v>262</v>
      </c>
      <c r="F258" s="2" t="str">
        <f>"2170721316 "</f>
        <v xml:space="preserve">2170721316 </v>
      </c>
      <c r="G258" s="2" t="str">
        <f t="shared" si="7"/>
        <v>ON1</v>
      </c>
      <c r="H258" s="2" t="s">
        <v>21</v>
      </c>
      <c r="I258" s="2" t="s">
        <v>114</v>
      </c>
      <c r="J258" s="2" t="str">
        <f>""</f>
        <v/>
      </c>
      <c r="K258" s="2" t="str">
        <f>"PFES1162729837_0001"</f>
        <v>PFES1162729837_0001</v>
      </c>
      <c r="L258" s="2">
        <v>1</v>
      </c>
      <c r="M258" s="2">
        <v>1</v>
      </c>
    </row>
    <row r="259" spans="1:13">
      <c r="A259" s="6">
        <v>43836</v>
      </c>
      <c r="B259" s="7">
        <v>0.51666666666666672</v>
      </c>
      <c r="C259" s="2" t="str">
        <f>"FES1162729745"</f>
        <v>FES1162729745</v>
      </c>
      <c r="D259" s="2" t="s">
        <v>19</v>
      </c>
      <c r="E259" s="2" t="s">
        <v>263</v>
      </c>
      <c r="F259" s="2" t="str">
        <f>"2170720784 "</f>
        <v xml:space="preserve">2170720784 </v>
      </c>
      <c r="G259" s="2" t="str">
        <f t="shared" si="7"/>
        <v>ON1</v>
      </c>
      <c r="H259" s="2" t="s">
        <v>21</v>
      </c>
      <c r="I259" s="2" t="s">
        <v>264</v>
      </c>
      <c r="J259" s="2" t="str">
        <f>""</f>
        <v/>
      </c>
      <c r="K259" s="2" t="str">
        <f>"PFES1162729745_0001"</f>
        <v>PFES1162729745_0001</v>
      </c>
      <c r="L259" s="2">
        <v>1</v>
      </c>
      <c r="M259" s="2">
        <v>10</v>
      </c>
    </row>
    <row r="260" spans="1:13">
      <c r="A260" s="6">
        <v>43836</v>
      </c>
      <c r="B260" s="7">
        <v>0.51458333333333328</v>
      </c>
      <c r="C260" s="2" t="str">
        <f>"FES1162729729"</f>
        <v>FES1162729729</v>
      </c>
      <c r="D260" s="2" t="s">
        <v>19</v>
      </c>
      <c r="E260" s="2" t="s">
        <v>265</v>
      </c>
      <c r="F260" s="2" t="str">
        <f>"2170721246 "</f>
        <v xml:space="preserve">2170721246 </v>
      </c>
      <c r="G260" s="2" t="str">
        <f t="shared" si="7"/>
        <v>ON1</v>
      </c>
      <c r="H260" s="2" t="s">
        <v>21</v>
      </c>
      <c r="I260" s="2" t="s">
        <v>28</v>
      </c>
      <c r="J260" s="2" t="str">
        <f>""</f>
        <v/>
      </c>
      <c r="K260" s="2" t="str">
        <f>"PFES1162729729_0001"</f>
        <v>PFES1162729729_0001</v>
      </c>
      <c r="L260" s="2">
        <v>1</v>
      </c>
      <c r="M260" s="2">
        <v>14</v>
      </c>
    </row>
    <row r="261" spans="1:13">
      <c r="A261" s="6">
        <v>43836</v>
      </c>
      <c r="B261" s="7">
        <v>0.51111111111111118</v>
      </c>
      <c r="C261" s="2" t="str">
        <f>"FES1162729728"</f>
        <v>FES1162729728</v>
      </c>
      <c r="D261" s="2" t="s">
        <v>19</v>
      </c>
      <c r="E261" s="2" t="s">
        <v>134</v>
      </c>
      <c r="F261" s="2" t="str">
        <f>"2170720912 "</f>
        <v xml:space="preserve">2170720912 </v>
      </c>
      <c r="G261" s="2" t="str">
        <f t="shared" si="7"/>
        <v>ON1</v>
      </c>
      <c r="H261" s="2" t="s">
        <v>21</v>
      </c>
      <c r="I261" s="2" t="s">
        <v>135</v>
      </c>
      <c r="J261" s="2" t="str">
        <f>""</f>
        <v/>
      </c>
      <c r="K261" s="2" t="str">
        <f>"PFES1162729728_0001"</f>
        <v>PFES1162729728_0001</v>
      </c>
      <c r="L261" s="2">
        <v>1</v>
      </c>
      <c r="M261" s="2">
        <v>19</v>
      </c>
    </row>
    <row r="262" spans="1:13">
      <c r="A262" s="6">
        <v>43836</v>
      </c>
      <c r="B262" s="7">
        <v>0.51041666666666663</v>
      </c>
      <c r="C262" s="2" t="str">
        <f>"FES1162729842"</f>
        <v>FES1162729842</v>
      </c>
      <c r="D262" s="2" t="s">
        <v>19</v>
      </c>
      <c r="E262" s="2" t="s">
        <v>218</v>
      </c>
      <c r="F262" s="2" t="str">
        <f>"2170719968 "</f>
        <v xml:space="preserve">2170719968 </v>
      </c>
      <c r="G262" s="2" t="str">
        <f t="shared" si="7"/>
        <v>ON1</v>
      </c>
      <c r="H262" s="2" t="s">
        <v>21</v>
      </c>
      <c r="I262" s="2" t="s">
        <v>49</v>
      </c>
      <c r="J262" s="2" t="str">
        <f>""</f>
        <v/>
      </c>
      <c r="K262" s="2" t="str">
        <f>"PFES1162729842_0001"</f>
        <v>PFES1162729842_0001</v>
      </c>
      <c r="L262" s="2">
        <v>1</v>
      </c>
      <c r="M262" s="2">
        <v>9</v>
      </c>
    </row>
    <row r="263" spans="1:13">
      <c r="A263" s="6">
        <v>43836</v>
      </c>
      <c r="B263" s="7">
        <v>0.4236111111111111</v>
      </c>
      <c r="C263" s="2" t="str">
        <f>"FES1162729713"</f>
        <v>FES1162729713</v>
      </c>
      <c r="D263" s="2" t="s">
        <v>19</v>
      </c>
      <c r="E263" s="2" t="s">
        <v>120</v>
      </c>
      <c r="F263" s="2" t="str">
        <f>"2170722614 "</f>
        <v xml:space="preserve">2170722614 </v>
      </c>
      <c r="G263" s="2" t="str">
        <f t="shared" si="7"/>
        <v>ON1</v>
      </c>
      <c r="H263" s="2" t="s">
        <v>21</v>
      </c>
      <c r="I263" s="2" t="s">
        <v>121</v>
      </c>
      <c r="J263" s="2" t="str">
        <f>""</f>
        <v/>
      </c>
      <c r="K263" s="2" t="str">
        <f>"PFES1162729713_0001"</f>
        <v>PFES1162729713_0001</v>
      </c>
      <c r="L263" s="2">
        <v>1</v>
      </c>
      <c r="M263" s="2">
        <v>1</v>
      </c>
    </row>
    <row r="264" spans="1:13">
      <c r="A264" s="6">
        <v>43836</v>
      </c>
      <c r="B264" s="7">
        <v>0.4236111111111111</v>
      </c>
      <c r="C264" s="2" t="str">
        <f>"FES1162729708"</f>
        <v>FES1162729708</v>
      </c>
      <c r="D264" s="2" t="s">
        <v>19</v>
      </c>
      <c r="E264" s="2" t="s">
        <v>120</v>
      </c>
      <c r="F264" s="2" t="str">
        <f>"217022609 "</f>
        <v xml:space="preserve">217022609 </v>
      </c>
      <c r="G264" s="2" t="str">
        <f t="shared" si="7"/>
        <v>ON1</v>
      </c>
      <c r="H264" s="2" t="s">
        <v>21</v>
      </c>
      <c r="I264" s="2" t="s">
        <v>121</v>
      </c>
      <c r="J264" s="2" t="str">
        <f>""</f>
        <v/>
      </c>
      <c r="K264" s="2" t="str">
        <f>"PFES1162729708_0001"</f>
        <v>PFES1162729708_0001</v>
      </c>
      <c r="L264" s="2">
        <v>1</v>
      </c>
      <c r="M264" s="2">
        <v>1</v>
      </c>
    </row>
    <row r="265" spans="1:13">
      <c r="A265" s="6">
        <v>43836</v>
      </c>
      <c r="B265" s="7">
        <v>0.42291666666666666</v>
      </c>
      <c r="C265" s="2" t="str">
        <f>"FES1162729712"</f>
        <v>FES1162729712</v>
      </c>
      <c r="D265" s="2" t="s">
        <v>19</v>
      </c>
      <c r="E265" s="2" t="s">
        <v>120</v>
      </c>
      <c r="F265" s="2" t="str">
        <f>"2170722613 "</f>
        <v xml:space="preserve">2170722613 </v>
      </c>
      <c r="G265" s="2" t="str">
        <f t="shared" si="7"/>
        <v>ON1</v>
      </c>
      <c r="H265" s="2" t="s">
        <v>21</v>
      </c>
      <c r="I265" s="2" t="s">
        <v>121</v>
      </c>
      <c r="J265" s="2" t="str">
        <f>""</f>
        <v/>
      </c>
      <c r="K265" s="2" t="str">
        <f>"PFES1162729712_0001"</f>
        <v>PFES1162729712_0001</v>
      </c>
      <c r="L265" s="2">
        <v>1</v>
      </c>
      <c r="M265" s="2">
        <v>1</v>
      </c>
    </row>
    <row r="266" spans="1:13">
      <c r="A266" s="6">
        <v>43836</v>
      </c>
      <c r="B266" s="7">
        <v>0.42291666666666666</v>
      </c>
      <c r="C266" s="2" t="str">
        <f>"FES1162729711"</f>
        <v>FES1162729711</v>
      </c>
      <c r="D266" s="2" t="s">
        <v>19</v>
      </c>
      <c r="E266" s="2" t="s">
        <v>120</v>
      </c>
      <c r="F266" s="2" t="str">
        <f>"2170722612 "</f>
        <v xml:space="preserve">2170722612 </v>
      </c>
      <c r="G266" s="2" t="str">
        <f t="shared" si="7"/>
        <v>ON1</v>
      </c>
      <c r="H266" s="2" t="s">
        <v>21</v>
      </c>
      <c r="I266" s="2" t="s">
        <v>121</v>
      </c>
      <c r="J266" s="2" t="str">
        <f>""</f>
        <v/>
      </c>
      <c r="K266" s="2" t="str">
        <f>"PFES1162729711_0001"</f>
        <v>PFES1162729711_0001</v>
      </c>
      <c r="L266" s="2">
        <v>1</v>
      </c>
      <c r="M266" s="2">
        <v>1</v>
      </c>
    </row>
    <row r="267" spans="1:13">
      <c r="A267" s="6">
        <v>43836</v>
      </c>
      <c r="B267" s="7">
        <v>0.42291666666666666</v>
      </c>
      <c r="C267" s="2" t="str">
        <f>"FES1162729707"</f>
        <v>FES1162729707</v>
      </c>
      <c r="D267" s="2" t="s">
        <v>19</v>
      </c>
      <c r="E267" s="2" t="s">
        <v>120</v>
      </c>
      <c r="F267" s="2" t="str">
        <f>"2170722608 "</f>
        <v xml:space="preserve">2170722608 </v>
      </c>
      <c r="G267" s="2" t="str">
        <f t="shared" si="7"/>
        <v>ON1</v>
      </c>
      <c r="H267" s="2" t="s">
        <v>21</v>
      </c>
      <c r="I267" s="2" t="s">
        <v>121</v>
      </c>
      <c r="J267" s="2" t="str">
        <f>""</f>
        <v/>
      </c>
      <c r="K267" s="2" t="str">
        <f>"PFES1162729707_0001"</f>
        <v>PFES1162729707_0001</v>
      </c>
      <c r="L267" s="2">
        <v>1</v>
      </c>
      <c r="M267" s="2">
        <v>1</v>
      </c>
    </row>
    <row r="268" spans="1:13">
      <c r="A268" s="6">
        <v>43836</v>
      </c>
      <c r="B268" s="7">
        <v>0.42222222222222222</v>
      </c>
      <c r="C268" s="2" t="str">
        <f>"FES1162729706"</f>
        <v>FES1162729706</v>
      </c>
      <c r="D268" s="2" t="s">
        <v>19</v>
      </c>
      <c r="E268" s="2" t="s">
        <v>120</v>
      </c>
      <c r="F268" s="2" t="str">
        <f>"2170722607 "</f>
        <v xml:space="preserve">2170722607 </v>
      </c>
      <c r="G268" s="2" t="str">
        <f t="shared" si="7"/>
        <v>ON1</v>
      </c>
      <c r="H268" s="2" t="s">
        <v>21</v>
      </c>
      <c r="I268" s="2" t="s">
        <v>121</v>
      </c>
      <c r="J268" s="2" t="str">
        <f>""</f>
        <v/>
      </c>
      <c r="K268" s="2" t="str">
        <f>"PFES1162729706_0001"</f>
        <v>PFES1162729706_0001</v>
      </c>
      <c r="L268" s="2">
        <v>1</v>
      </c>
      <c r="M268" s="2">
        <v>1</v>
      </c>
    </row>
    <row r="269" spans="1:13">
      <c r="A269" s="6">
        <v>43836</v>
      </c>
      <c r="B269" s="7">
        <v>0.42083333333333334</v>
      </c>
      <c r="C269" s="2" t="str">
        <f>"FES1162729709"</f>
        <v>FES1162729709</v>
      </c>
      <c r="D269" s="2" t="s">
        <v>19</v>
      </c>
      <c r="E269" s="2" t="s">
        <v>120</v>
      </c>
      <c r="F269" s="2" t="str">
        <f>"2170722610 "</f>
        <v xml:space="preserve">2170722610 </v>
      </c>
      <c r="G269" s="2" t="str">
        <f t="shared" si="7"/>
        <v>ON1</v>
      </c>
      <c r="H269" s="2" t="s">
        <v>21</v>
      </c>
      <c r="I269" s="2" t="s">
        <v>121</v>
      </c>
      <c r="J269" s="2" t="str">
        <f>""</f>
        <v/>
      </c>
      <c r="K269" s="2" t="str">
        <f>"PFES1162729709_0001"</f>
        <v>PFES1162729709_0001</v>
      </c>
      <c r="L269" s="2">
        <v>1</v>
      </c>
      <c r="M269" s="2">
        <v>1</v>
      </c>
    </row>
    <row r="270" spans="1:13">
      <c r="A270" s="6">
        <v>43836</v>
      </c>
      <c r="B270" s="7">
        <v>0.4201388888888889</v>
      </c>
      <c r="C270" s="2" t="str">
        <f>"FES1162729714"</f>
        <v>FES1162729714</v>
      </c>
      <c r="D270" s="2" t="s">
        <v>19</v>
      </c>
      <c r="E270" s="2" t="s">
        <v>120</v>
      </c>
      <c r="F270" s="2" t="str">
        <f>"2170722616 "</f>
        <v xml:space="preserve">2170722616 </v>
      </c>
      <c r="G270" s="2" t="str">
        <f t="shared" ref="G270:G273" si="8">"ON1"</f>
        <v>ON1</v>
      </c>
      <c r="H270" s="2" t="s">
        <v>21</v>
      </c>
      <c r="I270" s="2" t="s">
        <v>121</v>
      </c>
      <c r="J270" s="2" t="str">
        <f>""</f>
        <v/>
      </c>
      <c r="K270" s="2" t="str">
        <f>"PFES1162729714_0001"</f>
        <v>PFES1162729714_0001</v>
      </c>
      <c r="L270" s="2">
        <v>1</v>
      </c>
      <c r="M270" s="2">
        <v>1</v>
      </c>
    </row>
    <row r="271" spans="1:13">
      <c r="A271" s="6">
        <v>43836</v>
      </c>
      <c r="B271" s="7">
        <v>0.4201388888888889</v>
      </c>
      <c r="C271" s="2" t="str">
        <f>"FES1162729705"</f>
        <v>FES1162729705</v>
      </c>
      <c r="D271" s="2" t="s">
        <v>19</v>
      </c>
      <c r="E271" s="2" t="s">
        <v>37</v>
      </c>
      <c r="F271" s="2" t="str">
        <f>"2170722604 "</f>
        <v xml:space="preserve">2170722604 </v>
      </c>
      <c r="G271" s="2" t="str">
        <f t="shared" si="8"/>
        <v>ON1</v>
      </c>
      <c r="H271" s="2" t="s">
        <v>21</v>
      </c>
      <c r="I271" s="2" t="s">
        <v>38</v>
      </c>
      <c r="J271" s="2" t="str">
        <f>""</f>
        <v/>
      </c>
      <c r="K271" s="2" t="str">
        <f>"PFES1162729705_0001"</f>
        <v>PFES1162729705_0001</v>
      </c>
      <c r="L271" s="2">
        <v>1</v>
      </c>
      <c r="M271" s="2">
        <v>1</v>
      </c>
    </row>
    <row r="272" spans="1:13">
      <c r="A272" s="6">
        <v>43836</v>
      </c>
      <c r="B272" s="7">
        <v>0.4201388888888889</v>
      </c>
      <c r="C272" s="2" t="str">
        <f>"FES1162729704"</f>
        <v>FES1162729704</v>
      </c>
      <c r="D272" s="2" t="s">
        <v>19</v>
      </c>
      <c r="E272" s="2" t="s">
        <v>68</v>
      </c>
      <c r="F272" s="2" t="str">
        <f>"2170722603 "</f>
        <v xml:space="preserve">2170722603 </v>
      </c>
      <c r="G272" s="2" t="str">
        <f t="shared" si="8"/>
        <v>ON1</v>
      </c>
      <c r="H272" s="2" t="s">
        <v>21</v>
      </c>
      <c r="I272" s="2" t="s">
        <v>69</v>
      </c>
      <c r="J272" s="2" t="str">
        <f>""</f>
        <v/>
      </c>
      <c r="K272" s="2" t="str">
        <f>"PFES1162729704_0001"</f>
        <v>PFES1162729704_0001</v>
      </c>
      <c r="L272" s="2">
        <v>1</v>
      </c>
      <c r="M272" s="2">
        <v>1</v>
      </c>
    </row>
    <row r="273" spans="1:13">
      <c r="A273" s="6">
        <v>43836</v>
      </c>
      <c r="B273" s="7">
        <v>0.41944444444444445</v>
      </c>
      <c r="C273" s="2" t="str">
        <f>"FES1162729702"</f>
        <v>FES1162729702</v>
      </c>
      <c r="D273" s="2" t="s">
        <v>19</v>
      </c>
      <c r="E273" s="2" t="s">
        <v>266</v>
      </c>
      <c r="F273" s="2" t="str">
        <f>"2170722599 "</f>
        <v xml:space="preserve">2170722599 </v>
      </c>
      <c r="G273" s="2" t="str">
        <f t="shared" si="8"/>
        <v>ON1</v>
      </c>
      <c r="H273" s="2" t="s">
        <v>21</v>
      </c>
      <c r="I273" s="2" t="s">
        <v>267</v>
      </c>
      <c r="J273" s="2" t="str">
        <f>""</f>
        <v/>
      </c>
      <c r="K273" s="2" t="str">
        <f>"PFES1162729702_0001"</f>
        <v>PFES1162729702_0001</v>
      </c>
      <c r="L273" s="2">
        <v>1</v>
      </c>
      <c r="M273" s="2">
        <v>1</v>
      </c>
    </row>
    <row r="274" spans="1:13">
      <c r="A274" s="6">
        <v>43836</v>
      </c>
      <c r="B274" s="7">
        <v>0.41875000000000001</v>
      </c>
      <c r="C274" s="2" t="str">
        <f>"FES1162729615"</f>
        <v>FES1162729615</v>
      </c>
      <c r="D274" s="2" t="s">
        <v>19</v>
      </c>
      <c r="E274" s="2" t="s">
        <v>268</v>
      </c>
      <c r="F274" s="2" t="str">
        <f>"2170721710 "</f>
        <v xml:space="preserve">2170721710 </v>
      </c>
      <c r="G274" s="2" t="str">
        <f>"DBC"</f>
        <v>DBC</v>
      </c>
      <c r="H274" s="2" t="s">
        <v>21</v>
      </c>
      <c r="I274" s="2" t="s">
        <v>230</v>
      </c>
      <c r="J274" s="2" t="str">
        <f>""</f>
        <v/>
      </c>
      <c r="K274" s="2" t="str">
        <f>"PFES1162729615_0001"</f>
        <v>PFES1162729615_0001</v>
      </c>
      <c r="L274" s="2">
        <v>2</v>
      </c>
      <c r="M274" s="2">
        <v>22</v>
      </c>
    </row>
    <row r="275" spans="1:13">
      <c r="A275" s="6">
        <v>43836</v>
      </c>
      <c r="B275" s="7">
        <v>0.41875000000000001</v>
      </c>
      <c r="C275" s="2" t="str">
        <f>"FES1162729615"</f>
        <v>FES1162729615</v>
      </c>
      <c r="D275" s="2" t="s">
        <v>19</v>
      </c>
      <c r="E275" s="2" t="s">
        <v>268</v>
      </c>
      <c r="F275" s="2" t="str">
        <f>"2170721710 "</f>
        <v xml:space="preserve">2170721710 </v>
      </c>
      <c r="G275" s="2" t="str">
        <f>"DBC"</f>
        <v>DBC</v>
      </c>
      <c r="H275" s="2" t="s">
        <v>21</v>
      </c>
      <c r="I275" s="2" t="s">
        <v>230</v>
      </c>
      <c r="J275" s="2"/>
      <c r="K275" s="2" t="str">
        <f>"PFES1162729615_0002"</f>
        <v>PFES1162729615_0002</v>
      </c>
      <c r="L275" s="2">
        <v>2</v>
      </c>
      <c r="M275" s="2">
        <v>22</v>
      </c>
    </row>
    <row r="276" spans="1:13">
      <c r="A276" s="6">
        <v>43836</v>
      </c>
      <c r="B276" s="7">
        <v>0.41875000000000001</v>
      </c>
      <c r="C276" s="2" t="str">
        <f>"FES1162729618"</f>
        <v>FES1162729618</v>
      </c>
      <c r="D276" s="2" t="s">
        <v>19</v>
      </c>
      <c r="E276" s="2" t="s">
        <v>252</v>
      </c>
      <c r="F276" s="2" t="str">
        <f>"2170721784 "</f>
        <v xml:space="preserve">2170721784 </v>
      </c>
      <c r="G276" s="2" t="str">
        <f>"ON1"</f>
        <v>ON1</v>
      </c>
      <c r="H276" s="2" t="s">
        <v>21</v>
      </c>
      <c r="I276" s="2" t="s">
        <v>253</v>
      </c>
      <c r="J276" s="2" t="str">
        <f>""</f>
        <v/>
      </c>
      <c r="K276" s="2" t="str">
        <f>"PFES1162729618_0001"</f>
        <v>PFES1162729618_0001</v>
      </c>
      <c r="L276" s="2">
        <v>1</v>
      </c>
      <c r="M276" s="2">
        <v>7</v>
      </c>
    </row>
    <row r="277" spans="1:13">
      <c r="A277" s="6">
        <v>43836</v>
      </c>
      <c r="B277" s="7">
        <v>0.41805555555555557</v>
      </c>
      <c r="C277" s="2" t="str">
        <f>"FES1162729612"</f>
        <v>FES1162729612</v>
      </c>
      <c r="D277" s="2" t="s">
        <v>19</v>
      </c>
      <c r="E277" s="2" t="s">
        <v>269</v>
      </c>
      <c r="F277" s="2" t="str">
        <f>"2170721578 "</f>
        <v xml:space="preserve">2170721578 </v>
      </c>
      <c r="G277" s="2" t="str">
        <f>"DBC"</f>
        <v>DBC</v>
      </c>
      <c r="H277" s="2" t="s">
        <v>21</v>
      </c>
      <c r="I277" s="2" t="s">
        <v>270</v>
      </c>
      <c r="J277" s="2" t="str">
        <f>""</f>
        <v/>
      </c>
      <c r="K277" s="2" t="str">
        <f>"PFES1162729612_0001"</f>
        <v>PFES1162729612_0001</v>
      </c>
      <c r="L277" s="2">
        <v>1</v>
      </c>
      <c r="M277" s="2">
        <v>27</v>
      </c>
    </row>
    <row r="278" spans="1:13">
      <c r="A278" s="6">
        <v>43836</v>
      </c>
      <c r="B278" s="7">
        <v>0.41805555555555557</v>
      </c>
      <c r="C278" s="2" t="str">
        <f>"FES1162729715"</f>
        <v>FES1162729715</v>
      </c>
      <c r="D278" s="2" t="s">
        <v>19</v>
      </c>
      <c r="E278" s="2" t="s">
        <v>46</v>
      </c>
      <c r="F278" s="2" t="str">
        <f>"2170722617 "</f>
        <v xml:space="preserve">2170722617 </v>
      </c>
      <c r="G278" s="2" t="str">
        <f t="shared" ref="G278:G291" si="9">"ON1"</f>
        <v>ON1</v>
      </c>
      <c r="H278" s="2" t="s">
        <v>21</v>
      </c>
      <c r="I278" s="2" t="s">
        <v>47</v>
      </c>
      <c r="J278" s="2" t="str">
        <f>""</f>
        <v/>
      </c>
      <c r="K278" s="2" t="str">
        <f>"PFES1162729715_0001"</f>
        <v>PFES1162729715_0001</v>
      </c>
      <c r="L278" s="2">
        <v>2</v>
      </c>
      <c r="M278" s="2">
        <v>9</v>
      </c>
    </row>
    <row r="279" spans="1:13">
      <c r="A279" s="6">
        <v>43836</v>
      </c>
      <c r="B279" s="7">
        <v>0.41805555555555557</v>
      </c>
      <c r="C279" s="2" t="str">
        <f>"FES1162729715"</f>
        <v>FES1162729715</v>
      </c>
      <c r="D279" s="2" t="s">
        <v>19</v>
      </c>
      <c r="E279" s="2" t="s">
        <v>46</v>
      </c>
      <c r="F279" s="2" t="str">
        <f>"2170722617 "</f>
        <v xml:space="preserve">2170722617 </v>
      </c>
      <c r="G279" s="2" t="str">
        <f t="shared" si="9"/>
        <v>ON1</v>
      </c>
      <c r="H279" s="2" t="s">
        <v>21</v>
      </c>
      <c r="I279" s="2" t="s">
        <v>47</v>
      </c>
      <c r="J279" s="2"/>
      <c r="K279" s="2" t="str">
        <f>"PFES1162729715_0002"</f>
        <v>PFES1162729715_0002</v>
      </c>
      <c r="L279" s="2">
        <v>2</v>
      </c>
      <c r="M279" s="2">
        <v>9</v>
      </c>
    </row>
    <row r="280" spans="1:13">
      <c r="A280" s="6">
        <v>43836</v>
      </c>
      <c r="B280" s="7">
        <v>0.41736111111111113</v>
      </c>
      <c r="C280" s="2" t="str">
        <f>"FES1162729616"</f>
        <v>FES1162729616</v>
      </c>
      <c r="D280" s="2" t="s">
        <v>19</v>
      </c>
      <c r="E280" s="2" t="s">
        <v>252</v>
      </c>
      <c r="F280" s="2" t="str">
        <f>"2170721780 "</f>
        <v xml:space="preserve">2170721780 </v>
      </c>
      <c r="G280" s="2" t="str">
        <f t="shared" si="9"/>
        <v>ON1</v>
      </c>
      <c r="H280" s="2" t="s">
        <v>21</v>
      </c>
      <c r="I280" s="2" t="s">
        <v>253</v>
      </c>
      <c r="J280" s="2" t="str">
        <f>""</f>
        <v/>
      </c>
      <c r="K280" s="2" t="str">
        <f>"PFES1162729616_0001"</f>
        <v>PFES1162729616_0001</v>
      </c>
      <c r="L280" s="2">
        <v>2</v>
      </c>
      <c r="M280" s="2">
        <v>11</v>
      </c>
    </row>
    <row r="281" spans="1:13">
      <c r="A281" s="6">
        <v>43836</v>
      </c>
      <c r="B281" s="7">
        <v>0.41736111111111113</v>
      </c>
      <c r="C281" s="2" t="str">
        <f>"FES1162729616"</f>
        <v>FES1162729616</v>
      </c>
      <c r="D281" s="2" t="s">
        <v>19</v>
      </c>
      <c r="E281" s="2" t="s">
        <v>252</v>
      </c>
      <c r="F281" s="2" t="str">
        <f>"2170721780 "</f>
        <v xml:space="preserve">2170721780 </v>
      </c>
      <c r="G281" s="2" t="str">
        <f t="shared" si="9"/>
        <v>ON1</v>
      </c>
      <c r="H281" s="2" t="s">
        <v>21</v>
      </c>
      <c r="I281" s="2" t="s">
        <v>253</v>
      </c>
      <c r="J281" s="2"/>
      <c r="K281" s="2" t="str">
        <f>"PFES1162729616_0002"</f>
        <v>PFES1162729616_0002</v>
      </c>
      <c r="L281" s="2">
        <v>2</v>
      </c>
      <c r="M281" s="2">
        <v>11</v>
      </c>
    </row>
    <row r="282" spans="1:13">
      <c r="A282" s="6">
        <v>43836</v>
      </c>
      <c r="B282" s="7">
        <v>0.41736111111111113</v>
      </c>
      <c r="C282" s="2" t="str">
        <f>"FES1162729584"</f>
        <v>FES1162729584</v>
      </c>
      <c r="D282" s="2" t="s">
        <v>19</v>
      </c>
      <c r="E282" s="2" t="s">
        <v>271</v>
      </c>
      <c r="F282" s="2" t="str">
        <f>"2170718666 "</f>
        <v xml:space="preserve">2170718666 </v>
      </c>
      <c r="G282" s="2" t="str">
        <f t="shared" si="9"/>
        <v>ON1</v>
      </c>
      <c r="H282" s="2" t="s">
        <v>21</v>
      </c>
      <c r="I282" s="2" t="s">
        <v>272</v>
      </c>
      <c r="J282" s="2" t="str">
        <f>""</f>
        <v/>
      </c>
      <c r="K282" s="2" t="str">
        <f>"PFES1162729584_0001"</f>
        <v>PFES1162729584_0001</v>
      </c>
      <c r="L282" s="2">
        <v>2</v>
      </c>
      <c r="M282" s="2">
        <v>18</v>
      </c>
    </row>
    <row r="283" spans="1:13">
      <c r="A283" s="6">
        <v>43836</v>
      </c>
      <c r="B283" s="7">
        <v>0.41736111111111113</v>
      </c>
      <c r="C283" s="2" t="str">
        <f>"FES1162729584"</f>
        <v>FES1162729584</v>
      </c>
      <c r="D283" s="2" t="s">
        <v>19</v>
      </c>
      <c r="E283" s="2" t="s">
        <v>271</v>
      </c>
      <c r="F283" s="2" t="str">
        <f>"2170718666 "</f>
        <v xml:space="preserve">2170718666 </v>
      </c>
      <c r="G283" s="2" t="str">
        <f t="shared" si="9"/>
        <v>ON1</v>
      </c>
      <c r="H283" s="2" t="s">
        <v>21</v>
      </c>
      <c r="I283" s="2" t="s">
        <v>272</v>
      </c>
      <c r="J283" s="2"/>
      <c r="K283" s="2" t="str">
        <f>"PFES1162729584_0002"</f>
        <v>PFES1162729584_0002</v>
      </c>
      <c r="L283" s="2">
        <v>2</v>
      </c>
      <c r="M283" s="2">
        <v>18</v>
      </c>
    </row>
    <row r="284" spans="1:13">
      <c r="A284" s="6">
        <v>43836</v>
      </c>
      <c r="B284" s="7">
        <v>0.41666666666666669</v>
      </c>
      <c r="C284" s="2" t="str">
        <f>"FES1162729555"</f>
        <v>FES1162729555</v>
      </c>
      <c r="D284" s="2" t="s">
        <v>19</v>
      </c>
      <c r="E284" s="2" t="s">
        <v>273</v>
      </c>
      <c r="F284" s="2" t="str">
        <f>"2170722325 "</f>
        <v xml:space="preserve">2170722325 </v>
      </c>
      <c r="G284" s="2" t="str">
        <f t="shared" si="9"/>
        <v>ON1</v>
      </c>
      <c r="H284" s="2" t="s">
        <v>21</v>
      </c>
      <c r="I284" s="2" t="s">
        <v>274</v>
      </c>
      <c r="J284" s="2" t="str">
        <f>""</f>
        <v/>
      </c>
      <c r="K284" s="2" t="str">
        <f>"PFES1162729555_0001"</f>
        <v>PFES1162729555_0001</v>
      </c>
      <c r="L284" s="2">
        <v>1</v>
      </c>
      <c r="M284" s="2">
        <v>2</v>
      </c>
    </row>
    <row r="285" spans="1:13">
      <c r="A285" s="6">
        <v>43836</v>
      </c>
      <c r="B285" s="7">
        <v>0.41666666666666669</v>
      </c>
      <c r="C285" s="2" t="str">
        <f>"FES1162729617"</f>
        <v>FES1162729617</v>
      </c>
      <c r="D285" s="2" t="s">
        <v>19</v>
      </c>
      <c r="E285" s="2" t="s">
        <v>252</v>
      </c>
      <c r="F285" s="2" t="str">
        <f>"217071782 "</f>
        <v xml:space="preserve">217071782 </v>
      </c>
      <c r="G285" s="2" t="str">
        <f t="shared" si="9"/>
        <v>ON1</v>
      </c>
      <c r="H285" s="2" t="s">
        <v>21</v>
      </c>
      <c r="I285" s="2" t="s">
        <v>253</v>
      </c>
      <c r="J285" s="2" t="str">
        <f>""</f>
        <v/>
      </c>
      <c r="K285" s="2" t="str">
        <f>"PFES1162729617_0001"</f>
        <v>PFES1162729617_0001</v>
      </c>
      <c r="L285" s="2">
        <v>1</v>
      </c>
      <c r="M285" s="2">
        <v>6</v>
      </c>
    </row>
    <row r="286" spans="1:13">
      <c r="A286" s="6">
        <v>43837</v>
      </c>
      <c r="B286" s="7">
        <v>0.61527777777777781</v>
      </c>
      <c r="C286" s="2" t="str">
        <f>"FES1162729988"</f>
        <v>FES1162729988</v>
      </c>
      <c r="D286" s="2" t="s">
        <v>19</v>
      </c>
      <c r="E286" s="2" t="s">
        <v>172</v>
      </c>
      <c r="F286" s="2" t="str">
        <f>"2170721525 "</f>
        <v xml:space="preserve">2170721525 </v>
      </c>
      <c r="G286" s="2" t="str">
        <f t="shared" si="9"/>
        <v>ON1</v>
      </c>
      <c r="H286" s="2" t="s">
        <v>21</v>
      </c>
      <c r="I286" s="2" t="s">
        <v>173</v>
      </c>
      <c r="J286" s="2" t="str">
        <f>""</f>
        <v/>
      </c>
      <c r="K286" s="2" t="str">
        <f>"PFES1162729988_0001"</f>
        <v>PFES1162729988_0001</v>
      </c>
      <c r="L286" s="2">
        <v>1</v>
      </c>
      <c r="M286" s="2">
        <v>13</v>
      </c>
    </row>
    <row r="287" spans="1:13">
      <c r="A287" s="6">
        <v>43837</v>
      </c>
      <c r="B287" s="7">
        <v>0.61458333333333337</v>
      </c>
      <c r="C287" s="2" t="str">
        <f>"FES1162730058"</f>
        <v>FES1162730058</v>
      </c>
      <c r="D287" s="2" t="s">
        <v>19</v>
      </c>
      <c r="E287" s="2" t="s">
        <v>245</v>
      </c>
      <c r="F287" s="2" t="str">
        <f>"2170721051 "</f>
        <v xml:space="preserve">2170721051 </v>
      </c>
      <c r="G287" s="2" t="str">
        <f t="shared" si="9"/>
        <v>ON1</v>
      </c>
      <c r="H287" s="2" t="s">
        <v>21</v>
      </c>
      <c r="I287" s="2" t="s">
        <v>96</v>
      </c>
      <c r="J287" s="2" t="str">
        <f>""</f>
        <v/>
      </c>
      <c r="K287" s="2" t="str">
        <f>"PFES1162730058_0001"</f>
        <v>PFES1162730058_0001</v>
      </c>
      <c r="L287" s="2">
        <v>1</v>
      </c>
      <c r="M287" s="2">
        <v>2</v>
      </c>
    </row>
    <row r="288" spans="1:13">
      <c r="A288" s="6">
        <v>43837</v>
      </c>
      <c r="B288" s="7">
        <v>0.61458333333333337</v>
      </c>
      <c r="C288" s="2" t="str">
        <f>"FES1162729920"</f>
        <v>FES1162729920</v>
      </c>
      <c r="D288" s="2" t="s">
        <v>19</v>
      </c>
      <c r="E288" s="2" t="s">
        <v>199</v>
      </c>
      <c r="F288" s="2" t="str">
        <f>"2170718967 "</f>
        <v xml:space="preserve">2170718967 </v>
      </c>
      <c r="G288" s="2" t="str">
        <f t="shared" si="9"/>
        <v>ON1</v>
      </c>
      <c r="H288" s="2" t="s">
        <v>21</v>
      </c>
      <c r="I288" s="2" t="s">
        <v>200</v>
      </c>
      <c r="J288" s="2" t="str">
        <f>""</f>
        <v/>
      </c>
      <c r="K288" s="2" t="str">
        <f>"PFES1162729920_0001"</f>
        <v>PFES1162729920_0001</v>
      </c>
      <c r="L288" s="2">
        <v>1</v>
      </c>
      <c r="M288" s="2">
        <v>1</v>
      </c>
    </row>
    <row r="289" spans="1:13">
      <c r="A289" s="6">
        <v>43837</v>
      </c>
      <c r="B289" s="7">
        <v>0.61458333333333337</v>
      </c>
      <c r="C289" s="2" t="str">
        <f>"FES1162730011"</f>
        <v>FES1162730011</v>
      </c>
      <c r="D289" s="2" t="s">
        <v>19</v>
      </c>
      <c r="E289" s="2" t="s">
        <v>275</v>
      </c>
      <c r="F289" s="2" t="str">
        <f>"2170721870 "</f>
        <v xml:space="preserve">2170721870 </v>
      </c>
      <c r="G289" s="2" t="str">
        <f t="shared" si="9"/>
        <v>ON1</v>
      </c>
      <c r="H289" s="2" t="s">
        <v>21</v>
      </c>
      <c r="I289" s="2" t="s">
        <v>202</v>
      </c>
      <c r="J289" s="2" t="str">
        <f>""</f>
        <v/>
      </c>
      <c r="K289" s="2" t="str">
        <f>"PFES1162730011_0001"</f>
        <v>PFES1162730011_0001</v>
      </c>
      <c r="L289" s="2">
        <v>1</v>
      </c>
      <c r="M289" s="2">
        <v>3</v>
      </c>
    </row>
    <row r="290" spans="1:13">
      <c r="A290" s="6">
        <v>43837</v>
      </c>
      <c r="B290" s="7">
        <v>0.61458333333333337</v>
      </c>
      <c r="C290" s="2" t="str">
        <f>"FES1162729973"</f>
        <v>FES1162729973</v>
      </c>
      <c r="D290" s="2" t="s">
        <v>19</v>
      </c>
      <c r="E290" s="2" t="s">
        <v>276</v>
      </c>
      <c r="F290" s="2" t="str">
        <f>"2170721270 "</f>
        <v xml:space="preserve">2170721270 </v>
      </c>
      <c r="G290" s="2" t="str">
        <f t="shared" si="9"/>
        <v>ON1</v>
      </c>
      <c r="H290" s="2" t="s">
        <v>21</v>
      </c>
      <c r="I290" s="2" t="s">
        <v>277</v>
      </c>
      <c r="J290" s="2" t="str">
        <f>""</f>
        <v/>
      </c>
      <c r="K290" s="2" t="str">
        <f>"PFES1162729973_0001"</f>
        <v>PFES1162729973_0001</v>
      </c>
      <c r="L290" s="2">
        <v>1</v>
      </c>
      <c r="M290" s="2">
        <v>10</v>
      </c>
    </row>
    <row r="291" spans="1:13">
      <c r="A291" s="6">
        <v>43837</v>
      </c>
      <c r="B291" s="7">
        <v>0.61388888888888882</v>
      </c>
      <c r="C291" s="2" t="str">
        <f>"FES1162730069"</f>
        <v>FES1162730069</v>
      </c>
      <c r="D291" s="2" t="s">
        <v>19</v>
      </c>
      <c r="E291" s="2" t="s">
        <v>205</v>
      </c>
      <c r="F291" s="2" t="str">
        <f>"2170722831 "</f>
        <v xml:space="preserve">2170722831 </v>
      </c>
      <c r="G291" s="2" t="str">
        <f t="shared" si="9"/>
        <v>ON1</v>
      </c>
      <c r="H291" s="2" t="s">
        <v>21</v>
      </c>
      <c r="I291" s="2" t="s">
        <v>88</v>
      </c>
      <c r="J291" s="2" t="str">
        <f>""</f>
        <v/>
      </c>
      <c r="K291" s="2" t="str">
        <f>"PFES1162730069_0001"</f>
        <v>PFES1162730069_0001</v>
      </c>
      <c r="L291" s="2">
        <v>1</v>
      </c>
      <c r="M291" s="2">
        <v>1</v>
      </c>
    </row>
    <row r="292" spans="1:13">
      <c r="A292" s="6">
        <v>43837</v>
      </c>
      <c r="B292" s="7">
        <v>0.61388888888888882</v>
      </c>
      <c r="C292" s="2" t="str">
        <f>"FES1162729986"</f>
        <v>FES1162729986</v>
      </c>
      <c r="D292" s="2" t="s">
        <v>19</v>
      </c>
      <c r="E292" s="2" t="s">
        <v>278</v>
      </c>
      <c r="F292" s="2" t="str">
        <f>"2170721512 "</f>
        <v xml:space="preserve">2170721512 </v>
      </c>
      <c r="G292" s="2" t="str">
        <f>"DBC"</f>
        <v>DBC</v>
      </c>
      <c r="H292" s="2" t="s">
        <v>21</v>
      </c>
      <c r="I292" s="2" t="s">
        <v>38</v>
      </c>
      <c r="J292" s="2" t="str">
        <f>""</f>
        <v/>
      </c>
      <c r="K292" s="2" t="str">
        <f>"PFES1162729986_0001"</f>
        <v>PFES1162729986_0001</v>
      </c>
      <c r="L292" s="2">
        <v>1</v>
      </c>
      <c r="M292" s="2">
        <v>27</v>
      </c>
    </row>
    <row r="293" spans="1:13">
      <c r="A293" s="6">
        <v>43837</v>
      </c>
      <c r="B293" s="7">
        <v>0.61319444444444449</v>
      </c>
      <c r="C293" s="2" t="str">
        <f>"FES1162729923"</f>
        <v>FES1162729923</v>
      </c>
      <c r="D293" s="2" t="s">
        <v>19</v>
      </c>
      <c r="E293" s="2" t="s">
        <v>64</v>
      </c>
      <c r="F293" s="2" t="str">
        <f>"2170720591 "</f>
        <v xml:space="preserve">2170720591 </v>
      </c>
      <c r="G293" s="2" t="str">
        <f t="shared" ref="G293:G356" si="10">"ON1"</f>
        <v>ON1</v>
      </c>
      <c r="H293" s="2" t="s">
        <v>21</v>
      </c>
      <c r="I293" s="2" t="s">
        <v>60</v>
      </c>
      <c r="J293" s="2" t="str">
        <f>""</f>
        <v/>
      </c>
      <c r="K293" s="2" t="str">
        <f>"PFES1162729923_0001"</f>
        <v>PFES1162729923_0001</v>
      </c>
      <c r="L293" s="2">
        <v>1</v>
      </c>
      <c r="M293" s="2">
        <v>4</v>
      </c>
    </row>
    <row r="294" spans="1:13">
      <c r="A294" s="6">
        <v>43837</v>
      </c>
      <c r="B294" s="7">
        <v>0.61319444444444449</v>
      </c>
      <c r="C294" s="2" t="str">
        <f>"FES1162729994"</f>
        <v>FES1162729994</v>
      </c>
      <c r="D294" s="2" t="s">
        <v>19</v>
      </c>
      <c r="E294" s="2" t="s">
        <v>205</v>
      </c>
      <c r="F294" s="2" t="str">
        <f>"2170721593 "</f>
        <v xml:space="preserve">2170721593 </v>
      </c>
      <c r="G294" s="2" t="str">
        <f t="shared" si="10"/>
        <v>ON1</v>
      </c>
      <c r="H294" s="2" t="s">
        <v>21</v>
      </c>
      <c r="I294" s="2" t="s">
        <v>88</v>
      </c>
      <c r="J294" s="2" t="str">
        <f>""</f>
        <v/>
      </c>
      <c r="K294" s="2" t="str">
        <f>"PFES1162729994_0001"</f>
        <v>PFES1162729994_0001</v>
      </c>
      <c r="L294" s="2">
        <v>1</v>
      </c>
      <c r="M294" s="2">
        <v>1</v>
      </c>
    </row>
    <row r="295" spans="1:13">
      <c r="A295" s="6">
        <v>43837</v>
      </c>
      <c r="B295" s="7">
        <v>0.61319444444444449</v>
      </c>
      <c r="C295" s="2" t="str">
        <f>"FES1162729937"</f>
        <v>FES1162729937</v>
      </c>
      <c r="D295" s="2" t="s">
        <v>19</v>
      </c>
      <c r="E295" s="2" t="s">
        <v>279</v>
      </c>
      <c r="F295" s="2" t="str">
        <f>"2170722774 "</f>
        <v xml:space="preserve">2170722774 </v>
      </c>
      <c r="G295" s="2" t="str">
        <f t="shared" si="10"/>
        <v>ON1</v>
      </c>
      <c r="H295" s="2" t="s">
        <v>21</v>
      </c>
      <c r="I295" s="2" t="s">
        <v>69</v>
      </c>
      <c r="J295" s="2" t="str">
        <f>""</f>
        <v/>
      </c>
      <c r="K295" s="2" t="str">
        <f>"PFES1162729937_0001"</f>
        <v>PFES1162729937_0001</v>
      </c>
      <c r="L295" s="2">
        <v>1</v>
      </c>
      <c r="M295" s="2">
        <v>4</v>
      </c>
    </row>
    <row r="296" spans="1:13">
      <c r="A296" s="6">
        <v>43837</v>
      </c>
      <c r="B296" s="7">
        <v>0.61249999999999993</v>
      </c>
      <c r="C296" s="2" t="str">
        <f>"FES1162729975"</f>
        <v>FES1162729975</v>
      </c>
      <c r="D296" s="2" t="s">
        <v>19</v>
      </c>
      <c r="E296" s="2" t="s">
        <v>280</v>
      </c>
      <c r="F296" s="2" t="str">
        <f>"2170721285 "</f>
        <v xml:space="preserve">2170721285 </v>
      </c>
      <c r="G296" s="2" t="str">
        <f t="shared" si="10"/>
        <v>ON1</v>
      </c>
      <c r="H296" s="2" t="s">
        <v>21</v>
      </c>
      <c r="I296" s="2" t="s">
        <v>247</v>
      </c>
      <c r="J296" s="2" t="str">
        <f>""</f>
        <v/>
      </c>
      <c r="K296" s="2" t="str">
        <f>"PFES1162729975_0001"</f>
        <v>PFES1162729975_0001</v>
      </c>
      <c r="L296" s="2">
        <v>1</v>
      </c>
      <c r="M296" s="2">
        <v>1</v>
      </c>
    </row>
    <row r="297" spans="1:13">
      <c r="A297" s="6">
        <v>43837</v>
      </c>
      <c r="B297" s="7">
        <v>0.6118055555555556</v>
      </c>
      <c r="C297" s="2" t="str">
        <f>"FES1162730071"</f>
        <v>FES1162730071</v>
      </c>
      <c r="D297" s="2" t="s">
        <v>19</v>
      </c>
      <c r="E297" s="2" t="s">
        <v>281</v>
      </c>
      <c r="F297" s="2" t="str">
        <f>"2170720516 "</f>
        <v xml:space="preserve">2170720516 </v>
      </c>
      <c r="G297" s="2" t="str">
        <f t="shared" si="10"/>
        <v>ON1</v>
      </c>
      <c r="H297" s="2" t="s">
        <v>21</v>
      </c>
      <c r="I297" s="2" t="s">
        <v>202</v>
      </c>
      <c r="J297" s="2" t="str">
        <f>""</f>
        <v/>
      </c>
      <c r="K297" s="2" t="str">
        <f>"PFES1162730071_0001"</f>
        <v>PFES1162730071_0001</v>
      </c>
      <c r="L297" s="2">
        <v>1</v>
      </c>
      <c r="M297" s="2">
        <v>1</v>
      </c>
    </row>
    <row r="298" spans="1:13">
      <c r="A298" s="6">
        <v>43837</v>
      </c>
      <c r="B298" s="7">
        <v>0.61111111111111105</v>
      </c>
      <c r="C298" s="2" t="str">
        <f>"FES1162730037"</f>
        <v>FES1162730037</v>
      </c>
      <c r="D298" s="2" t="s">
        <v>19</v>
      </c>
      <c r="E298" s="2" t="s">
        <v>245</v>
      </c>
      <c r="F298" s="2" t="str">
        <f>"2170722043 "</f>
        <v xml:space="preserve">2170722043 </v>
      </c>
      <c r="G298" s="2" t="str">
        <f t="shared" si="10"/>
        <v>ON1</v>
      </c>
      <c r="H298" s="2" t="s">
        <v>21</v>
      </c>
      <c r="I298" s="2" t="s">
        <v>96</v>
      </c>
      <c r="J298" s="2" t="str">
        <f>""</f>
        <v/>
      </c>
      <c r="K298" s="2" t="str">
        <f>"PFES1162730037_0001"</f>
        <v>PFES1162730037_0001</v>
      </c>
      <c r="L298" s="2">
        <v>1</v>
      </c>
      <c r="M298" s="2">
        <v>1</v>
      </c>
    </row>
    <row r="299" spans="1:13">
      <c r="A299" s="6">
        <v>43837</v>
      </c>
      <c r="B299" s="7">
        <v>0.61041666666666672</v>
      </c>
      <c r="C299" s="2" t="str">
        <f>"FES1162730022"</f>
        <v>FES1162730022</v>
      </c>
      <c r="D299" s="2" t="s">
        <v>19</v>
      </c>
      <c r="E299" s="2" t="s">
        <v>201</v>
      </c>
      <c r="F299" s="2" t="str">
        <f>"2170721952 "</f>
        <v xml:space="preserve">2170721952 </v>
      </c>
      <c r="G299" s="2" t="str">
        <f t="shared" si="10"/>
        <v>ON1</v>
      </c>
      <c r="H299" s="2" t="s">
        <v>21</v>
      </c>
      <c r="I299" s="2" t="s">
        <v>202</v>
      </c>
      <c r="J299" s="2" t="str">
        <f>""</f>
        <v/>
      </c>
      <c r="K299" s="2" t="str">
        <f>"PFES1162730022_0001"</f>
        <v>PFES1162730022_0001</v>
      </c>
      <c r="L299" s="2">
        <v>1</v>
      </c>
      <c r="M299" s="2">
        <v>1</v>
      </c>
    </row>
    <row r="300" spans="1:13">
      <c r="A300" s="6">
        <v>43837</v>
      </c>
      <c r="B300" s="7">
        <v>0.60972222222222217</v>
      </c>
      <c r="C300" s="2" t="str">
        <f>"FES1162730049"</f>
        <v>FES1162730049</v>
      </c>
      <c r="D300" s="2" t="s">
        <v>19</v>
      </c>
      <c r="E300" s="2" t="s">
        <v>201</v>
      </c>
      <c r="F300" s="2" t="str">
        <f>"2170722667 "</f>
        <v xml:space="preserve">2170722667 </v>
      </c>
      <c r="G300" s="2" t="str">
        <f t="shared" si="10"/>
        <v>ON1</v>
      </c>
      <c r="H300" s="2" t="s">
        <v>21</v>
      </c>
      <c r="I300" s="2" t="s">
        <v>202</v>
      </c>
      <c r="J300" s="2" t="str">
        <f>""</f>
        <v/>
      </c>
      <c r="K300" s="2" t="str">
        <f>"PFES1162730049_0001"</f>
        <v>PFES1162730049_0001</v>
      </c>
      <c r="L300" s="2">
        <v>1</v>
      </c>
      <c r="M300" s="2">
        <v>1</v>
      </c>
    </row>
    <row r="301" spans="1:13">
      <c r="A301" s="6">
        <v>43837</v>
      </c>
      <c r="B301" s="7">
        <v>0.60138888888888886</v>
      </c>
      <c r="C301" s="2" t="str">
        <f>"FES1162729891"</f>
        <v>FES1162729891</v>
      </c>
      <c r="D301" s="2" t="s">
        <v>19</v>
      </c>
      <c r="E301" s="2" t="s">
        <v>77</v>
      </c>
      <c r="F301" s="2" t="str">
        <f>"2170722492 "</f>
        <v xml:space="preserve">2170722492 </v>
      </c>
      <c r="G301" s="2" t="str">
        <f t="shared" si="10"/>
        <v>ON1</v>
      </c>
      <c r="H301" s="2" t="s">
        <v>21</v>
      </c>
      <c r="I301" s="2" t="s">
        <v>78</v>
      </c>
      <c r="J301" s="2" t="str">
        <f>""</f>
        <v/>
      </c>
      <c r="K301" s="2" t="str">
        <f>"PFES1162729891_0001"</f>
        <v>PFES1162729891_0001</v>
      </c>
      <c r="L301" s="2">
        <v>1</v>
      </c>
      <c r="M301" s="2">
        <v>12</v>
      </c>
    </row>
    <row r="302" spans="1:13">
      <c r="A302" s="6">
        <v>43837</v>
      </c>
      <c r="B302" s="7">
        <v>0.60069444444444442</v>
      </c>
      <c r="C302" s="2" t="str">
        <f>"FES1162729967"</f>
        <v>FES1162729967</v>
      </c>
      <c r="D302" s="2" t="s">
        <v>19</v>
      </c>
      <c r="E302" s="2" t="s">
        <v>222</v>
      </c>
      <c r="F302" s="2" t="str">
        <f>"2170720944 "</f>
        <v xml:space="preserve">2170720944 </v>
      </c>
      <c r="G302" s="2" t="str">
        <f t="shared" si="10"/>
        <v>ON1</v>
      </c>
      <c r="H302" s="2" t="s">
        <v>21</v>
      </c>
      <c r="I302" s="2" t="s">
        <v>28</v>
      </c>
      <c r="J302" s="2" t="str">
        <f>""</f>
        <v/>
      </c>
      <c r="K302" s="2" t="str">
        <f>"PFES1162729967_0001"</f>
        <v>PFES1162729967_0001</v>
      </c>
      <c r="L302" s="2">
        <v>1</v>
      </c>
      <c r="M302" s="2">
        <v>9</v>
      </c>
    </row>
    <row r="303" spans="1:13">
      <c r="A303" s="6">
        <v>43837</v>
      </c>
      <c r="B303" s="7">
        <v>0.60069444444444442</v>
      </c>
      <c r="C303" s="2" t="str">
        <f>"FES1162730052"</f>
        <v>FES1162730052</v>
      </c>
      <c r="D303" s="2" t="s">
        <v>19</v>
      </c>
      <c r="E303" s="2" t="s">
        <v>282</v>
      </c>
      <c r="F303" s="2" t="str">
        <f>"2170722809 "</f>
        <v xml:space="preserve">2170722809 </v>
      </c>
      <c r="G303" s="2" t="str">
        <f t="shared" si="10"/>
        <v>ON1</v>
      </c>
      <c r="H303" s="2" t="s">
        <v>21</v>
      </c>
      <c r="I303" s="2" t="s">
        <v>49</v>
      </c>
      <c r="J303" s="2" t="str">
        <f>""</f>
        <v/>
      </c>
      <c r="K303" s="2" t="str">
        <f>"PFES1162730052_0001"</f>
        <v>PFES1162730052_0001</v>
      </c>
      <c r="L303" s="2">
        <v>1</v>
      </c>
      <c r="M303" s="2">
        <v>3</v>
      </c>
    </row>
    <row r="304" spans="1:13">
      <c r="A304" s="6">
        <v>43837</v>
      </c>
      <c r="B304" s="7">
        <v>0.60069444444444442</v>
      </c>
      <c r="C304" s="2" t="str">
        <f>"FES1162730067"</f>
        <v>FES1162730067</v>
      </c>
      <c r="D304" s="2" t="s">
        <v>19</v>
      </c>
      <c r="E304" s="2" t="s">
        <v>46</v>
      </c>
      <c r="F304" s="2" t="str">
        <f>"2170722829 "</f>
        <v xml:space="preserve">2170722829 </v>
      </c>
      <c r="G304" s="2" t="str">
        <f t="shared" si="10"/>
        <v>ON1</v>
      </c>
      <c r="H304" s="2" t="s">
        <v>21</v>
      </c>
      <c r="I304" s="2" t="s">
        <v>47</v>
      </c>
      <c r="J304" s="2" t="str">
        <f>""</f>
        <v/>
      </c>
      <c r="K304" s="2" t="str">
        <f>"PFES1162730067_0001"</f>
        <v>PFES1162730067_0001</v>
      </c>
      <c r="L304" s="2">
        <v>1</v>
      </c>
      <c r="M304" s="2">
        <v>7</v>
      </c>
    </row>
    <row r="305" spans="1:13">
      <c r="A305" s="6">
        <v>43837</v>
      </c>
      <c r="B305" s="7">
        <v>0.59930555555555554</v>
      </c>
      <c r="C305" s="2" t="str">
        <f>"FES1162729775"</f>
        <v>FES1162729775</v>
      </c>
      <c r="D305" s="2" t="s">
        <v>19</v>
      </c>
      <c r="E305" s="2" t="s">
        <v>283</v>
      </c>
      <c r="F305" s="2" t="str">
        <f>"2170721008 "</f>
        <v xml:space="preserve">2170721008 </v>
      </c>
      <c r="G305" s="2" t="str">
        <f t="shared" si="10"/>
        <v>ON1</v>
      </c>
      <c r="H305" s="2" t="s">
        <v>21</v>
      </c>
      <c r="I305" s="2" t="s">
        <v>284</v>
      </c>
      <c r="J305" s="2" t="str">
        <f>""</f>
        <v/>
      </c>
      <c r="K305" s="2" t="str">
        <f>"PFES1162729775_0001"</f>
        <v>PFES1162729775_0001</v>
      </c>
      <c r="L305" s="2">
        <v>1</v>
      </c>
      <c r="M305" s="2">
        <v>5</v>
      </c>
    </row>
    <row r="306" spans="1:13">
      <c r="A306" s="6">
        <v>43837</v>
      </c>
      <c r="B306" s="7">
        <v>0.59930555555555554</v>
      </c>
      <c r="C306" s="2" t="str">
        <f>"FES1162730028"</f>
        <v>FES1162730028</v>
      </c>
      <c r="D306" s="2" t="s">
        <v>19</v>
      </c>
      <c r="E306" s="2" t="s">
        <v>118</v>
      </c>
      <c r="F306" s="2" t="str">
        <f>"2170721991 "</f>
        <v xml:space="preserve">2170721991 </v>
      </c>
      <c r="G306" s="2" t="str">
        <f t="shared" si="10"/>
        <v>ON1</v>
      </c>
      <c r="H306" s="2" t="s">
        <v>21</v>
      </c>
      <c r="I306" s="2" t="s">
        <v>119</v>
      </c>
      <c r="J306" s="2" t="str">
        <f>""</f>
        <v/>
      </c>
      <c r="K306" s="2" t="str">
        <f>"PFES1162730028_0001"</f>
        <v>PFES1162730028_0001</v>
      </c>
      <c r="L306" s="2">
        <v>1</v>
      </c>
      <c r="M306" s="2">
        <v>1</v>
      </c>
    </row>
    <row r="307" spans="1:13">
      <c r="A307" s="6">
        <v>43837</v>
      </c>
      <c r="B307" s="7">
        <v>0.59861111111111109</v>
      </c>
      <c r="C307" s="2" t="str">
        <f>"FES1162730061"</f>
        <v>FES1162730061</v>
      </c>
      <c r="D307" s="2" t="s">
        <v>19</v>
      </c>
      <c r="E307" s="2" t="s">
        <v>285</v>
      </c>
      <c r="F307" s="2" t="str">
        <f>"2170722819 "</f>
        <v xml:space="preserve">2170722819 </v>
      </c>
      <c r="G307" s="2" t="str">
        <f t="shared" si="10"/>
        <v>ON1</v>
      </c>
      <c r="H307" s="2" t="s">
        <v>21</v>
      </c>
      <c r="I307" s="2" t="s">
        <v>165</v>
      </c>
      <c r="J307" s="2" t="str">
        <f>""</f>
        <v/>
      </c>
      <c r="K307" s="2" t="str">
        <f>"PFES1162730061_0001"</f>
        <v>PFES1162730061_0001</v>
      </c>
      <c r="L307" s="2">
        <v>1</v>
      </c>
      <c r="M307" s="2">
        <v>1</v>
      </c>
    </row>
    <row r="308" spans="1:13">
      <c r="A308" s="6">
        <v>43837</v>
      </c>
      <c r="B308" s="7">
        <v>0.59861111111111109</v>
      </c>
      <c r="C308" s="2" t="str">
        <f>"FES1162729931"</f>
        <v>FES1162729931</v>
      </c>
      <c r="D308" s="2" t="s">
        <v>19</v>
      </c>
      <c r="E308" s="2" t="s">
        <v>118</v>
      </c>
      <c r="F308" s="2" t="str">
        <f>"2170722769 "</f>
        <v xml:space="preserve">2170722769 </v>
      </c>
      <c r="G308" s="2" t="str">
        <f t="shared" si="10"/>
        <v>ON1</v>
      </c>
      <c r="H308" s="2" t="s">
        <v>21</v>
      </c>
      <c r="I308" s="2" t="s">
        <v>119</v>
      </c>
      <c r="J308" s="2" t="str">
        <f>""</f>
        <v/>
      </c>
      <c r="K308" s="2" t="str">
        <f>"PFES1162729931_0001"</f>
        <v>PFES1162729931_0001</v>
      </c>
      <c r="L308" s="2">
        <v>1</v>
      </c>
      <c r="M308" s="2">
        <v>4</v>
      </c>
    </row>
    <row r="309" spans="1:13">
      <c r="A309" s="6">
        <v>43837</v>
      </c>
      <c r="B309" s="7">
        <v>0.59861111111111109</v>
      </c>
      <c r="C309" s="2" t="str">
        <f>"FES1162729938"</f>
        <v>FES1162729938</v>
      </c>
      <c r="D309" s="2" t="s">
        <v>19</v>
      </c>
      <c r="E309" s="2" t="s">
        <v>128</v>
      </c>
      <c r="F309" s="2" t="str">
        <f>"2170722775 "</f>
        <v xml:space="preserve">2170722775 </v>
      </c>
      <c r="G309" s="2" t="str">
        <f t="shared" si="10"/>
        <v>ON1</v>
      </c>
      <c r="H309" s="2" t="s">
        <v>21</v>
      </c>
      <c r="I309" s="2" t="s">
        <v>129</v>
      </c>
      <c r="J309" s="2" t="str">
        <f>""</f>
        <v/>
      </c>
      <c r="K309" s="2" t="str">
        <f>"PFES1162729938_0001"</f>
        <v>PFES1162729938_0001</v>
      </c>
      <c r="L309" s="2">
        <v>1</v>
      </c>
      <c r="M309" s="2">
        <v>2</v>
      </c>
    </row>
    <row r="310" spans="1:13">
      <c r="A310" s="6">
        <v>43837</v>
      </c>
      <c r="B310" s="7">
        <v>0.59791666666666665</v>
      </c>
      <c r="C310" s="2" t="str">
        <f>"FES1162730051"</f>
        <v>FES1162730051</v>
      </c>
      <c r="D310" s="2" t="s">
        <v>19</v>
      </c>
      <c r="E310" s="2" t="s">
        <v>286</v>
      </c>
      <c r="F310" s="2" t="str">
        <f>"2170722808 "</f>
        <v xml:space="preserve">2170722808 </v>
      </c>
      <c r="G310" s="2" t="str">
        <f t="shared" si="10"/>
        <v>ON1</v>
      </c>
      <c r="H310" s="2" t="s">
        <v>21</v>
      </c>
      <c r="I310" s="2" t="s">
        <v>85</v>
      </c>
      <c r="J310" s="2" t="str">
        <f>""</f>
        <v/>
      </c>
      <c r="K310" s="2" t="str">
        <f>"PFES1162730051_0001"</f>
        <v>PFES1162730051_0001</v>
      </c>
      <c r="L310" s="2">
        <v>1</v>
      </c>
      <c r="M310" s="2">
        <v>2</v>
      </c>
    </row>
    <row r="311" spans="1:13">
      <c r="A311" s="6">
        <v>43837</v>
      </c>
      <c r="B311" s="7">
        <v>0.59791666666666665</v>
      </c>
      <c r="C311" s="2" t="str">
        <f>"FES1162730043"</f>
        <v>FES1162730043</v>
      </c>
      <c r="D311" s="2" t="s">
        <v>19</v>
      </c>
      <c r="E311" s="2" t="s">
        <v>287</v>
      </c>
      <c r="F311" s="2" t="str">
        <f>"2170722118 "</f>
        <v xml:space="preserve">2170722118 </v>
      </c>
      <c r="G311" s="2" t="str">
        <f t="shared" si="10"/>
        <v>ON1</v>
      </c>
      <c r="H311" s="2" t="s">
        <v>21</v>
      </c>
      <c r="I311" s="2" t="s">
        <v>288</v>
      </c>
      <c r="J311" s="2" t="str">
        <f>""</f>
        <v/>
      </c>
      <c r="K311" s="2" t="str">
        <f>"PFES1162730043_0001"</f>
        <v>PFES1162730043_0001</v>
      </c>
      <c r="L311" s="2">
        <v>1</v>
      </c>
      <c r="M311" s="2">
        <v>1</v>
      </c>
    </row>
    <row r="312" spans="1:13">
      <c r="A312" s="6">
        <v>43837</v>
      </c>
      <c r="B312" s="7">
        <v>0.59652777777777777</v>
      </c>
      <c r="C312" s="2" t="str">
        <f>"FES1162729981"</f>
        <v>FES1162729981</v>
      </c>
      <c r="D312" s="2" t="s">
        <v>19</v>
      </c>
      <c r="E312" s="2" t="s">
        <v>289</v>
      </c>
      <c r="F312" s="2" t="str">
        <f>"2170721478 "</f>
        <v xml:space="preserve">2170721478 </v>
      </c>
      <c r="G312" s="2" t="str">
        <f t="shared" si="10"/>
        <v>ON1</v>
      </c>
      <c r="H312" s="2" t="s">
        <v>21</v>
      </c>
      <c r="I312" s="2" t="s">
        <v>233</v>
      </c>
      <c r="J312" s="2" t="str">
        <f>""</f>
        <v/>
      </c>
      <c r="K312" s="2" t="str">
        <f>"PFES1162729981_0001"</f>
        <v>PFES1162729981_0001</v>
      </c>
      <c r="L312" s="2">
        <v>1</v>
      </c>
      <c r="M312" s="2">
        <v>2</v>
      </c>
    </row>
    <row r="313" spans="1:13">
      <c r="A313" s="6">
        <v>43837</v>
      </c>
      <c r="B313" s="7">
        <v>0.59652777777777777</v>
      </c>
      <c r="C313" s="2" t="str">
        <f>"FES1162730034"</f>
        <v>FES1162730034</v>
      </c>
      <c r="D313" s="2" t="s">
        <v>19</v>
      </c>
      <c r="E313" s="2" t="s">
        <v>23</v>
      </c>
      <c r="F313" s="2" t="str">
        <f>"2170722022 "</f>
        <v xml:space="preserve">2170722022 </v>
      </c>
      <c r="G313" s="2" t="str">
        <f t="shared" si="10"/>
        <v>ON1</v>
      </c>
      <c r="H313" s="2" t="s">
        <v>21</v>
      </c>
      <c r="I313" s="2" t="s">
        <v>24</v>
      </c>
      <c r="J313" s="2" t="str">
        <f>""</f>
        <v/>
      </c>
      <c r="K313" s="2" t="str">
        <f>"PFES1162730034_0001"</f>
        <v>PFES1162730034_0001</v>
      </c>
      <c r="L313" s="2">
        <v>1</v>
      </c>
      <c r="M313" s="2">
        <v>1</v>
      </c>
    </row>
    <row r="314" spans="1:13">
      <c r="A314" s="6">
        <v>43837</v>
      </c>
      <c r="B314" s="7">
        <v>0.59583333333333333</v>
      </c>
      <c r="C314" s="2" t="str">
        <f>"FES1162729877"</f>
        <v>FES1162729877</v>
      </c>
      <c r="D314" s="2" t="s">
        <v>19</v>
      </c>
      <c r="E314" s="2" t="s">
        <v>290</v>
      </c>
      <c r="F314" s="2" t="str">
        <f>"2170722715 "</f>
        <v xml:space="preserve">2170722715 </v>
      </c>
      <c r="G314" s="2" t="str">
        <f t="shared" si="10"/>
        <v>ON1</v>
      </c>
      <c r="H314" s="2" t="s">
        <v>21</v>
      </c>
      <c r="I314" s="2" t="s">
        <v>291</v>
      </c>
      <c r="J314" s="2" t="str">
        <f>""</f>
        <v/>
      </c>
      <c r="K314" s="2" t="str">
        <f>"PFES1162729877_0001"</f>
        <v>PFES1162729877_0001</v>
      </c>
      <c r="L314" s="2">
        <v>1</v>
      </c>
      <c r="M314" s="2">
        <v>2</v>
      </c>
    </row>
    <row r="315" spans="1:13">
      <c r="A315" s="6">
        <v>43837</v>
      </c>
      <c r="B315" s="7">
        <v>0.59583333333333333</v>
      </c>
      <c r="C315" s="2" t="str">
        <f>"FES1162730005"</f>
        <v>FES1162730005</v>
      </c>
      <c r="D315" s="2" t="s">
        <v>19</v>
      </c>
      <c r="E315" s="2" t="s">
        <v>292</v>
      </c>
      <c r="F315" s="2" t="str">
        <f>"2170721773 "</f>
        <v xml:space="preserve">2170721773 </v>
      </c>
      <c r="G315" s="2" t="str">
        <f t="shared" si="10"/>
        <v>ON1</v>
      </c>
      <c r="H315" s="2" t="s">
        <v>21</v>
      </c>
      <c r="I315" s="2" t="s">
        <v>288</v>
      </c>
      <c r="J315" s="2" t="str">
        <f>""</f>
        <v/>
      </c>
      <c r="K315" s="2" t="str">
        <f>"PFES1162730005_0001"</f>
        <v>PFES1162730005_0001</v>
      </c>
      <c r="L315" s="2">
        <v>1</v>
      </c>
      <c r="M315" s="2">
        <v>2</v>
      </c>
    </row>
    <row r="316" spans="1:13">
      <c r="A316" s="6">
        <v>43837</v>
      </c>
      <c r="B316" s="7">
        <v>0.59513888888888888</v>
      </c>
      <c r="C316" s="2" t="str">
        <f>"FES1162729924"</f>
        <v>FES1162729924</v>
      </c>
      <c r="D316" s="2" t="s">
        <v>19</v>
      </c>
      <c r="E316" s="2" t="s">
        <v>33</v>
      </c>
      <c r="F316" s="2" t="str">
        <f>"2170721677 "</f>
        <v xml:space="preserve">2170721677 </v>
      </c>
      <c r="G316" s="2" t="str">
        <f t="shared" si="10"/>
        <v>ON1</v>
      </c>
      <c r="H316" s="2" t="s">
        <v>21</v>
      </c>
      <c r="I316" s="2" t="s">
        <v>34</v>
      </c>
      <c r="J316" s="2" t="str">
        <f>""</f>
        <v/>
      </c>
      <c r="K316" s="2" t="str">
        <f>"PFES1162729924_0001"</f>
        <v>PFES1162729924_0001</v>
      </c>
      <c r="L316" s="2">
        <v>1</v>
      </c>
      <c r="M316" s="2">
        <v>13</v>
      </c>
    </row>
    <row r="317" spans="1:13">
      <c r="A317" s="6">
        <v>43837</v>
      </c>
      <c r="B317" s="7">
        <v>0.59444444444444444</v>
      </c>
      <c r="C317" s="2" t="str">
        <f>"FES1162730001"</f>
        <v>FES1162730001</v>
      </c>
      <c r="D317" s="2" t="s">
        <v>19</v>
      </c>
      <c r="E317" s="2" t="s">
        <v>229</v>
      </c>
      <c r="F317" s="2" t="str">
        <f>"2170721689 "</f>
        <v xml:space="preserve">2170721689 </v>
      </c>
      <c r="G317" s="2" t="str">
        <f t="shared" si="10"/>
        <v>ON1</v>
      </c>
      <c r="H317" s="2" t="s">
        <v>21</v>
      </c>
      <c r="I317" s="2" t="s">
        <v>230</v>
      </c>
      <c r="J317" s="2" t="str">
        <f>"DELIVER AT TH SECURITY"</f>
        <v>DELIVER AT TH SECURITY</v>
      </c>
      <c r="K317" s="2" t="str">
        <f>"PFES1162730001_0001"</f>
        <v>PFES1162730001_0001</v>
      </c>
      <c r="L317" s="2">
        <v>1</v>
      </c>
      <c r="M317" s="2">
        <v>1</v>
      </c>
    </row>
    <row r="318" spans="1:13">
      <c r="A318" s="6">
        <v>43837</v>
      </c>
      <c r="B318" s="7">
        <v>0.59375</v>
      </c>
      <c r="C318" s="2" t="str">
        <f>"FES1162729979"</f>
        <v>FES1162729979</v>
      </c>
      <c r="D318" s="2" t="s">
        <v>19</v>
      </c>
      <c r="E318" s="2" t="s">
        <v>293</v>
      </c>
      <c r="F318" s="2" t="str">
        <f>"2170721405 "</f>
        <v xml:space="preserve">2170721405 </v>
      </c>
      <c r="G318" s="2" t="str">
        <f t="shared" si="10"/>
        <v>ON1</v>
      </c>
      <c r="H318" s="2" t="s">
        <v>21</v>
      </c>
      <c r="I318" s="2" t="s">
        <v>294</v>
      </c>
      <c r="J318" s="2" t="str">
        <f>""</f>
        <v/>
      </c>
      <c r="K318" s="2" t="str">
        <f>"PFES1162729979_0001"</f>
        <v>PFES1162729979_0001</v>
      </c>
      <c r="L318" s="2">
        <v>1</v>
      </c>
      <c r="M318" s="2">
        <v>4</v>
      </c>
    </row>
    <row r="319" spans="1:13">
      <c r="A319" s="6">
        <v>43837</v>
      </c>
      <c r="B319" s="7">
        <v>0.59375</v>
      </c>
      <c r="C319" s="2" t="str">
        <f>"FES1162730053"</f>
        <v>FES1162730053</v>
      </c>
      <c r="D319" s="2" t="s">
        <v>19</v>
      </c>
      <c r="E319" s="2" t="s">
        <v>20</v>
      </c>
      <c r="F319" s="2" t="str">
        <f>"2170722810 "</f>
        <v xml:space="preserve">2170722810 </v>
      </c>
      <c r="G319" s="2" t="str">
        <f t="shared" si="10"/>
        <v>ON1</v>
      </c>
      <c r="H319" s="2" t="s">
        <v>21</v>
      </c>
      <c r="I319" s="2" t="s">
        <v>22</v>
      </c>
      <c r="J319" s="2" t="str">
        <f>""</f>
        <v/>
      </c>
      <c r="K319" s="2" t="str">
        <f>"PFES1162730053_0001"</f>
        <v>PFES1162730053_0001</v>
      </c>
      <c r="L319" s="2">
        <v>1</v>
      </c>
      <c r="M319" s="2">
        <v>1</v>
      </c>
    </row>
    <row r="320" spans="1:13">
      <c r="A320" s="6">
        <v>43837</v>
      </c>
      <c r="B320" s="7">
        <v>0.59375</v>
      </c>
      <c r="C320" s="2" t="str">
        <f>"FES1162729971"</f>
        <v>FES1162729971</v>
      </c>
      <c r="D320" s="2" t="s">
        <v>19</v>
      </c>
      <c r="E320" s="2" t="s">
        <v>192</v>
      </c>
      <c r="F320" s="2" t="str">
        <f>"2170721211 "</f>
        <v xml:space="preserve">2170721211 </v>
      </c>
      <c r="G320" s="2" t="str">
        <f t="shared" si="10"/>
        <v>ON1</v>
      </c>
      <c r="H320" s="2" t="s">
        <v>21</v>
      </c>
      <c r="I320" s="2" t="s">
        <v>193</v>
      </c>
      <c r="J320" s="2" t="str">
        <f>""</f>
        <v/>
      </c>
      <c r="K320" s="2" t="str">
        <f>"PFES1162729971_0001"</f>
        <v>PFES1162729971_0001</v>
      </c>
      <c r="L320" s="2">
        <v>1</v>
      </c>
      <c r="M320" s="2">
        <v>3</v>
      </c>
    </row>
    <row r="321" spans="1:13">
      <c r="A321" s="6">
        <v>43837</v>
      </c>
      <c r="B321" s="7">
        <v>0.59305555555555556</v>
      </c>
      <c r="C321" s="2" t="str">
        <f>"FES1162729932"</f>
        <v>FES1162729932</v>
      </c>
      <c r="D321" s="2" t="s">
        <v>19</v>
      </c>
      <c r="E321" s="2" t="s">
        <v>295</v>
      </c>
      <c r="F321" s="2" t="str">
        <f>"2170722766 "</f>
        <v xml:space="preserve">2170722766 </v>
      </c>
      <c r="G321" s="2" t="str">
        <f t="shared" si="10"/>
        <v>ON1</v>
      </c>
      <c r="H321" s="2" t="s">
        <v>21</v>
      </c>
      <c r="I321" s="2" t="s">
        <v>296</v>
      </c>
      <c r="J321" s="2" t="str">
        <f>""</f>
        <v/>
      </c>
      <c r="K321" s="2" t="str">
        <f>"PFES1162729932_0001"</f>
        <v>PFES1162729932_0001</v>
      </c>
      <c r="L321" s="2">
        <v>1</v>
      </c>
      <c r="M321" s="2">
        <v>15</v>
      </c>
    </row>
    <row r="322" spans="1:13">
      <c r="A322" s="6">
        <v>43837</v>
      </c>
      <c r="B322" s="7">
        <v>0.59305555555555556</v>
      </c>
      <c r="C322" s="2" t="str">
        <f>"FES1162730048"</f>
        <v>FES1162730048</v>
      </c>
      <c r="D322" s="2" t="s">
        <v>19</v>
      </c>
      <c r="E322" s="2" t="s">
        <v>128</v>
      </c>
      <c r="F322" s="2" t="str">
        <f>"2170722586 "</f>
        <v xml:space="preserve">2170722586 </v>
      </c>
      <c r="G322" s="2" t="str">
        <f t="shared" si="10"/>
        <v>ON1</v>
      </c>
      <c r="H322" s="2" t="s">
        <v>21</v>
      </c>
      <c r="I322" s="2" t="s">
        <v>129</v>
      </c>
      <c r="J322" s="2" t="str">
        <f>""</f>
        <v/>
      </c>
      <c r="K322" s="2" t="str">
        <f>"PFES1162730048_0001"</f>
        <v>PFES1162730048_0001</v>
      </c>
      <c r="L322" s="2">
        <v>1</v>
      </c>
      <c r="M322" s="2">
        <v>1</v>
      </c>
    </row>
    <row r="323" spans="1:13">
      <c r="A323" s="6">
        <v>43837</v>
      </c>
      <c r="B323" s="7">
        <v>0.59236111111111112</v>
      </c>
      <c r="C323" s="2" t="str">
        <f>"FES1162729956"</f>
        <v>FES1162729956</v>
      </c>
      <c r="D323" s="2" t="s">
        <v>19</v>
      </c>
      <c r="E323" s="2" t="s">
        <v>62</v>
      </c>
      <c r="F323" s="2" t="str">
        <f>"2170722795 "</f>
        <v xml:space="preserve">2170722795 </v>
      </c>
      <c r="G323" s="2" t="str">
        <f t="shared" si="10"/>
        <v>ON1</v>
      </c>
      <c r="H323" s="2" t="s">
        <v>21</v>
      </c>
      <c r="I323" s="2" t="s">
        <v>297</v>
      </c>
      <c r="J323" s="2" t="str">
        <f>""</f>
        <v/>
      </c>
      <c r="K323" s="2" t="str">
        <f>"PFES1162729956_0001"</f>
        <v>PFES1162729956_0001</v>
      </c>
      <c r="L323" s="2">
        <v>1</v>
      </c>
      <c r="M323" s="2">
        <v>1</v>
      </c>
    </row>
    <row r="324" spans="1:13">
      <c r="A324" s="6">
        <v>43837</v>
      </c>
      <c r="B324" s="7">
        <v>0.59097222222222223</v>
      </c>
      <c r="C324" s="2" t="str">
        <f>"FES1162729964"</f>
        <v>FES1162729964</v>
      </c>
      <c r="D324" s="2" t="s">
        <v>19</v>
      </c>
      <c r="E324" s="2" t="s">
        <v>128</v>
      </c>
      <c r="F324" s="2" t="str">
        <f>"2170722803 "</f>
        <v xml:space="preserve">2170722803 </v>
      </c>
      <c r="G324" s="2" t="str">
        <f t="shared" si="10"/>
        <v>ON1</v>
      </c>
      <c r="H324" s="2" t="s">
        <v>21</v>
      </c>
      <c r="I324" s="2" t="s">
        <v>129</v>
      </c>
      <c r="J324" s="2" t="str">
        <f>""</f>
        <v/>
      </c>
      <c r="K324" s="2" t="str">
        <f>"PFES1162729964_0001"</f>
        <v>PFES1162729964_0001</v>
      </c>
      <c r="L324" s="2">
        <v>1</v>
      </c>
      <c r="M324" s="2">
        <v>1</v>
      </c>
    </row>
    <row r="325" spans="1:13">
      <c r="A325" s="6">
        <v>43837</v>
      </c>
      <c r="B325" s="7">
        <v>0.59027777777777779</v>
      </c>
      <c r="C325" s="2" t="str">
        <f>"FES1162729942"</f>
        <v>FES1162729942</v>
      </c>
      <c r="D325" s="2" t="s">
        <v>19</v>
      </c>
      <c r="E325" s="2" t="s">
        <v>178</v>
      </c>
      <c r="F325" s="2" t="str">
        <f>"2170722780 "</f>
        <v xml:space="preserve">2170722780 </v>
      </c>
      <c r="G325" s="2" t="str">
        <f t="shared" si="10"/>
        <v>ON1</v>
      </c>
      <c r="H325" s="2" t="s">
        <v>21</v>
      </c>
      <c r="I325" s="2" t="s">
        <v>179</v>
      </c>
      <c r="J325" s="2" t="str">
        <f>""</f>
        <v/>
      </c>
      <c r="K325" s="2" t="str">
        <f>"PFES1162729942_0001"</f>
        <v>PFES1162729942_0001</v>
      </c>
      <c r="L325" s="2">
        <v>1</v>
      </c>
      <c r="M325" s="2">
        <v>1</v>
      </c>
    </row>
    <row r="326" spans="1:13">
      <c r="A326" s="6">
        <v>43837</v>
      </c>
      <c r="B326" s="7">
        <v>0.58958333333333335</v>
      </c>
      <c r="C326" s="2" t="str">
        <f>"FES1162730039"</f>
        <v>FES1162730039</v>
      </c>
      <c r="D326" s="2" t="s">
        <v>19</v>
      </c>
      <c r="E326" s="2" t="s">
        <v>298</v>
      </c>
      <c r="F326" s="2" t="str">
        <f>"2170722076 "</f>
        <v xml:space="preserve">2170722076 </v>
      </c>
      <c r="G326" s="2" t="str">
        <f t="shared" si="10"/>
        <v>ON1</v>
      </c>
      <c r="H326" s="2" t="s">
        <v>21</v>
      </c>
      <c r="I326" s="2" t="s">
        <v>299</v>
      </c>
      <c r="J326" s="2" t="str">
        <f>""</f>
        <v/>
      </c>
      <c r="K326" s="2" t="str">
        <f>"PFES1162730039_0001"</f>
        <v>PFES1162730039_0001</v>
      </c>
      <c r="L326" s="2">
        <v>1</v>
      </c>
      <c r="M326" s="2">
        <v>1</v>
      </c>
    </row>
    <row r="327" spans="1:13">
      <c r="A327" s="6">
        <v>43837</v>
      </c>
      <c r="B327" s="7">
        <v>0.58888888888888891</v>
      </c>
      <c r="C327" s="2" t="str">
        <f>"FES1162730019"</f>
        <v>FES1162730019</v>
      </c>
      <c r="D327" s="2" t="s">
        <v>19</v>
      </c>
      <c r="E327" s="2" t="s">
        <v>177</v>
      </c>
      <c r="F327" s="2" t="str">
        <f>"2170721946 "</f>
        <v xml:space="preserve">2170721946 </v>
      </c>
      <c r="G327" s="2" t="str">
        <f t="shared" si="10"/>
        <v>ON1</v>
      </c>
      <c r="H327" s="2" t="s">
        <v>21</v>
      </c>
      <c r="I327" s="2" t="s">
        <v>165</v>
      </c>
      <c r="J327" s="2" t="str">
        <f>""</f>
        <v/>
      </c>
      <c r="K327" s="2" t="str">
        <f>"PFES1162730019_0001"</f>
        <v>PFES1162730019_0001</v>
      </c>
      <c r="L327" s="2">
        <v>1</v>
      </c>
      <c r="M327" s="2">
        <v>1</v>
      </c>
    </row>
    <row r="328" spans="1:13">
      <c r="A328" s="6">
        <v>43837</v>
      </c>
      <c r="B328" s="7">
        <v>0.58680555555555558</v>
      </c>
      <c r="C328" s="2" t="str">
        <f>"FES1162729969"</f>
        <v>FES1162729969</v>
      </c>
      <c r="D328" s="2" t="s">
        <v>19</v>
      </c>
      <c r="E328" s="2" t="s">
        <v>30</v>
      </c>
      <c r="F328" s="2" t="str">
        <f>"2170721082 "</f>
        <v xml:space="preserve">2170721082 </v>
      </c>
      <c r="G328" s="2" t="str">
        <f t="shared" si="10"/>
        <v>ON1</v>
      </c>
      <c r="H328" s="2" t="s">
        <v>21</v>
      </c>
      <c r="I328" s="2" t="s">
        <v>31</v>
      </c>
      <c r="J328" s="2" t="str">
        <f>""</f>
        <v/>
      </c>
      <c r="K328" s="2" t="str">
        <f>"PFES1162729969_0001"</f>
        <v>PFES1162729969_0001</v>
      </c>
      <c r="L328" s="2">
        <v>1</v>
      </c>
      <c r="M328" s="2">
        <v>1</v>
      </c>
    </row>
    <row r="329" spans="1:13">
      <c r="A329" s="6">
        <v>43837</v>
      </c>
      <c r="B329" s="7">
        <v>0.58611111111111114</v>
      </c>
      <c r="C329" s="2" t="str">
        <f>"FES1162729936"</f>
        <v>FES1162729936</v>
      </c>
      <c r="D329" s="2" t="s">
        <v>19</v>
      </c>
      <c r="E329" s="2" t="s">
        <v>300</v>
      </c>
      <c r="F329" s="2" t="str">
        <f>"2170722508 "</f>
        <v xml:space="preserve">2170722508 </v>
      </c>
      <c r="G329" s="2" t="str">
        <f t="shared" si="10"/>
        <v>ON1</v>
      </c>
      <c r="H329" s="2" t="s">
        <v>21</v>
      </c>
      <c r="I329" s="2" t="s">
        <v>301</v>
      </c>
      <c r="J329" s="2" t="str">
        <f>""</f>
        <v/>
      </c>
      <c r="K329" s="2" t="str">
        <f>"PFES1162729936_0001"</f>
        <v>PFES1162729936_0001</v>
      </c>
      <c r="L329" s="2">
        <v>1</v>
      </c>
      <c r="M329" s="2">
        <v>1</v>
      </c>
    </row>
    <row r="330" spans="1:13">
      <c r="A330" s="6">
        <v>43837</v>
      </c>
      <c r="B330" s="7">
        <v>0.5854166666666667</v>
      </c>
      <c r="C330" s="2" t="str">
        <f>"FES1162730023"</f>
        <v>FES1162730023</v>
      </c>
      <c r="D330" s="2" t="s">
        <v>19</v>
      </c>
      <c r="E330" s="2" t="s">
        <v>302</v>
      </c>
      <c r="F330" s="2" t="str">
        <f>"2170721954 "</f>
        <v xml:space="preserve">2170721954 </v>
      </c>
      <c r="G330" s="2" t="str">
        <f t="shared" si="10"/>
        <v>ON1</v>
      </c>
      <c r="H330" s="2" t="s">
        <v>21</v>
      </c>
      <c r="I330" s="2" t="s">
        <v>303</v>
      </c>
      <c r="J330" s="2" t="str">
        <f>""</f>
        <v/>
      </c>
      <c r="K330" s="2" t="str">
        <f>"PFES1162730023_0001"</f>
        <v>PFES1162730023_0001</v>
      </c>
      <c r="L330" s="2">
        <v>1</v>
      </c>
      <c r="M330" s="2">
        <v>1</v>
      </c>
    </row>
    <row r="331" spans="1:13">
      <c r="A331" s="6">
        <v>43837</v>
      </c>
      <c r="B331" s="7">
        <v>0.58472222222222225</v>
      </c>
      <c r="C331" s="2" t="str">
        <f>"FES1162729958"</f>
        <v>FES1162729958</v>
      </c>
      <c r="D331" s="2" t="s">
        <v>19</v>
      </c>
      <c r="E331" s="2" t="s">
        <v>304</v>
      </c>
      <c r="F331" s="2" t="str">
        <f>"2170722798 "</f>
        <v xml:space="preserve">2170722798 </v>
      </c>
      <c r="G331" s="2" t="str">
        <f t="shared" si="10"/>
        <v>ON1</v>
      </c>
      <c r="H331" s="2" t="s">
        <v>21</v>
      </c>
      <c r="I331" s="2" t="s">
        <v>305</v>
      </c>
      <c r="J331" s="2" t="str">
        <f>""</f>
        <v/>
      </c>
      <c r="K331" s="2" t="str">
        <f>"PFES1162729958_0001"</f>
        <v>PFES1162729958_0001</v>
      </c>
      <c r="L331" s="2">
        <v>1</v>
      </c>
      <c r="M331" s="2">
        <v>1</v>
      </c>
    </row>
    <row r="332" spans="1:13">
      <c r="A332" s="6">
        <v>43837</v>
      </c>
      <c r="B332" s="7">
        <v>0.5625</v>
      </c>
      <c r="C332" s="2" t="str">
        <f>"FES1162729997"</f>
        <v>FES1162729997</v>
      </c>
      <c r="D332" s="2" t="s">
        <v>19</v>
      </c>
      <c r="E332" s="2" t="s">
        <v>218</v>
      </c>
      <c r="F332" s="2" t="str">
        <f>"2170729997 "</f>
        <v xml:space="preserve">2170729997 </v>
      </c>
      <c r="G332" s="2" t="str">
        <f t="shared" si="10"/>
        <v>ON1</v>
      </c>
      <c r="H332" s="2" t="s">
        <v>21</v>
      </c>
      <c r="I332" s="2" t="s">
        <v>49</v>
      </c>
      <c r="J332" s="2" t="str">
        <f>""</f>
        <v/>
      </c>
      <c r="K332" s="2" t="str">
        <f>"PFES1162729997_0001"</f>
        <v>PFES1162729997_0001</v>
      </c>
      <c r="L332" s="2">
        <v>1</v>
      </c>
      <c r="M332" s="2">
        <v>1</v>
      </c>
    </row>
    <row r="333" spans="1:13">
      <c r="A333" s="6">
        <v>43837</v>
      </c>
      <c r="B333" s="7">
        <v>0.56180555555555556</v>
      </c>
      <c r="C333" s="2" t="str">
        <f>"FES1162729999"</f>
        <v>FES1162729999</v>
      </c>
      <c r="D333" s="2" t="s">
        <v>19</v>
      </c>
      <c r="E333" s="2" t="s">
        <v>218</v>
      </c>
      <c r="F333" s="2" t="str">
        <f>"2170721607 "</f>
        <v xml:space="preserve">2170721607 </v>
      </c>
      <c r="G333" s="2" t="str">
        <f t="shared" si="10"/>
        <v>ON1</v>
      </c>
      <c r="H333" s="2" t="s">
        <v>21</v>
      </c>
      <c r="I333" s="2" t="s">
        <v>49</v>
      </c>
      <c r="J333" s="2" t="str">
        <f>""</f>
        <v/>
      </c>
      <c r="K333" s="2" t="str">
        <f>"PFES1162729999_0001"</f>
        <v>PFES1162729999_0001</v>
      </c>
      <c r="L333" s="2">
        <v>1</v>
      </c>
      <c r="M333" s="2">
        <v>1</v>
      </c>
    </row>
    <row r="334" spans="1:13">
      <c r="A334" s="6">
        <v>43837</v>
      </c>
      <c r="B334" s="7">
        <v>0.56111111111111112</v>
      </c>
      <c r="C334" s="2" t="str">
        <f>"FES1162729990"</f>
        <v>FES1162729990</v>
      </c>
      <c r="D334" s="2" t="s">
        <v>19</v>
      </c>
      <c r="E334" s="2" t="s">
        <v>68</v>
      </c>
      <c r="F334" s="2" t="str">
        <f>"2170721549 "</f>
        <v xml:space="preserve">2170721549 </v>
      </c>
      <c r="G334" s="2" t="str">
        <f t="shared" si="10"/>
        <v>ON1</v>
      </c>
      <c r="H334" s="2" t="s">
        <v>21</v>
      </c>
      <c r="I334" s="2" t="s">
        <v>69</v>
      </c>
      <c r="J334" s="2" t="str">
        <f>""</f>
        <v/>
      </c>
      <c r="K334" s="2" t="str">
        <f>"PFES1162729990_0001"</f>
        <v>PFES1162729990_0001</v>
      </c>
      <c r="L334" s="2">
        <v>1</v>
      </c>
      <c r="M334" s="2">
        <v>1</v>
      </c>
    </row>
    <row r="335" spans="1:13">
      <c r="A335" s="6">
        <v>43837</v>
      </c>
      <c r="B335" s="7">
        <v>0.56041666666666667</v>
      </c>
      <c r="C335" s="2" t="str">
        <f>"FES1162730007"</f>
        <v>FES1162730007</v>
      </c>
      <c r="D335" s="2" t="s">
        <v>19</v>
      </c>
      <c r="E335" s="2" t="s">
        <v>67</v>
      </c>
      <c r="F335" s="2" t="str">
        <f>"2170721786 "</f>
        <v xml:space="preserve">2170721786 </v>
      </c>
      <c r="G335" s="2" t="str">
        <f t="shared" si="10"/>
        <v>ON1</v>
      </c>
      <c r="H335" s="2" t="s">
        <v>21</v>
      </c>
      <c r="I335" s="2" t="s">
        <v>38</v>
      </c>
      <c r="J335" s="2" t="str">
        <f>""</f>
        <v/>
      </c>
      <c r="K335" s="2" t="str">
        <f>"PFES1162730007_0001"</f>
        <v>PFES1162730007_0001</v>
      </c>
      <c r="L335" s="2">
        <v>1</v>
      </c>
      <c r="M335" s="2">
        <v>1</v>
      </c>
    </row>
    <row r="336" spans="1:13">
      <c r="A336" s="6">
        <v>43837</v>
      </c>
      <c r="B336" s="7">
        <v>0.55902777777777779</v>
      </c>
      <c r="C336" s="2" t="str">
        <f>"FES1162729995"</f>
        <v>FES1162729995</v>
      </c>
      <c r="D336" s="2" t="s">
        <v>19</v>
      </c>
      <c r="E336" s="2" t="s">
        <v>218</v>
      </c>
      <c r="F336" s="2" t="str">
        <f>"2170721598 "</f>
        <v xml:space="preserve">2170721598 </v>
      </c>
      <c r="G336" s="2" t="str">
        <f t="shared" si="10"/>
        <v>ON1</v>
      </c>
      <c r="H336" s="2" t="s">
        <v>21</v>
      </c>
      <c r="I336" s="2" t="s">
        <v>49</v>
      </c>
      <c r="J336" s="2" t="str">
        <f>""</f>
        <v/>
      </c>
      <c r="K336" s="2" t="str">
        <f>"PFES1162729995_0001"</f>
        <v>PFES1162729995_0001</v>
      </c>
      <c r="L336" s="2">
        <v>1</v>
      </c>
      <c r="M336" s="2">
        <v>1</v>
      </c>
    </row>
    <row r="337" spans="1:13">
      <c r="A337" s="6">
        <v>43837</v>
      </c>
      <c r="B337" s="7">
        <v>0.55833333333333335</v>
      </c>
      <c r="C337" s="2" t="str">
        <f>"FES1162729943"</f>
        <v>FES1162729943</v>
      </c>
      <c r="D337" s="2" t="s">
        <v>19</v>
      </c>
      <c r="E337" s="2" t="s">
        <v>279</v>
      </c>
      <c r="F337" s="2" t="str">
        <f>"2170722781 "</f>
        <v xml:space="preserve">2170722781 </v>
      </c>
      <c r="G337" s="2" t="str">
        <f t="shared" si="10"/>
        <v>ON1</v>
      </c>
      <c r="H337" s="2" t="s">
        <v>21</v>
      </c>
      <c r="I337" s="2" t="s">
        <v>69</v>
      </c>
      <c r="J337" s="2" t="str">
        <f>""</f>
        <v/>
      </c>
      <c r="K337" s="2" t="str">
        <f>"PFES1162729943_0001"</f>
        <v>PFES1162729943_0001</v>
      </c>
      <c r="L337" s="2">
        <v>1</v>
      </c>
      <c r="M337" s="2">
        <v>1</v>
      </c>
    </row>
    <row r="338" spans="1:13">
      <c r="A338" s="6">
        <v>43837</v>
      </c>
      <c r="B338" s="7">
        <v>0.55833333333333335</v>
      </c>
      <c r="C338" s="2" t="str">
        <f>"FES1162729940"</f>
        <v>FES1162729940</v>
      </c>
      <c r="D338" s="2" t="s">
        <v>19</v>
      </c>
      <c r="E338" s="2" t="s">
        <v>279</v>
      </c>
      <c r="F338" s="2" t="str">
        <f>"2170722777 "</f>
        <v xml:space="preserve">2170722777 </v>
      </c>
      <c r="G338" s="2" t="str">
        <f t="shared" si="10"/>
        <v>ON1</v>
      </c>
      <c r="H338" s="2" t="s">
        <v>21</v>
      </c>
      <c r="I338" s="2" t="s">
        <v>69</v>
      </c>
      <c r="J338" s="2" t="str">
        <f>""</f>
        <v/>
      </c>
      <c r="K338" s="2" t="str">
        <f>"PFES1162729940_0001"</f>
        <v>PFES1162729940_0001</v>
      </c>
      <c r="L338" s="2">
        <v>1</v>
      </c>
      <c r="M338" s="2">
        <v>1</v>
      </c>
    </row>
    <row r="339" spans="1:13">
      <c r="A339" s="6">
        <v>43837</v>
      </c>
      <c r="B339" s="7">
        <v>0.55763888888888891</v>
      </c>
      <c r="C339" s="2" t="str">
        <f>"FES1162730070"</f>
        <v>FES1162730070</v>
      </c>
      <c r="D339" s="2" t="s">
        <v>19</v>
      </c>
      <c r="E339" s="2" t="s">
        <v>46</v>
      </c>
      <c r="F339" s="2" t="str">
        <f>"2170722833 "</f>
        <v xml:space="preserve">2170722833 </v>
      </c>
      <c r="G339" s="2" t="str">
        <f t="shared" si="10"/>
        <v>ON1</v>
      </c>
      <c r="H339" s="2" t="s">
        <v>21</v>
      </c>
      <c r="I339" s="2" t="s">
        <v>47</v>
      </c>
      <c r="J339" s="2" t="str">
        <f>""</f>
        <v/>
      </c>
      <c r="K339" s="2" t="str">
        <f>"PFES1162730070_0001"</f>
        <v>PFES1162730070_0001</v>
      </c>
      <c r="L339" s="2">
        <v>1</v>
      </c>
      <c r="M339" s="2">
        <v>1</v>
      </c>
    </row>
    <row r="340" spans="1:13">
      <c r="A340" s="6">
        <v>43837</v>
      </c>
      <c r="B340" s="7">
        <v>0.55694444444444446</v>
      </c>
      <c r="C340" s="2" t="str">
        <f>"FES1162730010"</f>
        <v>FES1162730010</v>
      </c>
      <c r="D340" s="2" t="s">
        <v>19</v>
      </c>
      <c r="E340" s="2" t="s">
        <v>170</v>
      </c>
      <c r="F340" s="2" t="str">
        <f>"2170721861 "</f>
        <v xml:space="preserve">2170721861 </v>
      </c>
      <c r="G340" s="2" t="str">
        <f t="shared" si="10"/>
        <v>ON1</v>
      </c>
      <c r="H340" s="2" t="s">
        <v>21</v>
      </c>
      <c r="I340" s="2" t="s">
        <v>63</v>
      </c>
      <c r="J340" s="2" t="str">
        <f>""</f>
        <v/>
      </c>
      <c r="K340" s="2" t="str">
        <f>"PFES1162730010_0001"</f>
        <v>PFES1162730010_0001</v>
      </c>
      <c r="L340" s="2">
        <v>1</v>
      </c>
      <c r="M340" s="2">
        <v>1</v>
      </c>
    </row>
    <row r="341" spans="1:13">
      <c r="A341" s="6">
        <v>43837</v>
      </c>
      <c r="B341" s="7">
        <v>0.55555555555555558</v>
      </c>
      <c r="C341" s="2" t="str">
        <f>"FES1162730014"</f>
        <v>FES1162730014</v>
      </c>
      <c r="D341" s="2" t="s">
        <v>19</v>
      </c>
      <c r="E341" s="2" t="s">
        <v>306</v>
      </c>
      <c r="F341" s="2" t="str">
        <f>"2170721889 "</f>
        <v xml:space="preserve">2170721889 </v>
      </c>
      <c r="G341" s="2" t="str">
        <f t="shared" si="10"/>
        <v>ON1</v>
      </c>
      <c r="H341" s="2" t="s">
        <v>21</v>
      </c>
      <c r="I341" s="2" t="s">
        <v>307</v>
      </c>
      <c r="J341" s="2" t="str">
        <f>"Att: Keenan Coverly"</f>
        <v>Att: Keenan Coverly</v>
      </c>
      <c r="K341" s="2" t="str">
        <f>"PFES1162730014_0001"</f>
        <v>PFES1162730014_0001</v>
      </c>
      <c r="L341" s="2">
        <v>1</v>
      </c>
      <c r="M341" s="2">
        <v>1</v>
      </c>
    </row>
    <row r="342" spans="1:13">
      <c r="A342" s="6">
        <v>43837</v>
      </c>
      <c r="B342" s="7">
        <v>0.5541666666666667</v>
      </c>
      <c r="C342" s="2" t="str">
        <f>"FES1162730017"</f>
        <v>FES1162730017</v>
      </c>
      <c r="D342" s="2" t="s">
        <v>19</v>
      </c>
      <c r="E342" s="2" t="s">
        <v>308</v>
      </c>
      <c r="F342" s="2" t="str">
        <f>"2170721938 "</f>
        <v xml:space="preserve">2170721938 </v>
      </c>
      <c r="G342" s="2" t="str">
        <f t="shared" si="10"/>
        <v>ON1</v>
      </c>
      <c r="H342" s="2" t="s">
        <v>21</v>
      </c>
      <c r="I342" s="2" t="s">
        <v>309</v>
      </c>
      <c r="J342" s="2" t="str">
        <f>""</f>
        <v/>
      </c>
      <c r="K342" s="2" t="str">
        <f>"PFES1162730017_0001"</f>
        <v>PFES1162730017_0001</v>
      </c>
      <c r="L342" s="2">
        <v>1</v>
      </c>
      <c r="M342" s="2">
        <v>1</v>
      </c>
    </row>
    <row r="343" spans="1:13">
      <c r="A343" s="6">
        <v>43837</v>
      </c>
      <c r="B343" s="7">
        <v>0.55277777777777781</v>
      </c>
      <c r="C343" s="2" t="str">
        <f>"FES1162730046"</f>
        <v>FES1162730046</v>
      </c>
      <c r="D343" s="2" t="s">
        <v>19</v>
      </c>
      <c r="E343" s="2" t="s">
        <v>132</v>
      </c>
      <c r="F343" s="2" t="str">
        <f>"2170722152 "</f>
        <v xml:space="preserve">2170722152 </v>
      </c>
      <c r="G343" s="2" t="str">
        <f t="shared" si="10"/>
        <v>ON1</v>
      </c>
      <c r="H343" s="2" t="s">
        <v>21</v>
      </c>
      <c r="I343" s="2" t="s">
        <v>133</v>
      </c>
      <c r="J343" s="2" t="str">
        <f>""</f>
        <v/>
      </c>
      <c r="K343" s="2" t="str">
        <f>"PFES1162730046_0001"</f>
        <v>PFES1162730046_0001</v>
      </c>
      <c r="L343" s="2">
        <v>1</v>
      </c>
      <c r="M343" s="2">
        <v>1</v>
      </c>
    </row>
    <row r="344" spans="1:13">
      <c r="A344" s="6">
        <v>43837</v>
      </c>
      <c r="B344" s="7">
        <v>0.55277777777777781</v>
      </c>
      <c r="C344" s="2" t="str">
        <f>"FES1162730042"</f>
        <v>FES1162730042</v>
      </c>
      <c r="D344" s="2" t="s">
        <v>19</v>
      </c>
      <c r="E344" s="2" t="s">
        <v>46</v>
      </c>
      <c r="F344" s="2" t="str">
        <f>"2170722098 "</f>
        <v xml:space="preserve">2170722098 </v>
      </c>
      <c r="G344" s="2" t="str">
        <f t="shared" si="10"/>
        <v>ON1</v>
      </c>
      <c r="H344" s="2" t="s">
        <v>21</v>
      </c>
      <c r="I344" s="2" t="s">
        <v>47</v>
      </c>
      <c r="J344" s="2" t="str">
        <f>""</f>
        <v/>
      </c>
      <c r="K344" s="2" t="str">
        <f>"PFES1162730042_0001"</f>
        <v>PFES1162730042_0001</v>
      </c>
      <c r="L344" s="2">
        <v>1</v>
      </c>
      <c r="M344" s="2">
        <v>4</v>
      </c>
    </row>
    <row r="345" spans="1:13">
      <c r="A345" s="6">
        <v>43837</v>
      </c>
      <c r="B345" s="7">
        <v>0.55277777777777781</v>
      </c>
      <c r="C345" s="2" t="str">
        <f>"FES1162730012"</f>
        <v>FES1162730012</v>
      </c>
      <c r="D345" s="2" t="s">
        <v>19</v>
      </c>
      <c r="E345" s="2" t="s">
        <v>185</v>
      </c>
      <c r="F345" s="2" t="str">
        <f>"2170721871 "</f>
        <v xml:space="preserve">2170721871 </v>
      </c>
      <c r="G345" s="2" t="str">
        <f t="shared" si="10"/>
        <v>ON1</v>
      </c>
      <c r="H345" s="2" t="s">
        <v>21</v>
      </c>
      <c r="I345" s="2" t="s">
        <v>47</v>
      </c>
      <c r="J345" s="2" t="str">
        <f>""</f>
        <v/>
      </c>
      <c r="K345" s="2" t="str">
        <f>"PFES1162730012_0001"</f>
        <v>PFES1162730012_0001</v>
      </c>
      <c r="L345" s="2">
        <v>1</v>
      </c>
      <c r="M345" s="2">
        <v>1</v>
      </c>
    </row>
    <row r="346" spans="1:13">
      <c r="A346" s="6">
        <v>43837</v>
      </c>
      <c r="B346" s="7">
        <v>0.55277777777777781</v>
      </c>
      <c r="C346" s="2" t="str">
        <f>"FES1162729996"</f>
        <v>FES1162729996</v>
      </c>
      <c r="D346" s="2" t="s">
        <v>19</v>
      </c>
      <c r="E346" s="2" t="s">
        <v>132</v>
      </c>
      <c r="F346" s="2" t="str">
        <f>"2170721602 "</f>
        <v xml:space="preserve">2170721602 </v>
      </c>
      <c r="G346" s="2" t="str">
        <f t="shared" si="10"/>
        <v>ON1</v>
      </c>
      <c r="H346" s="2" t="s">
        <v>21</v>
      </c>
      <c r="I346" s="2" t="s">
        <v>133</v>
      </c>
      <c r="J346" s="2" t="str">
        <f>""</f>
        <v/>
      </c>
      <c r="K346" s="2" t="str">
        <f>"PFES1162729996_0001"</f>
        <v>PFES1162729996_0001</v>
      </c>
      <c r="L346" s="2">
        <v>1</v>
      </c>
      <c r="M346" s="2">
        <v>5</v>
      </c>
    </row>
    <row r="347" spans="1:13">
      <c r="A347" s="6">
        <v>43837</v>
      </c>
      <c r="B347" s="7">
        <v>0.55208333333333337</v>
      </c>
      <c r="C347" s="2" t="str">
        <f>"FES1162730013"</f>
        <v>FES1162730013</v>
      </c>
      <c r="D347" s="2" t="s">
        <v>19</v>
      </c>
      <c r="E347" s="2" t="s">
        <v>46</v>
      </c>
      <c r="F347" s="2" t="str">
        <f>"2170721881 "</f>
        <v xml:space="preserve">2170721881 </v>
      </c>
      <c r="G347" s="2" t="str">
        <f t="shared" si="10"/>
        <v>ON1</v>
      </c>
      <c r="H347" s="2" t="s">
        <v>21</v>
      </c>
      <c r="I347" s="2" t="s">
        <v>47</v>
      </c>
      <c r="J347" s="2" t="str">
        <f>""</f>
        <v/>
      </c>
      <c r="K347" s="2" t="str">
        <f>"PFES1162730013_0001"</f>
        <v>PFES1162730013_0001</v>
      </c>
      <c r="L347" s="2">
        <v>1</v>
      </c>
      <c r="M347" s="2">
        <v>2</v>
      </c>
    </row>
    <row r="348" spans="1:13">
      <c r="A348" s="6">
        <v>43837</v>
      </c>
      <c r="B348" s="7">
        <v>0.55208333333333337</v>
      </c>
      <c r="C348" s="2" t="str">
        <f>"FES1162729998"</f>
        <v>FES1162729998</v>
      </c>
      <c r="D348" s="2" t="s">
        <v>19</v>
      </c>
      <c r="E348" s="2" t="s">
        <v>218</v>
      </c>
      <c r="F348" s="2" t="str">
        <f>"2170721604 "</f>
        <v xml:space="preserve">2170721604 </v>
      </c>
      <c r="G348" s="2" t="str">
        <f t="shared" si="10"/>
        <v>ON1</v>
      </c>
      <c r="H348" s="2" t="s">
        <v>21</v>
      </c>
      <c r="I348" s="2" t="s">
        <v>49</v>
      </c>
      <c r="J348" s="2" t="str">
        <f>""</f>
        <v/>
      </c>
      <c r="K348" s="2" t="str">
        <f>"PFES1162729998_0001"</f>
        <v>PFES1162729998_0001</v>
      </c>
      <c r="L348" s="2">
        <v>1</v>
      </c>
      <c r="M348" s="2">
        <v>1</v>
      </c>
    </row>
    <row r="349" spans="1:13">
      <c r="A349" s="6">
        <v>43837</v>
      </c>
      <c r="B349" s="7">
        <v>0.55208333333333337</v>
      </c>
      <c r="C349" s="2" t="str">
        <f>"FES1162729579"</f>
        <v>FES1162729579</v>
      </c>
      <c r="D349" s="2" t="s">
        <v>19</v>
      </c>
      <c r="E349" s="2" t="s">
        <v>64</v>
      </c>
      <c r="F349" s="2" t="str">
        <f>"21707175511 "</f>
        <v xml:space="preserve">21707175511 </v>
      </c>
      <c r="G349" s="2" t="str">
        <f t="shared" si="10"/>
        <v>ON1</v>
      </c>
      <c r="H349" s="2" t="s">
        <v>21</v>
      </c>
      <c r="I349" s="2" t="s">
        <v>60</v>
      </c>
      <c r="J349" s="2" t="str">
        <f>""</f>
        <v/>
      </c>
      <c r="K349" s="2" t="str">
        <f>"PFES1162729579_0001"</f>
        <v>PFES1162729579_0001</v>
      </c>
      <c r="L349" s="2">
        <v>1</v>
      </c>
      <c r="M349" s="2">
        <v>3</v>
      </c>
    </row>
    <row r="350" spans="1:13">
      <c r="A350" s="6">
        <v>43837</v>
      </c>
      <c r="B350" s="7">
        <v>0.5493055555555556</v>
      </c>
      <c r="C350" s="2" t="str">
        <f>"FES1162730036"</f>
        <v>FES1162730036</v>
      </c>
      <c r="D350" s="2" t="s">
        <v>19</v>
      </c>
      <c r="E350" s="2" t="s">
        <v>278</v>
      </c>
      <c r="F350" s="2" t="str">
        <f>"2170722039 "</f>
        <v xml:space="preserve">2170722039 </v>
      </c>
      <c r="G350" s="2" t="str">
        <f t="shared" si="10"/>
        <v>ON1</v>
      </c>
      <c r="H350" s="2" t="s">
        <v>21</v>
      </c>
      <c r="I350" s="2" t="s">
        <v>38</v>
      </c>
      <c r="J350" s="2" t="str">
        <f>""</f>
        <v/>
      </c>
      <c r="K350" s="2" t="str">
        <f>"PFES1162730036_0001"</f>
        <v>PFES1162730036_0001</v>
      </c>
      <c r="L350" s="2">
        <v>1</v>
      </c>
      <c r="M350" s="2">
        <v>1</v>
      </c>
    </row>
    <row r="351" spans="1:13">
      <c r="A351" s="6">
        <v>43837</v>
      </c>
      <c r="B351" s="7">
        <v>0.52708333333333335</v>
      </c>
      <c r="C351" s="2" t="str">
        <f>"FES1162729898"</f>
        <v>FES1162729898</v>
      </c>
      <c r="D351" s="2" t="s">
        <v>19</v>
      </c>
      <c r="E351" s="2" t="s">
        <v>164</v>
      </c>
      <c r="F351" s="2" t="str">
        <f>"2170720227 "</f>
        <v xml:space="preserve">2170720227 </v>
      </c>
      <c r="G351" s="2" t="str">
        <f t="shared" si="10"/>
        <v>ON1</v>
      </c>
      <c r="H351" s="2" t="s">
        <v>21</v>
      </c>
      <c r="I351" s="2" t="s">
        <v>165</v>
      </c>
      <c r="J351" s="2" t="str">
        <f>""</f>
        <v/>
      </c>
      <c r="K351" s="2" t="str">
        <f>"PFES1162729898_0001"</f>
        <v>PFES1162729898_0001</v>
      </c>
      <c r="L351" s="2">
        <v>1</v>
      </c>
      <c r="M351" s="2">
        <v>1</v>
      </c>
    </row>
    <row r="352" spans="1:13">
      <c r="A352" s="6">
        <v>43837</v>
      </c>
      <c r="B352" s="7">
        <v>0.52638888888888891</v>
      </c>
      <c r="C352" s="2" t="str">
        <f>"FES1162729939"</f>
        <v>FES1162729939</v>
      </c>
      <c r="D352" s="2" t="s">
        <v>19</v>
      </c>
      <c r="E352" s="2" t="s">
        <v>128</v>
      </c>
      <c r="F352" s="2" t="str">
        <f>"2170722776 "</f>
        <v xml:space="preserve">2170722776 </v>
      </c>
      <c r="G352" s="2" t="str">
        <f t="shared" si="10"/>
        <v>ON1</v>
      </c>
      <c r="H352" s="2" t="s">
        <v>21</v>
      </c>
      <c r="I352" s="2" t="s">
        <v>129</v>
      </c>
      <c r="J352" s="2" t="str">
        <f>""</f>
        <v/>
      </c>
      <c r="K352" s="2" t="str">
        <f>"PFES1162729939_0001"</f>
        <v>PFES1162729939_0001</v>
      </c>
      <c r="L352" s="2">
        <v>1</v>
      </c>
      <c r="M352" s="2">
        <v>1</v>
      </c>
    </row>
    <row r="353" spans="1:13">
      <c r="A353" s="6">
        <v>43837</v>
      </c>
      <c r="B353" s="7">
        <v>0.52500000000000002</v>
      </c>
      <c r="C353" s="2" t="str">
        <f>"FES1162729876"</f>
        <v>FES1162729876</v>
      </c>
      <c r="D353" s="2" t="s">
        <v>19</v>
      </c>
      <c r="E353" s="2" t="s">
        <v>46</v>
      </c>
      <c r="F353" s="2" t="str">
        <f>"2170722714 "</f>
        <v xml:space="preserve">2170722714 </v>
      </c>
      <c r="G353" s="2" t="str">
        <f t="shared" si="10"/>
        <v>ON1</v>
      </c>
      <c r="H353" s="2" t="s">
        <v>21</v>
      </c>
      <c r="I353" s="2" t="s">
        <v>47</v>
      </c>
      <c r="J353" s="2" t="str">
        <f>""</f>
        <v/>
      </c>
      <c r="K353" s="2" t="str">
        <f>"PFES1162729876_0001"</f>
        <v>PFES1162729876_0001</v>
      </c>
      <c r="L353" s="2">
        <v>1</v>
      </c>
      <c r="M353" s="2">
        <v>13</v>
      </c>
    </row>
    <row r="354" spans="1:13">
      <c r="A354" s="6">
        <v>43837</v>
      </c>
      <c r="B354" s="7">
        <v>0.52500000000000002</v>
      </c>
      <c r="C354" s="2" t="str">
        <f>"FES1162729941"</f>
        <v>FES1162729941</v>
      </c>
      <c r="D354" s="2" t="s">
        <v>19</v>
      </c>
      <c r="E354" s="2" t="s">
        <v>310</v>
      </c>
      <c r="F354" s="2" t="str">
        <f>"2170722778 "</f>
        <v xml:space="preserve">2170722778 </v>
      </c>
      <c r="G354" s="2" t="str">
        <f t="shared" si="10"/>
        <v>ON1</v>
      </c>
      <c r="H354" s="2" t="s">
        <v>21</v>
      </c>
      <c r="I354" s="2" t="s">
        <v>311</v>
      </c>
      <c r="J354" s="2" t="str">
        <f>""</f>
        <v/>
      </c>
      <c r="K354" s="2" t="str">
        <f>"PFES1162729941_0001"</f>
        <v>PFES1162729941_0001</v>
      </c>
      <c r="L354" s="2">
        <v>1</v>
      </c>
      <c r="M354" s="2">
        <v>1</v>
      </c>
    </row>
    <row r="355" spans="1:13">
      <c r="A355" s="6">
        <v>43837</v>
      </c>
      <c r="B355" s="7">
        <v>0.52500000000000002</v>
      </c>
      <c r="C355" s="2" t="str">
        <f>"FES1162729966"</f>
        <v>FES1162729966</v>
      </c>
      <c r="D355" s="2" t="s">
        <v>19</v>
      </c>
      <c r="E355" s="2" t="s">
        <v>259</v>
      </c>
      <c r="F355" s="2" t="str">
        <f>"2170720828 "</f>
        <v xml:space="preserve">2170720828 </v>
      </c>
      <c r="G355" s="2" t="str">
        <f t="shared" si="10"/>
        <v>ON1</v>
      </c>
      <c r="H355" s="2" t="s">
        <v>21</v>
      </c>
      <c r="I355" s="2" t="s">
        <v>260</v>
      </c>
      <c r="J355" s="2" t="str">
        <f>""</f>
        <v/>
      </c>
      <c r="K355" s="2" t="str">
        <f>"PFES1162729966_0001"</f>
        <v>PFES1162729966_0001</v>
      </c>
      <c r="L355" s="2">
        <v>1</v>
      </c>
      <c r="M355" s="2">
        <v>6</v>
      </c>
    </row>
    <row r="356" spans="1:13">
      <c r="A356" s="6">
        <v>43837</v>
      </c>
      <c r="B356" s="7">
        <v>0.68680555555555556</v>
      </c>
      <c r="C356" s="2" t="str">
        <f>"FES11627360122"</f>
        <v>FES11627360122</v>
      </c>
      <c r="D356" s="2" t="s">
        <v>19</v>
      </c>
      <c r="E356" s="2" t="s">
        <v>312</v>
      </c>
      <c r="F356" s="2" t="str">
        <f>"2170722895 "</f>
        <v xml:space="preserve">2170722895 </v>
      </c>
      <c r="G356" s="2" t="str">
        <f t="shared" si="10"/>
        <v>ON1</v>
      </c>
      <c r="H356" s="2" t="s">
        <v>21</v>
      </c>
      <c r="I356" s="2" t="s">
        <v>313</v>
      </c>
      <c r="J356" s="2" t="str">
        <f>""</f>
        <v/>
      </c>
      <c r="K356" s="2" t="str">
        <f>"PFES11627360122_0001"</f>
        <v>PFES11627360122_0001</v>
      </c>
      <c r="L356" s="2">
        <v>1</v>
      </c>
      <c r="M356" s="2">
        <v>1</v>
      </c>
    </row>
    <row r="357" spans="1:13">
      <c r="A357" s="6">
        <v>43837</v>
      </c>
      <c r="B357" s="7">
        <v>0.68680555555555556</v>
      </c>
      <c r="C357" s="2" t="str">
        <f>"FES1162730126"</f>
        <v>FES1162730126</v>
      </c>
      <c r="D357" s="2" t="s">
        <v>19</v>
      </c>
      <c r="E357" s="2" t="s">
        <v>314</v>
      </c>
      <c r="F357" s="2" t="str">
        <f>"2170722887 "</f>
        <v xml:space="preserve">2170722887 </v>
      </c>
      <c r="G357" s="2" t="str">
        <f t="shared" ref="G357:G378" si="11">"ON1"</f>
        <v>ON1</v>
      </c>
      <c r="H357" s="2" t="s">
        <v>21</v>
      </c>
      <c r="I357" s="2" t="s">
        <v>315</v>
      </c>
      <c r="J357" s="2" t="str">
        <f>""</f>
        <v/>
      </c>
      <c r="K357" s="2" t="str">
        <f>"PFES1162730126_0001"</f>
        <v>PFES1162730126_0001</v>
      </c>
      <c r="L357" s="2">
        <v>1</v>
      </c>
      <c r="M357" s="2">
        <v>1</v>
      </c>
    </row>
    <row r="358" spans="1:13">
      <c r="A358" s="6">
        <v>43837</v>
      </c>
      <c r="B358" s="7">
        <v>0.68611111111111101</v>
      </c>
      <c r="C358" s="2" t="str">
        <f>"FES1162730115"</f>
        <v>FES1162730115</v>
      </c>
      <c r="D358" s="2" t="s">
        <v>19</v>
      </c>
      <c r="E358" s="2" t="s">
        <v>314</v>
      </c>
      <c r="F358" s="2" t="str">
        <f>"2170722887 "</f>
        <v xml:space="preserve">2170722887 </v>
      </c>
      <c r="G358" s="2" t="str">
        <f t="shared" si="11"/>
        <v>ON1</v>
      </c>
      <c r="H358" s="2" t="s">
        <v>21</v>
      </c>
      <c r="I358" s="2" t="s">
        <v>315</v>
      </c>
      <c r="J358" s="2" t="str">
        <f>""</f>
        <v/>
      </c>
      <c r="K358" s="2" t="str">
        <f>"PFES1162730115_0001"</f>
        <v>PFES1162730115_0001</v>
      </c>
      <c r="L358" s="2">
        <v>1</v>
      </c>
      <c r="M358" s="2">
        <v>1</v>
      </c>
    </row>
    <row r="359" spans="1:13">
      <c r="A359" s="6">
        <v>43837</v>
      </c>
      <c r="B359" s="7">
        <v>0.68541666666666667</v>
      </c>
      <c r="C359" s="2" t="str">
        <f>"FES1162730112"</f>
        <v>FES1162730112</v>
      </c>
      <c r="D359" s="2" t="s">
        <v>19</v>
      </c>
      <c r="E359" s="2" t="s">
        <v>54</v>
      </c>
      <c r="F359" s="2" t="str">
        <f>"2170722882 "</f>
        <v xml:space="preserve">2170722882 </v>
      </c>
      <c r="G359" s="2" t="str">
        <f t="shared" si="11"/>
        <v>ON1</v>
      </c>
      <c r="H359" s="2" t="s">
        <v>21</v>
      </c>
      <c r="I359" s="2" t="s">
        <v>31</v>
      </c>
      <c r="J359" s="2" t="str">
        <f>""</f>
        <v/>
      </c>
      <c r="K359" s="2" t="str">
        <f>"PFES1162730112_0001"</f>
        <v>PFES1162730112_0001</v>
      </c>
      <c r="L359" s="2">
        <v>1</v>
      </c>
      <c r="M359" s="2">
        <v>5</v>
      </c>
    </row>
    <row r="360" spans="1:13">
      <c r="A360" s="6">
        <v>43837</v>
      </c>
      <c r="B360" s="7">
        <v>0.68541666666666667</v>
      </c>
      <c r="C360" s="2" t="str">
        <f>"FES1162730110"</f>
        <v>FES1162730110</v>
      </c>
      <c r="D360" s="2" t="s">
        <v>19</v>
      </c>
      <c r="E360" s="2" t="s">
        <v>316</v>
      </c>
      <c r="F360" s="2" t="str">
        <f>"2170722880 "</f>
        <v xml:space="preserve">2170722880 </v>
      </c>
      <c r="G360" s="2" t="str">
        <f t="shared" si="11"/>
        <v>ON1</v>
      </c>
      <c r="H360" s="2" t="s">
        <v>21</v>
      </c>
      <c r="I360" s="2" t="s">
        <v>119</v>
      </c>
      <c r="J360" s="2" t="str">
        <f>""</f>
        <v/>
      </c>
      <c r="K360" s="2" t="str">
        <f>"PFES1162730110_0001"</f>
        <v>PFES1162730110_0001</v>
      </c>
      <c r="L360" s="2">
        <v>1</v>
      </c>
      <c r="M360" s="2">
        <v>2</v>
      </c>
    </row>
    <row r="361" spans="1:13">
      <c r="A361" s="6">
        <v>43837</v>
      </c>
      <c r="B361" s="7">
        <v>0.68472222222222223</v>
      </c>
      <c r="C361" s="2" t="str">
        <f>"009935712069"</f>
        <v>009935712069</v>
      </c>
      <c r="D361" s="2" t="s">
        <v>19</v>
      </c>
      <c r="E361" s="2" t="s">
        <v>317</v>
      </c>
      <c r="F361" s="2" t="str">
        <f>"1162728714 "</f>
        <v xml:space="preserve">1162728714 </v>
      </c>
      <c r="G361" s="2" t="str">
        <f t="shared" si="11"/>
        <v>ON1</v>
      </c>
      <c r="H361" s="2" t="s">
        <v>21</v>
      </c>
      <c r="I361" s="2" t="s">
        <v>318</v>
      </c>
      <c r="J361" s="2" t="str">
        <f>"RESEND"</f>
        <v>RESEND</v>
      </c>
      <c r="K361" s="2" t="str">
        <f>"P009935712069_0001"</f>
        <v>P009935712069_0001</v>
      </c>
      <c r="L361" s="2">
        <v>1</v>
      </c>
      <c r="M361" s="2">
        <v>1</v>
      </c>
    </row>
    <row r="362" spans="1:13">
      <c r="A362" s="6">
        <v>43837</v>
      </c>
      <c r="B362" s="7">
        <v>0.68402777777777779</v>
      </c>
      <c r="C362" s="2" t="str">
        <f>"009935712068"</f>
        <v>009935712068</v>
      </c>
      <c r="D362" s="2" t="s">
        <v>19</v>
      </c>
      <c r="E362" s="2" t="s">
        <v>319</v>
      </c>
      <c r="F362" s="2" t="str">
        <f>"1162728768 "</f>
        <v xml:space="preserve">1162728768 </v>
      </c>
      <c r="G362" s="2" t="str">
        <f t="shared" si="11"/>
        <v>ON1</v>
      </c>
      <c r="H362" s="2" t="s">
        <v>21</v>
      </c>
      <c r="I362" s="2" t="s">
        <v>320</v>
      </c>
      <c r="J362" s="2" t="str">
        <f>"RESEND"</f>
        <v>RESEND</v>
      </c>
      <c r="K362" s="2" t="str">
        <f>"P009935712068_0001"</f>
        <v>P009935712068_0001</v>
      </c>
      <c r="L362" s="2">
        <v>1</v>
      </c>
      <c r="M362" s="2">
        <v>2</v>
      </c>
    </row>
    <row r="363" spans="1:13">
      <c r="A363" s="6">
        <v>43837</v>
      </c>
      <c r="B363" s="7">
        <v>0.68263888888888891</v>
      </c>
      <c r="C363" s="2" t="str">
        <f>"009935712067"</f>
        <v>009935712067</v>
      </c>
      <c r="D363" s="2" t="s">
        <v>19</v>
      </c>
      <c r="E363" s="2" t="s">
        <v>321</v>
      </c>
      <c r="F363" s="2" t="str">
        <f>"1162719200 "</f>
        <v xml:space="preserve">1162719200 </v>
      </c>
      <c r="G363" s="2" t="str">
        <f t="shared" si="11"/>
        <v>ON1</v>
      </c>
      <c r="H363" s="2" t="s">
        <v>21</v>
      </c>
      <c r="I363" s="2" t="s">
        <v>127</v>
      </c>
      <c r="J363" s="2" t="str">
        <f>"RESEND"</f>
        <v>RESEND</v>
      </c>
      <c r="K363" s="2" t="str">
        <f>"P009935712067_0001"</f>
        <v>P009935712067_0001</v>
      </c>
      <c r="L363" s="2">
        <v>1</v>
      </c>
      <c r="M363" s="2">
        <v>3</v>
      </c>
    </row>
    <row r="364" spans="1:13">
      <c r="A364" s="6">
        <v>43837</v>
      </c>
      <c r="B364" s="7">
        <v>0.68194444444444446</v>
      </c>
      <c r="C364" s="2" t="str">
        <f>"FES1162730124"</f>
        <v>FES1162730124</v>
      </c>
      <c r="D364" s="2" t="s">
        <v>19</v>
      </c>
      <c r="E364" s="2" t="s">
        <v>322</v>
      </c>
      <c r="F364" s="2" t="str">
        <f>"2170722897 "</f>
        <v xml:space="preserve">2170722897 </v>
      </c>
      <c r="G364" s="2" t="str">
        <f t="shared" si="11"/>
        <v>ON1</v>
      </c>
      <c r="H364" s="2" t="s">
        <v>21</v>
      </c>
      <c r="I364" s="2" t="s">
        <v>323</v>
      </c>
      <c r="J364" s="2" t="str">
        <f>""</f>
        <v/>
      </c>
      <c r="K364" s="2" t="str">
        <f>"PFES1162730124_0001"</f>
        <v>PFES1162730124_0001</v>
      </c>
      <c r="L364" s="2">
        <v>1</v>
      </c>
      <c r="M364" s="2">
        <v>1</v>
      </c>
    </row>
    <row r="365" spans="1:13">
      <c r="A365" s="6">
        <v>43837</v>
      </c>
      <c r="B365" s="7">
        <v>0.68194444444444446</v>
      </c>
      <c r="C365" s="2" t="str">
        <f>"FES1162729683"</f>
        <v>FES1162729683</v>
      </c>
      <c r="D365" s="2" t="s">
        <v>19</v>
      </c>
      <c r="E365" s="2" t="s">
        <v>86</v>
      </c>
      <c r="F365" s="2" t="str">
        <f>"2170721912 "</f>
        <v xml:space="preserve">2170721912 </v>
      </c>
      <c r="G365" s="2" t="str">
        <f t="shared" si="11"/>
        <v>ON1</v>
      </c>
      <c r="H365" s="2" t="s">
        <v>21</v>
      </c>
      <c r="I365" s="2" t="s">
        <v>63</v>
      </c>
      <c r="J365" s="2" t="str">
        <f>""</f>
        <v/>
      </c>
      <c r="K365" s="2" t="str">
        <f>"PFES1162729683_0001"</f>
        <v>PFES1162729683_0001</v>
      </c>
      <c r="L365" s="2">
        <v>1</v>
      </c>
      <c r="M365" s="2">
        <v>1</v>
      </c>
    </row>
    <row r="366" spans="1:13">
      <c r="A366" s="6">
        <v>43837</v>
      </c>
      <c r="B366" s="7">
        <v>0.68125000000000002</v>
      </c>
      <c r="C366" s="2" t="str">
        <f>"FES1162730098"</f>
        <v>FES1162730098</v>
      </c>
      <c r="D366" s="2" t="s">
        <v>19</v>
      </c>
      <c r="E366" s="2" t="s">
        <v>101</v>
      </c>
      <c r="F366" s="2" t="str">
        <f>"2170722860 "</f>
        <v xml:space="preserve">2170722860 </v>
      </c>
      <c r="G366" s="2" t="str">
        <f t="shared" si="11"/>
        <v>ON1</v>
      </c>
      <c r="H366" s="2" t="s">
        <v>21</v>
      </c>
      <c r="I366" s="2" t="s">
        <v>102</v>
      </c>
      <c r="J366" s="2" t="str">
        <f>""</f>
        <v/>
      </c>
      <c r="K366" s="2" t="str">
        <f>"PFES1162730098_0001"</f>
        <v>PFES1162730098_0001</v>
      </c>
      <c r="L366" s="2">
        <v>1</v>
      </c>
      <c r="M366" s="2">
        <v>1</v>
      </c>
    </row>
    <row r="367" spans="1:13">
      <c r="A367" s="6">
        <v>43837</v>
      </c>
      <c r="B367" s="7">
        <v>0.67986111111111114</v>
      </c>
      <c r="C367" s="2" t="str">
        <f>"FES1162730117"</f>
        <v>FES1162730117</v>
      </c>
      <c r="D367" s="2" t="s">
        <v>19</v>
      </c>
      <c r="E367" s="2" t="s">
        <v>293</v>
      </c>
      <c r="F367" s="2" t="str">
        <f>"2170716976 "</f>
        <v xml:space="preserve">2170716976 </v>
      </c>
      <c r="G367" s="2" t="str">
        <f t="shared" si="11"/>
        <v>ON1</v>
      </c>
      <c r="H367" s="2" t="s">
        <v>21</v>
      </c>
      <c r="I367" s="2" t="s">
        <v>294</v>
      </c>
      <c r="J367" s="2" t="str">
        <f>""</f>
        <v/>
      </c>
      <c r="K367" s="2" t="str">
        <f>"PFES1162730117_0001"</f>
        <v>PFES1162730117_0001</v>
      </c>
      <c r="L367" s="2">
        <v>1</v>
      </c>
      <c r="M367" s="2">
        <v>12</v>
      </c>
    </row>
    <row r="368" spans="1:13">
      <c r="A368" s="6">
        <v>43837</v>
      </c>
      <c r="B368" s="7">
        <v>0.67986111111111114</v>
      </c>
      <c r="C368" s="2" t="str">
        <f>"FES1162730121"</f>
        <v>FES1162730121</v>
      </c>
      <c r="D368" s="2" t="s">
        <v>19</v>
      </c>
      <c r="E368" s="2" t="s">
        <v>138</v>
      </c>
      <c r="F368" s="2" t="str">
        <f>"2170722893 "</f>
        <v xml:space="preserve">2170722893 </v>
      </c>
      <c r="G368" s="2" t="str">
        <f t="shared" si="11"/>
        <v>ON1</v>
      </c>
      <c r="H368" s="2" t="s">
        <v>21</v>
      </c>
      <c r="I368" s="2" t="s">
        <v>139</v>
      </c>
      <c r="J368" s="2" t="str">
        <f>""</f>
        <v/>
      </c>
      <c r="K368" s="2" t="str">
        <f>"PFES1162730121_0001"</f>
        <v>PFES1162730121_0001</v>
      </c>
      <c r="L368" s="2">
        <v>1</v>
      </c>
      <c r="M368" s="2">
        <v>3</v>
      </c>
    </row>
    <row r="369" spans="1:13">
      <c r="A369" s="6">
        <v>43837</v>
      </c>
      <c r="B369" s="7">
        <v>0.6791666666666667</v>
      </c>
      <c r="C369" s="2" t="str">
        <f>"FES1162730109"</f>
        <v>FES1162730109</v>
      </c>
      <c r="D369" s="2" t="s">
        <v>19</v>
      </c>
      <c r="E369" s="2" t="s">
        <v>259</v>
      </c>
      <c r="F369" s="2" t="str">
        <f>"2170722877 "</f>
        <v xml:space="preserve">2170722877 </v>
      </c>
      <c r="G369" s="2" t="str">
        <f t="shared" si="11"/>
        <v>ON1</v>
      </c>
      <c r="H369" s="2" t="s">
        <v>21</v>
      </c>
      <c r="I369" s="2" t="s">
        <v>260</v>
      </c>
      <c r="J369" s="2" t="str">
        <f>""</f>
        <v/>
      </c>
      <c r="K369" s="2" t="str">
        <f>"PFES1162730109_0001"</f>
        <v>PFES1162730109_0001</v>
      </c>
      <c r="L369" s="2">
        <v>1</v>
      </c>
      <c r="M369" s="2">
        <v>1</v>
      </c>
    </row>
    <row r="370" spans="1:13">
      <c r="A370" s="6">
        <v>43837</v>
      </c>
      <c r="B370" s="7">
        <v>0.6791666666666667</v>
      </c>
      <c r="C370" s="2" t="str">
        <f>"FES1162730116"</f>
        <v>FES1162730116</v>
      </c>
      <c r="D370" s="2" t="s">
        <v>19</v>
      </c>
      <c r="E370" s="2" t="s">
        <v>138</v>
      </c>
      <c r="F370" s="2" t="str">
        <f>"2170722889 "</f>
        <v xml:space="preserve">2170722889 </v>
      </c>
      <c r="G370" s="2" t="str">
        <f t="shared" si="11"/>
        <v>ON1</v>
      </c>
      <c r="H370" s="2" t="s">
        <v>21</v>
      </c>
      <c r="I370" s="2" t="s">
        <v>139</v>
      </c>
      <c r="J370" s="2" t="str">
        <f>""</f>
        <v/>
      </c>
      <c r="K370" s="2" t="str">
        <f>"PFES1162730116_0001"</f>
        <v>PFES1162730116_0001</v>
      </c>
      <c r="L370" s="2">
        <v>1</v>
      </c>
      <c r="M370" s="2">
        <v>1</v>
      </c>
    </row>
    <row r="371" spans="1:13">
      <c r="A371" s="6">
        <v>43837</v>
      </c>
      <c r="B371" s="7">
        <v>0.6791666666666667</v>
      </c>
      <c r="C371" s="2" t="str">
        <f>"FES1162730123"</f>
        <v>FES1162730123</v>
      </c>
      <c r="D371" s="2" t="s">
        <v>19</v>
      </c>
      <c r="E371" s="2" t="s">
        <v>324</v>
      </c>
      <c r="F371" s="2" t="str">
        <f>"2170722896 "</f>
        <v xml:space="preserve">2170722896 </v>
      </c>
      <c r="G371" s="2" t="str">
        <f t="shared" si="11"/>
        <v>ON1</v>
      </c>
      <c r="H371" s="2" t="s">
        <v>21</v>
      </c>
      <c r="I371" s="2" t="s">
        <v>325</v>
      </c>
      <c r="J371" s="2" t="str">
        <f>""</f>
        <v/>
      </c>
      <c r="K371" s="2" t="str">
        <f>"PFES1162730123_0001"</f>
        <v>PFES1162730123_0001</v>
      </c>
      <c r="L371" s="2">
        <v>1</v>
      </c>
      <c r="M371" s="2">
        <v>1</v>
      </c>
    </row>
    <row r="372" spans="1:13">
      <c r="A372" s="6">
        <v>43837</v>
      </c>
      <c r="B372" s="7">
        <v>0.67847222222222225</v>
      </c>
      <c r="C372" s="2" t="str">
        <f>"FES1162730096"</f>
        <v>FES1162730096</v>
      </c>
      <c r="D372" s="2" t="s">
        <v>19</v>
      </c>
      <c r="E372" s="2" t="s">
        <v>326</v>
      </c>
      <c r="F372" s="2" t="str">
        <f>"2170722858 "</f>
        <v xml:space="preserve">2170722858 </v>
      </c>
      <c r="G372" s="2" t="str">
        <f t="shared" si="11"/>
        <v>ON1</v>
      </c>
      <c r="H372" s="2" t="s">
        <v>21</v>
      </c>
      <c r="I372" s="2" t="s">
        <v>165</v>
      </c>
      <c r="J372" s="2" t="str">
        <f>""</f>
        <v/>
      </c>
      <c r="K372" s="2" t="str">
        <f>"PFES1162730096_0001"</f>
        <v>PFES1162730096_0001</v>
      </c>
      <c r="L372" s="2">
        <v>1</v>
      </c>
      <c r="M372" s="2">
        <v>1</v>
      </c>
    </row>
    <row r="373" spans="1:13">
      <c r="A373" s="6">
        <v>43837</v>
      </c>
      <c r="B373" s="7">
        <v>0.67847222222222225</v>
      </c>
      <c r="C373" s="2" t="str">
        <f>"FES1162730050"</f>
        <v>FES1162730050</v>
      </c>
      <c r="D373" s="2" t="s">
        <v>19</v>
      </c>
      <c r="E373" s="2" t="s">
        <v>160</v>
      </c>
      <c r="F373" s="2" t="str">
        <f>"21707222806 "</f>
        <v xml:space="preserve">21707222806 </v>
      </c>
      <c r="G373" s="2" t="str">
        <f t="shared" si="11"/>
        <v>ON1</v>
      </c>
      <c r="H373" s="2" t="s">
        <v>21</v>
      </c>
      <c r="I373" s="2" t="s">
        <v>161</v>
      </c>
      <c r="J373" s="2" t="str">
        <f>""</f>
        <v/>
      </c>
      <c r="K373" s="2" t="str">
        <f>"PFES1162730050_0001"</f>
        <v>PFES1162730050_0001</v>
      </c>
      <c r="L373" s="2">
        <v>1</v>
      </c>
      <c r="M373" s="2">
        <v>1</v>
      </c>
    </row>
    <row r="374" spans="1:13">
      <c r="A374" s="6">
        <v>43837</v>
      </c>
      <c r="B374" s="7">
        <v>0.6777777777777777</v>
      </c>
      <c r="C374" s="2" t="str">
        <f>"FES1162730084"</f>
        <v>FES1162730084</v>
      </c>
      <c r="D374" s="2" t="s">
        <v>19</v>
      </c>
      <c r="E374" s="2" t="s">
        <v>222</v>
      </c>
      <c r="F374" s="2" t="str">
        <f>"2170722848 "</f>
        <v xml:space="preserve">2170722848 </v>
      </c>
      <c r="G374" s="2" t="str">
        <f t="shared" si="11"/>
        <v>ON1</v>
      </c>
      <c r="H374" s="2" t="s">
        <v>21</v>
      </c>
      <c r="I374" s="2" t="s">
        <v>28</v>
      </c>
      <c r="J374" s="2" t="str">
        <f>""</f>
        <v/>
      </c>
      <c r="K374" s="2" t="str">
        <f>"PFES1162730084_0001"</f>
        <v>PFES1162730084_0001</v>
      </c>
      <c r="L374" s="2">
        <v>1</v>
      </c>
      <c r="M374" s="2">
        <v>1</v>
      </c>
    </row>
    <row r="375" spans="1:13">
      <c r="A375" s="6">
        <v>43837</v>
      </c>
      <c r="B375" s="7">
        <v>0.67708333333333337</v>
      </c>
      <c r="C375" s="2" t="str">
        <f>"FES1162730020"</f>
        <v>FES1162730020</v>
      </c>
      <c r="D375" s="2" t="s">
        <v>19</v>
      </c>
      <c r="E375" s="2" t="s">
        <v>327</v>
      </c>
      <c r="F375" s="2" t="str">
        <f>"2170721950 "</f>
        <v xml:space="preserve">2170721950 </v>
      </c>
      <c r="G375" s="2" t="str">
        <f t="shared" si="11"/>
        <v>ON1</v>
      </c>
      <c r="H375" s="2" t="s">
        <v>21</v>
      </c>
      <c r="I375" s="2" t="s">
        <v>85</v>
      </c>
      <c r="J375" s="2" t="str">
        <f>""</f>
        <v/>
      </c>
      <c r="K375" s="2" t="str">
        <f>"PFES1162730020_0001"</f>
        <v>PFES1162730020_0001</v>
      </c>
      <c r="L375" s="2">
        <v>1</v>
      </c>
      <c r="M375" s="2">
        <v>1</v>
      </c>
    </row>
    <row r="376" spans="1:13">
      <c r="A376" s="6">
        <v>43837</v>
      </c>
      <c r="B376" s="7">
        <v>0.67638888888888893</v>
      </c>
      <c r="C376" s="2" t="str">
        <f>"FES1162730106"</f>
        <v>FES1162730106</v>
      </c>
      <c r="D376" s="2" t="s">
        <v>19</v>
      </c>
      <c r="E376" s="2" t="s">
        <v>328</v>
      </c>
      <c r="F376" s="2" t="str">
        <f>"2170722872 "</f>
        <v xml:space="preserve">2170722872 </v>
      </c>
      <c r="G376" s="2" t="str">
        <f t="shared" si="11"/>
        <v>ON1</v>
      </c>
      <c r="H376" s="2" t="s">
        <v>21</v>
      </c>
      <c r="I376" s="2" t="s">
        <v>329</v>
      </c>
      <c r="J376" s="2" t="str">
        <f>""</f>
        <v/>
      </c>
      <c r="K376" s="2" t="str">
        <f>"PFES1162730106_0001"</f>
        <v>PFES1162730106_0001</v>
      </c>
      <c r="L376" s="2">
        <v>1</v>
      </c>
      <c r="M376" s="2">
        <v>1</v>
      </c>
    </row>
    <row r="377" spans="1:13">
      <c r="A377" s="6">
        <v>43837</v>
      </c>
      <c r="B377" s="7">
        <v>0.67569444444444438</v>
      </c>
      <c r="C377" s="2" t="str">
        <f>"FES1162730073"</f>
        <v>FES1162730073</v>
      </c>
      <c r="D377" s="2" t="s">
        <v>19</v>
      </c>
      <c r="E377" s="2" t="s">
        <v>164</v>
      </c>
      <c r="F377" s="2" t="str">
        <f>"2170722837 "</f>
        <v xml:space="preserve">2170722837 </v>
      </c>
      <c r="G377" s="2" t="str">
        <f t="shared" si="11"/>
        <v>ON1</v>
      </c>
      <c r="H377" s="2" t="s">
        <v>21</v>
      </c>
      <c r="I377" s="2" t="s">
        <v>165</v>
      </c>
      <c r="J377" s="2" t="str">
        <f>""</f>
        <v/>
      </c>
      <c r="K377" s="2" t="str">
        <f>"PFES1162730073_0001"</f>
        <v>PFES1162730073_0001</v>
      </c>
      <c r="L377" s="2">
        <v>1</v>
      </c>
      <c r="M377" s="2">
        <v>1</v>
      </c>
    </row>
    <row r="378" spans="1:13">
      <c r="A378" s="6">
        <v>43837</v>
      </c>
      <c r="B378" s="7">
        <v>0.67499999999999993</v>
      </c>
      <c r="C378" s="2" t="str">
        <f>"FES1162730103"</f>
        <v>FES1162730103</v>
      </c>
      <c r="D378" s="2" t="s">
        <v>19</v>
      </c>
      <c r="E378" s="2" t="s">
        <v>310</v>
      </c>
      <c r="F378" s="2" t="str">
        <f>"2170722870 "</f>
        <v xml:space="preserve">2170722870 </v>
      </c>
      <c r="G378" s="2" t="str">
        <f t="shared" si="11"/>
        <v>ON1</v>
      </c>
      <c r="H378" s="2" t="s">
        <v>21</v>
      </c>
      <c r="I378" s="2" t="s">
        <v>311</v>
      </c>
      <c r="J378" s="2" t="str">
        <f>""</f>
        <v/>
      </c>
      <c r="K378" s="2" t="str">
        <f>"PFES1162730103_0001"</f>
        <v>PFES1162730103_0001</v>
      </c>
      <c r="L378" s="2">
        <v>1</v>
      </c>
      <c r="M378" s="2">
        <v>1</v>
      </c>
    </row>
    <row r="379" spans="1:13">
      <c r="A379" s="6">
        <v>43837</v>
      </c>
      <c r="B379" s="7">
        <v>0.67499999999999993</v>
      </c>
      <c r="C379" s="2" t="str">
        <f>"FES1162730104"</f>
        <v>FES1162730104</v>
      </c>
      <c r="D379" s="2" t="s">
        <v>19</v>
      </c>
      <c r="E379" s="2" t="s">
        <v>330</v>
      </c>
      <c r="F379" s="2" t="str">
        <f>"2170720613 "</f>
        <v xml:space="preserve">2170720613 </v>
      </c>
      <c r="G379" s="2" t="str">
        <f>"DBC"</f>
        <v>DBC</v>
      </c>
      <c r="H379" s="2" t="s">
        <v>21</v>
      </c>
      <c r="I379" s="2" t="s">
        <v>320</v>
      </c>
      <c r="J379" s="2" t="str">
        <f>""</f>
        <v/>
      </c>
      <c r="K379" s="2" t="str">
        <f>"PFES1162730104_0001"</f>
        <v>PFES1162730104_0001</v>
      </c>
      <c r="L379" s="2">
        <v>1</v>
      </c>
      <c r="M379" s="2">
        <v>23</v>
      </c>
    </row>
    <row r="380" spans="1:13">
      <c r="A380" s="6">
        <v>43837</v>
      </c>
      <c r="B380" s="7">
        <v>0.6743055555555556</v>
      </c>
      <c r="C380" s="2" t="str">
        <f>"FES1162730128"</f>
        <v>FES1162730128</v>
      </c>
      <c r="D380" s="2" t="s">
        <v>19</v>
      </c>
      <c r="E380" s="2" t="s">
        <v>46</v>
      </c>
      <c r="F380" s="2" t="str">
        <f>"2170722903 "</f>
        <v xml:space="preserve">2170722903 </v>
      </c>
      <c r="G380" s="2" t="str">
        <f>"ON1"</f>
        <v>ON1</v>
      </c>
      <c r="H380" s="2" t="s">
        <v>21</v>
      </c>
      <c r="I380" s="2" t="s">
        <v>47</v>
      </c>
      <c r="J380" s="2" t="str">
        <f>""</f>
        <v/>
      </c>
      <c r="K380" s="2" t="str">
        <f>"PFES1162730128_0001"</f>
        <v>PFES1162730128_0001</v>
      </c>
      <c r="L380" s="2">
        <v>1</v>
      </c>
      <c r="M380" s="2">
        <v>1</v>
      </c>
    </row>
    <row r="381" spans="1:13">
      <c r="A381" s="6">
        <v>43837</v>
      </c>
      <c r="B381" s="7">
        <v>0.67291666666666661</v>
      </c>
      <c r="C381" s="2" t="str">
        <f>"FES1162730072"</f>
        <v>FES1162730072</v>
      </c>
      <c r="D381" s="2" t="s">
        <v>19</v>
      </c>
      <c r="E381" s="2" t="s">
        <v>178</v>
      </c>
      <c r="F381" s="2" t="str">
        <f>"2170722836 "</f>
        <v xml:space="preserve">2170722836 </v>
      </c>
      <c r="G381" s="2" t="str">
        <f>"DBC"</f>
        <v>DBC</v>
      </c>
      <c r="H381" s="2" t="s">
        <v>21</v>
      </c>
      <c r="I381" s="2" t="s">
        <v>179</v>
      </c>
      <c r="J381" s="2" t="str">
        <f>""</f>
        <v/>
      </c>
      <c r="K381" s="2" t="str">
        <f>"PFES1162730072_0001"</f>
        <v>PFES1162730072_0001</v>
      </c>
      <c r="L381" s="2">
        <v>1</v>
      </c>
      <c r="M381" s="2">
        <v>20</v>
      </c>
    </row>
    <row r="382" spans="1:13">
      <c r="A382" s="6">
        <v>43837</v>
      </c>
      <c r="B382" s="7">
        <v>0.67222222222222217</v>
      </c>
      <c r="C382" s="2" t="str">
        <f>"FES1162730086"</f>
        <v>FES1162730086</v>
      </c>
      <c r="D382" s="2" t="s">
        <v>19</v>
      </c>
      <c r="E382" s="2" t="s">
        <v>331</v>
      </c>
      <c r="F382" s="2" t="str">
        <f>"2170716321 "</f>
        <v xml:space="preserve">2170716321 </v>
      </c>
      <c r="G382" s="2" t="str">
        <f>"DBC"</f>
        <v>DBC</v>
      </c>
      <c r="H382" s="2" t="s">
        <v>21</v>
      </c>
      <c r="I382" s="2" t="s">
        <v>303</v>
      </c>
      <c r="J382" s="2" t="str">
        <f>""</f>
        <v/>
      </c>
      <c r="K382" s="2" t="str">
        <f>"PFES1162730086_0001"</f>
        <v>PFES1162730086_0001</v>
      </c>
      <c r="L382" s="2">
        <v>1</v>
      </c>
      <c r="M382" s="2">
        <v>25</v>
      </c>
    </row>
    <row r="383" spans="1:13">
      <c r="A383" s="6">
        <v>43837</v>
      </c>
      <c r="B383" s="7">
        <v>0.67222222222222217</v>
      </c>
      <c r="C383" s="2" t="str">
        <f>"FES1162730088"</f>
        <v>FES1162730088</v>
      </c>
      <c r="D383" s="2" t="s">
        <v>19</v>
      </c>
      <c r="E383" s="2" t="s">
        <v>332</v>
      </c>
      <c r="F383" s="2" t="str">
        <f>"2170722343 "</f>
        <v xml:space="preserve">2170722343 </v>
      </c>
      <c r="G383" s="2" t="str">
        <f t="shared" ref="G383:G399" si="12">"ON1"</f>
        <v>ON1</v>
      </c>
      <c r="H383" s="2" t="s">
        <v>21</v>
      </c>
      <c r="I383" s="2" t="s">
        <v>305</v>
      </c>
      <c r="J383" s="2" t="str">
        <f>""</f>
        <v/>
      </c>
      <c r="K383" s="2" t="str">
        <f>"PFES1162730088_0001"</f>
        <v>PFES1162730088_0001</v>
      </c>
      <c r="L383" s="2">
        <v>1</v>
      </c>
      <c r="M383" s="2">
        <v>1</v>
      </c>
    </row>
    <row r="384" spans="1:13">
      <c r="A384" s="6">
        <v>43837</v>
      </c>
      <c r="B384" s="7">
        <v>0.67152777777777783</v>
      </c>
      <c r="C384" s="2" t="str">
        <f>"FES1162730105"</f>
        <v>FES1162730105</v>
      </c>
      <c r="D384" s="2" t="s">
        <v>19</v>
      </c>
      <c r="E384" s="2" t="s">
        <v>62</v>
      </c>
      <c r="F384" s="2" t="str">
        <f>"2170722345 "</f>
        <v xml:space="preserve">2170722345 </v>
      </c>
      <c r="G384" s="2" t="str">
        <f t="shared" si="12"/>
        <v>ON1</v>
      </c>
      <c r="H384" s="2" t="s">
        <v>21</v>
      </c>
      <c r="I384" s="2" t="s">
        <v>297</v>
      </c>
      <c r="J384" s="2" t="str">
        <f>""</f>
        <v/>
      </c>
      <c r="K384" s="2" t="str">
        <f>"PFES1162730105_0001"</f>
        <v>PFES1162730105_0001</v>
      </c>
      <c r="L384" s="2">
        <v>1</v>
      </c>
      <c r="M384" s="2">
        <v>1</v>
      </c>
    </row>
    <row r="385" spans="1:13">
      <c r="A385" s="6">
        <v>43837</v>
      </c>
      <c r="B385" s="7">
        <v>0.67152777777777783</v>
      </c>
      <c r="C385" s="2" t="str">
        <f>"FES1162730080"</f>
        <v>FES1162730080</v>
      </c>
      <c r="D385" s="2" t="s">
        <v>19</v>
      </c>
      <c r="E385" s="2" t="s">
        <v>239</v>
      </c>
      <c r="F385" s="2" t="str">
        <f>"2170722844 "</f>
        <v xml:space="preserve">2170722844 </v>
      </c>
      <c r="G385" s="2" t="str">
        <f t="shared" si="12"/>
        <v>ON1</v>
      </c>
      <c r="H385" s="2" t="s">
        <v>21</v>
      </c>
      <c r="I385" s="2" t="s">
        <v>165</v>
      </c>
      <c r="J385" s="2" t="str">
        <f>""</f>
        <v/>
      </c>
      <c r="K385" s="2" t="str">
        <f>"PFES1162730080_0001"</f>
        <v>PFES1162730080_0001</v>
      </c>
      <c r="L385" s="2">
        <v>1</v>
      </c>
      <c r="M385" s="2">
        <v>1</v>
      </c>
    </row>
    <row r="386" spans="1:13">
      <c r="A386" s="6">
        <v>43837</v>
      </c>
      <c r="B386" s="7">
        <v>0.66805555555555562</v>
      </c>
      <c r="C386" s="2" t="str">
        <f>"FES1162729972"</f>
        <v>FES1162729972</v>
      </c>
      <c r="D386" s="2" t="s">
        <v>19</v>
      </c>
      <c r="E386" s="2" t="s">
        <v>333</v>
      </c>
      <c r="F386" s="2" t="str">
        <f>"2170721252 "</f>
        <v xml:space="preserve">2170721252 </v>
      </c>
      <c r="G386" s="2" t="str">
        <f t="shared" si="12"/>
        <v>ON1</v>
      </c>
      <c r="H386" s="2" t="s">
        <v>21</v>
      </c>
      <c r="I386" s="2" t="s">
        <v>334</v>
      </c>
      <c r="J386" s="2" t="str">
        <f>""</f>
        <v/>
      </c>
      <c r="K386" s="2" t="str">
        <f>"PFES1162729972_0001"</f>
        <v>PFES1162729972_0001</v>
      </c>
      <c r="L386" s="2">
        <v>1</v>
      </c>
      <c r="M386" s="2">
        <v>1</v>
      </c>
    </row>
    <row r="387" spans="1:13">
      <c r="A387" s="6">
        <v>43837</v>
      </c>
      <c r="B387" s="7">
        <v>0.66736111111111107</v>
      </c>
      <c r="C387" s="2" t="str">
        <f>"FES1162730047"</f>
        <v>FES1162730047</v>
      </c>
      <c r="D387" s="2" t="s">
        <v>19</v>
      </c>
      <c r="E387" s="2" t="s">
        <v>335</v>
      </c>
      <c r="F387" s="2" t="str">
        <f>"2170722164 "</f>
        <v xml:space="preserve">2170722164 </v>
      </c>
      <c r="G387" s="2" t="str">
        <f t="shared" si="12"/>
        <v>ON1</v>
      </c>
      <c r="H387" s="2" t="s">
        <v>21</v>
      </c>
      <c r="I387" s="2" t="s">
        <v>336</v>
      </c>
      <c r="J387" s="2" t="str">
        <f>""</f>
        <v/>
      </c>
      <c r="K387" s="2" t="str">
        <f>"PFES1162730047_0001"</f>
        <v>PFES1162730047_0001</v>
      </c>
      <c r="L387" s="2">
        <v>1</v>
      </c>
      <c r="M387" s="2">
        <v>1</v>
      </c>
    </row>
    <row r="388" spans="1:13">
      <c r="A388" s="6">
        <v>43837</v>
      </c>
      <c r="B388" s="7">
        <v>0.66597222222222219</v>
      </c>
      <c r="C388" s="2" t="str">
        <f>"FES1162730093"</f>
        <v>FES1162730093</v>
      </c>
      <c r="D388" s="2" t="s">
        <v>19</v>
      </c>
      <c r="E388" s="2" t="s">
        <v>337</v>
      </c>
      <c r="F388" s="2" t="str">
        <f>"2170722853 "</f>
        <v xml:space="preserve">2170722853 </v>
      </c>
      <c r="G388" s="2" t="str">
        <f t="shared" si="12"/>
        <v>ON1</v>
      </c>
      <c r="H388" s="2" t="s">
        <v>21</v>
      </c>
      <c r="I388" s="2" t="s">
        <v>338</v>
      </c>
      <c r="J388" s="2" t="str">
        <f>""</f>
        <v/>
      </c>
      <c r="K388" s="2" t="str">
        <f>"PFES1162730093_0001"</f>
        <v>PFES1162730093_0001</v>
      </c>
      <c r="L388" s="2">
        <v>1</v>
      </c>
      <c r="M388" s="2">
        <v>1</v>
      </c>
    </row>
    <row r="389" spans="1:13">
      <c r="A389" s="6">
        <v>43837</v>
      </c>
      <c r="B389" s="7">
        <v>0.66527777777777775</v>
      </c>
      <c r="C389" s="2" t="str">
        <f>"FES1162730015"</f>
        <v>FES1162730015</v>
      </c>
      <c r="D389" s="2" t="s">
        <v>19</v>
      </c>
      <c r="E389" s="2" t="s">
        <v>339</v>
      </c>
      <c r="F389" s="2" t="str">
        <f>"2170721901 "</f>
        <v xml:space="preserve">2170721901 </v>
      </c>
      <c r="G389" s="2" t="str">
        <f t="shared" si="12"/>
        <v>ON1</v>
      </c>
      <c r="H389" s="2" t="s">
        <v>21</v>
      </c>
      <c r="I389" s="2" t="s">
        <v>340</v>
      </c>
      <c r="J389" s="2" t="str">
        <f>""</f>
        <v/>
      </c>
      <c r="K389" s="2" t="str">
        <f>"PFES1162730015_0001"</f>
        <v>PFES1162730015_0001</v>
      </c>
      <c r="L389" s="2">
        <v>1</v>
      </c>
      <c r="M389" s="2">
        <v>1</v>
      </c>
    </row>
    <row r="390" spans="1:13">
      <c r="A390" s="6">
        <v>43837</v>
      </c>
      <c r="B390" s="7">
        <v>0.6645833333333333</v>
      </c>
      <c r="C390" s="2" t="str">
        <f>"FES1162730092"</f>
        <v>FES1162730092</v>
      </c>
      <c r="D390" s="2" t="s">
        <v>19</v>
      </c>
      <c r="E390" s="2" t="s">
        <v>341</v>
      </c>
      <c r="F390" s="2" t="str">
        <f>"2170722851 "</f>
        <v xml:space="preserve">2170722851 </v>
      </c>
      <c r="G390" s="2" t="str">
        <f t="shared" si="12"/>
        <v>ON1</v>
      </c>
      <c r="H390" s="2" t="s">
        <v>21</v>
      </c>
      <c r="I390" s="2" t="s">
        <v>53</v>
      </c>
      <c r="J390" s="2" t="str">
        <f>""</f>
        <v/>
      </c>
      <c r="K390" s="2" t="str">
        <f>"PFES1162730092_0001"</f>
        <v>PFES1162730092_0001</v>
      </c>
      <c r="L390" s="2">
        <v>1</v>
      </c>
      <c r="M390" s="2">
        <v>1</v>
      </c>
    </row>
    <row r="391" spans="1:13">
      <c r="A391" s="6">
        <v>43837</v>
      </c>
      <c r="B391" s="7">
        <v>0.66319444444444442</v>
      </c>
      <c r="C391" s="2" t="str">
        <f>"FES1162730003"</f>
        <v>FES1162730003</v>
      </c>
      <c r="D391" s="2" t="s">
        <v>19</v>
      </c>
      <c r="E391" s="2" t="s">
        <v>342</v>
      </c>
      <c r="F391" s="2" t="str">
        <f>"2170721751 "</f>
        <v xml:space="preserve">2170721751 </v>
      </c>
      <c r="G391" s="2" t="str">
        <f t="shared" si="12"/>
        <v>ON1</v>
      </c>
      <c r="H391" s="2" t="s">
        <v>21</v>
      </c>
      <c r="I391" s="2" t="s">
        <v>233</v>
      </c>
      <c r="J391" s="2" t="str">
        <f>""</f>
        <v/>
      </c>
      <c r="K391" s="2" t="str">
        <f>"PFES1162730003_0001"</f>
        <v>PFES1162730003_0001</v>
      </c>
      <c r="L391" s="2">
        <v>1</v>
      </c>
      <c r="M391" s="2">
        <v>1</v>
      </c>
    </row>
    <row r="392" spans="1:13">
      <c r="A392" s="6">
        <v>43837</v>
      </c>
      <c r="B392" s="7">
        <v>0.66249999999999998</v>
      </c>
      <c r="C392" s="2" t="str">
        <f>"FES1162730114"</f>
        <v>FES1162730114</v>
      </c>
      <c r="D392" s="2" t="s">
        <v>19</v>
      </c>
      <c r="E392" s="2" t="s">
        <v>188</v>
      </c>
      <c r="F392" s="2" t="str">
        <f>"2170722886 "</f>
        <v xml:space="preserve">2170722886 </v>
      </c>
      <c r="G392" s="2" t="str">
        <f t="shared" si="12"/>
        <v>ON1</v>
      </c>
      <c r="H392" s="2" t="s">
        <v>21</v>
      </c>
      <c r="I392" s="2" t="s">
        <v>189</v>
      </c>
      <c r="J392" s="2" t="str">
        <f>""</f>
        <v/>
      </c>
      <c r="K392" s="2" t="str">
        <f>"PFES1162730114_0001"</f>
        <v>PFES1162730114_0001</v>
      </c>
      <c r="L392" s="2">
        <v>1</v>
      </c>
      <c r="M392" s="2">
        <v>1</v>
      </c>
    </row>
    <row r="393" spans="1:13">
      <c r="A393" s="6">
        <v>43837</v>
      </c>
      <c r="B393" s="7">
        <v>0.66180555555555554</v>
      </c>
      <c r="C393" s="2" t="str">
        <f>"FES1162730101"</f>
        <v>FES1162730101</v>
      </c>
      <c r="D393" s="2" t="s">
        <v>19</v>
      </c>
      <c r="E393" s="2" t="s">
        <v>81</v>
      </c>
      <c r="F393" s="2" t="str">
        <f>"2170722867 "</f>
        <v xml:space="preserve">2170722867 </v>
      </c>
      <c r="G393" s="2" t="str">
        <f t="shared" si="12"/>
        <v>ON1</v>
      </c>
      <c r="H393" s="2" t="s">
        <v>21</v>
      </c>
      <c r="I393" s="2" t="s">
        <v>34</v>
      </c>
      <c r="J393" s="2" t="str">
        <f>""</f>
        <v/>
      </c>
      <c r="K393" s="2" t="str">
        <f>"PFES1162730101_0001"</f>
        <v>PFES1162730101_0001</v>
      </c>
      <c r="L393" s="2">
        <v>1</v>
      </c>
      <c r="M393" s="2">
        <v>1</v>
      </c>
    </row>
    <row r="394" spans="1:13">
      <c r="A394" s="6">
        <v>43837</v>
      </c>
      <c r="B394" s="7">
        <v>0.66111111111111109</v>
      </c>
      <c r="C394" s="2" t="str">
        <f>"FES1162729908"</f>
        <v>FES1162729908</v>
      </c>
      <c r="D394" s="2" t="s">
        <v>19</v>
      </c>
      <c r="E394" s="2" t="s">
        <v>343</v>
      </c>
      <c r="F394" s="2" t="str">
        <f>"21707227512 "</f>
        <v xml:space="preserve">21707227512 </v>
      </c>
      <c r="G394" s="2" t="str">
        <f t="shared" si="12"/>
        <v>ON1</v>
      </c>
      <c r="H394" s="2" t="s">
        <v>21</v>
      </c>
      <c r="I394" s="2" t="s">
        <v>344</v>
      </c>
      <c r="J394" s="2" t="str">
        <f>""</f>
        <v/>
      </c>
      <c r="K394" s="2" t="str">
        <f>"PFES1162729908_0001"</f>
        <v>PFES1162729908_0001</v>
      </c>
      <c r="L394" s="2">
        <v>1</v>
      </c>
      <c r="M394" s="2">
        <v>3</v>
      </c>
    </row>
    <row r="395" spans="1:13">
      <c r="A395" s="6">
        <v>43837</v>
      </c>
      <c r="B395" s="7">
        <v>0.65972222222222221</v>
      </c>
      <c r="C395" s="2" t="str">
        <f>"FES1162730066"</f>
        <v>FES1162730066</v>
      </c>
      <c r="D395" s="2" t="s">
        <v>19</v>
      </c>
      <c r="E395" s="2" t="s">
        <v>345</v>
      </c>
      <c r="F395" s="2" t="str">
        <f>"2170722828 "</f>
        <v xml:space="preserve">2170722828 </v>
      </c>
      <c r="G395" s="2" t="str">
        <f t="shared" si="12"/>
        <v>ON1</v>
      </c>
      <c r="H395" s="2" t="s">
        <v>21</v>
      </c>
      <c r="I395" s="2" t="s">
        <v>346</v>
      </c>
      <c r="J395" s="2" t="str">
        <f>""</f>
        <v/>
      </c>
      <c r="K395" s="2" t="str">
        <f>"PFES1162730066_0001"</f>
        <v>PFES1162730066_0001</v>
      </c>
      <c r="L395" s="2">
        <v>1</v>
      </c>
      <c r="M395" s="2">
        <v>5</v>
      </c>
    </row>
    <row r="396" spans="1:13">
      <c r="A396" s="6">
        <v>43837</v>
      </c>
      <c r="B396" s="7">
        <v>0.65902777777777777</v>
      </c>
      <c r="C396" s="2" t="str">
        <f>"FES1162730125"</f>
        <v>FES1162730125</v>
      </c>
      <c r="D396" s="2" t="s">
        <v>19</v>
      </c>
      <c r="E396" s="2" t="s">
        <v>33</v>
      </c>
      <c r="F396" s="2" t="str">
        <f>"2170722899 "</f>
        <v xml:space="preserve">2170722899 </v>
      </c>
      <c r="G396" s="2" t="str">
        <f t="shared" si="12"/>
        <v>ON1</v>
      </c>
      <c r="H396" s="2" t="s">
        <v>21</v>
      </c>
      <c r="I396" s="2" t="s">
        <v>34</v>
      </c>
      <c r="J396" s="2" t="str">
        <f>"`"</f>
        <v>`</v>
      </c>
      <c r="K396" s="2" t="str">
        <f>"PFES1162730125_0001"</f>
        <v>PFES1162730125_0001</v>
      </c>
      <c r="L396" s="2">
        <v>1</v>
      </c>
      <c r="M396" s="2">
        <v>3</v>
      </c>
    </row>
    <row r="397" spans="1:13">
      <c r="A397" s="6">
        <v>43837</v>
      </c>
      <c r="B397" s="7">
        <v>0.65694444444444444</v>
      </c>
      <c r="C397" s="2" t="str">
        <f>"FES1162730113"</f>
        <v>FES1162730113</v>
      </c>
      <c r="D397" s="2" t="s">
        <v>19</v>
      </c>
      <c r="E397" s="2" t="s">
        <v>33</v>
      </c>
      <c r="F397" s="2" t="str">
        <f>"2170722884 "</f>
        <v xml:space="preserve">2170722884 </v>
      </c>
      <c r="G397" s="2" t="str">
        <f t="shared" si="12"/>
        <v>ON1</v>
      </c>
      <c r="H397" s="2" t="s">
        <v>21</v>
      </c>
      <c r="I397" s="2" t="s">
        <v>34</v>
      </c>
      <c r="J397" s="2" t="str">
        <f>""</f>
        <v/>
      </c>
      <c r="K397" s="2" t="str">
        <f>"PFES1162730113_0001"</f>
        <v>PFES1162730113_0001</v>
      </c>
      <c r="L397" s="2">
        <v>1</v>
      </c>
      <c r="M397" s="2">
        <v>6</v>
      </c>
    </row>
    <row r="398" spans="1:13">
      <c r="A398" s="6">
        <v>43837</v>
      </c>
      <c r="B398" s="7">
        <v>0.65694444444444444</v>
      </c>
      <c r="C398" s="2" t="str">
        <f>"FES1162730089"</f>
        <v>FES1162730089</v>
      </c>
      <c r="D398" s="2" t="s">
        <v>19</v>
      </c>
      <c r="E398" s="2" t="s">
        <v>347</v>
      </c>
      <c r="F398" s="2" t="str">
        <f>"2170722465 "</f>
        <v xml:space="preserve">2170722465 </v>
      </c>
      <c r="G398" s="2" t="str">
        <f t="shared" si="12"/>
        <v>ON1</v>
      </c>
      <c r="H398" s="2" t="s">
        <v>21</v>
      </c>
      <c r="I398" s="2" t="s">
        <v>348</v>
      </c>
      <c r="J398" s="2" t="str">
        <f>""</f>
        <v/>
      </c>
      <c r="K398" s="2" t="str">
        <f>"PFES1162730089_0001"</f>
        <v>PFES1162730089_0001</v>
      </c>
      <c r="L398" s="2">
        <v>1</v>
      </c>
      <c r="M398" s="2">
        <v>15</v>
      </c>
    </row>
    <row r="399" spans="1:13">
      <c r="A399" s="6">
        <v>43837</v>
      </c>
      <c r="B399" s="7">
        <v>0.65625</v>
      </c>
      <c r="C399" s="2" t="str">
        <f>"FES1162730068"</f>
        <v>FES1162730068</v>
      </c>
      <c r="D399" s="2" t="s">
        <v>19</v>
      </c>
      <c r="E399" s="2" t="s">
        <v>349</v>
      </c>
      <c r="F399" s="2" t="str">
        <f>"2170722830 "</f>
        <v xml:space="preserve">2170722830 </v>
      </c>
      <c r="G399" s="2" t="str">
        <f t="shared" si="12"/>
        <v>ON1</v>
      </c>
      <c r="H399" s="2" t="s">
        <v>21</v>
      </c>
      <c r="I399" s="2" t="s">
        <v>85</v>
      </c>
      <c r="J399" s="2" t="str">
        <f>""</f>
        <v/>
      </c>
      <c r="K399" s="2" t="str">
        <f>"PFES1162730068_0001"</f>
        <v>PFES1162730068_0001</v>
      </c>
      <c r="L399" s="2">
        <v>1</v>
      </c>
      <c r="M399" s="2">
        <v>2</v>
      </c>
    </row>
    <row r="400" spans="1:13">
      <c r="A400" s="6">
        <v>43837</v>
      </c>
      <c r="B400" s="7">
        <v>0.65555555555555556</v>
      </c>
      <c r="C400" s="2" t="str">
        <f>"FES1162729984"</f>
        <v>FES1162729984</v>
      </c>
      <c r="D400" s="2" t="s">
        <v>19</v>
      </c>
      <c r="E400" s="2" t="s">
        <v>350</v>
      </c>
      <c r="F400" s="2" t="str">
        <f>"2170721502 "</f>
        <v xml:space="preserve">2170721502 </v>
      </c>
      <c r="G400" s="2" t="str">
        <f>"DBC"</f>
        <v>DBC</v>
      </c>
      <c r="H400" s="2" t="s">
        <v>21</v>
      </c>
      <c r="I400" s="2" t="s">
        <v>351</v>
      </c>
      <c r="J400" s="2" t="str">
        <f>""</f>
        <v/>
      </c>
      <c r="K400" s="2" t="str">
        <f>"PFES1162729984_0001"</f>
        <v>PFES1162729984_0001</v>
      </c>
      <c r="L400" s="2">
        <v>1</v>
      </c>
      <c r="M400" s="2">
        <v>20</v>
      </c>
    </row>
    <row r="401" spans="1:13">
      <c r="A401" s="6">
        <v>43837</v>
      </c>
      <c r="B401" s="7">
        <v>0.63680555555555551</v>
      </c>
      <c r="C401" s="2" t="str">
        <f>"FES1162730111"</f>
        <v>FES1162730111</v>
      </c>
      <c r="D401" s="2" t="s">
        <v>19</v>
      </c>
      <c r="E401" s="2" t="s">
        <v>171</v>
      </c>
      <c r="F401" s="2" t="str">
        <f>"2170722881 "</f>
        <v xml:space="preserve">2170722881 </v>
      </c>
      <c r="G401" s="2" t="str">
        <f>"ON1"</f>
        <v>ON1</v>
      </c>
      <c r="H401" s="2" t="s">
        <v>21</v>
      </c>
      <c r="I401" s="2" t="s">
        <v>47</v>
      </c>
      <c r="J401" s="2" t="str">
        <f>""</f>
        <v/>
      </c>
      <c r="K401" s="2" t="str">
        <f>"PFES1162730111_0001"</f>
        <v>PFES1162730111_0001</v>
      </c>
      <c r="L401" s="2">
        <v>1</v>
      </c>
      <c r="M401" s="2">
        <v>1</v>
      </c>
    </row>
    <row r="402" spans="1:13">
      <c r="A402" s="6">
        <v>43837</v>
      </c>
      <c r="B402" s="7">
        <v>0.6333333333333333</v>
      </c>
      <c r="C402" s="2" t="str">
        <f>"FES1162730077"</f>
        <v>FES1162730077</v>
      </c>
      <c r="D402" s="2" t="s">
        <v>19</v>
      </c>
      <c r="E402" s="2" t="s">
        <v>352</v>
      </c>
      <c r="F402" s="2" t="str">
        <f>"217073007 "</f>
        <v xml:space="preserve">217073007 </v>
      </c>
      <c r="G402" s="2" t="str">
        <f>"ON1"</f>
        <v>ON1</v>
      </c>
      <c r="H402" s="2" t="s">
        <v>21</v>
      </c>
      <c r="I402" s="2" t="s">
        <v>114</v>
      </c>
      <c r="J402" s="2" t="str">
        <f>""</f>
        <v/>
      </c>
      <c r="K402" s="2" t="str">
        <f>"PFES1162730077_0001"</f>
        <v>PFES1162730077_0001</v>
      </c>
      <c r="L402" s="2">
        <v>2</v>
      </c>
      <c r="M402" s="2">
        <v>8</v>
      </c>
    </row>
    <row r="403" spans="1:13">
      <c r="A403" s="6">
        <v>43837</v>
      </c>
      <c r="B403" s="7">
        <v>0.6333333333333333</v>
      </c>
      <c r="C403" s="2" t="str">
        <f>"FES1162730077"</f>
        <v>FES1162730077</v>
      </c>
      <c r="D403" s="2" t="s">
        <v>19</v>
      </c>
      <c r="E403" s="2" t="s">
        <v>352</v>
      </c>
      <c r="F403" s="2" t="str">
        <f>"217073007 "</f>
        <v xml:space="preserve">217073007 </v>
      </c>
      <c r="G403" s="2" t="str">
        <f>"ON1"</f>
        <v>ON1</v>
      </c>
      <c r="H403" s="2" t="s">
        <v>21</v>
      </c>
      <c r="I403" s="2" t="s">
        <v>114</v>
      </c>
      <c r="J403" s="2"/>
      <c r="K403" s="2" t="str">
        <f>"PFES1162730077_0002"</f>
        <v>PFES1162730077_0002</v>
      </c>
      <c r="L403" s="2">
        <v>2</v>
      </c>
      <c r="M403" s="2">
        <v>8</v>
      </c>
    </row>
    <row r="404" spans="1:13">
      <c r="A404" s="6">
        <v>43837</v>
      </c>
      <c r="B404" s="7">
        <v>0.6333333333333333</v>
      </c>
      <c r="C404" s="2" t="str">
        <f>"FES1162729905"</f>
        <v>FES1162729905</v>
      </c>
      <c r="D404" s="2" t="s">
        <v>19</v>
      </c>
      <c r="E404" s="2" t="s">
        <v>343</v>
      </c>
      <c r="F404" s="2" t="str">
        <f>"2170722749 "</f>
        <v xml:space="preserve">2170722749 </v>
      </c>
      <c r="G404" s="2" t="str">
        <f t="shared" ref="G404:G421" si="13">"ON1"</f>
        <v>ON1</v>
      </c>
      <c r="H404" s="2" t="s">
        <v>21</v>
      </c>
      <c r="I404" s="2" t="s">
        <v>344</v>
      </c>
      <c r="J404" s="2" t="str">
        <f>""</f>
        <v/>
      </c>
      <c r="K404" s="2" t="str">
        <f>"PFES1162729905_0001"</f>
        <v>PFES1162729905_0001</v>
      </c>
      <c r="L404" s="2">
        <v>1</v>
      </c>
      <c r="M404" s="2">
        <v>2</v>
      </c>
    </row>
    <row r="405" spans="1:13">
      <c r="A405" s="6">
        <v>43837</v>
      </c>
      <c r="B405" s="7">
        <v>0.63263888888888886</v>
      </c>
      <c r="C405" s="2" t="str">
        <f>"FES1162730074"</f>
        <v>FES1162730074</v>
      </c>
      <c r="D405" s="2" t="s">
        <v>19</v>
      </c>
      <c r="E405" s="2" t="s">
        <v>142</v>
      </c>
      <c r="F405" s="2" t="str">
        <f>"2170722838 "</f>
        <v xml:space="preserve">2170722838 </v>
      </c>
      <c r="G405" s="2" t="str">
        <f t="shared" si="13"/>
        <v>ON1</v>
      </c>
      <c r="H405" s="2" t="s">
        <v>21</v>
      </c>
      <c r="I405" s="2" t="s">
        <v>123</v>
      </c>
      <c r="J405" s="2" t="str">
        <f>""</f>
        <v/>
      </c>
      <c r="K405" s="2" t="str">
        <f>"PFES1162730074_0001"</f>
        <v>PFES1162730074_0001</v>
      </c>
      <c r="L405" s="2">
        <v>1</v>
      </c>
      <c r="M405" s="2">
        <v>3</v>
      </c>
    </row>
    <row r="406" spans="1:13">
      <c r="A406" s="6">
        <v>43837</v>
      </c>
      <c r="B406" s="7">
        <v>0.62638888888888888</v>
      </c>
      <c r="C406" s="2" t="str">
        <f>"FES1162730099"</f>
        <v>FES1162730099</v>
      </c>
      <c r="D406" s="2" t="s">
        <v>19</v>
      </c>
      <c r="E406" s="2" t="s">
        <v>37</v>
      </c>
      <c r="F406" s="2" t="str">
        <f>"2170722865 "</f>
        <v xml:space="preserve">2170722865 </v>
      </c>
      <c r="G406" s="2" t="str">
        <f t="shared" si="13"/>
        <v>ON1</v>
      </c>
      <c r="H406" s="2" t="s">
        <v>21</v>
      </c>
      <c r="I406" s="2" t="s">
        <v>38</v>
      </c>
      <c r="J406" s="2" t="str">
        <f>""</f>
        <v/>
      </c>
      <c r="K406" s="2" t="str">
        <f>"PFES1162730099_0001"</f>
        <v>PFES1162730099_0001</v>
      </c>
      <c r="L406" s="2">
        <v>1</v>
      </c>
      <c r="M406" s="2">
        <v>1</v>
      </c>
    </row>
    <row r="407" spans="1:13">
      <c r="A407" s="6">
        <v>43837</v>
      </c>
      <c r="B407" s="7">
        <v>0.62569444444444444</v>
      </c>
      <c r="C407" s="2" t="str">
        <f>"FES1162730097"</f>
        <v>FES1162730097</v>
      </c>
      <c r="D407" s="2" t="s">
        <v>19</v>
      </c>
      <c r="E407" s="2" t="s">
        <v>353</v>
      </c>
      <c r="F407" s="2" t="str">
        <f>"2170722859 "</f>
        <v xml:space="preserve">2170722859 </v>
      </c>
      <c r="G407" s="2" t="str">
        <f t="shared" si="13"/>
        <v>ON1</v>
      </c>
      <c r="H407" s="2" t="s">
        <v>21</v>
      </c>
      <c r="I407" s="2" t="s">
        <v>49</v>
      </c>
      <c r="J407" s="2" t="str">
        <f>""</f>
        <v/>
      </c>
      <c r="K407" s="2" t="str">
        <f>"PFES1162730097_0001"</f>
        <v>PFES1162730097_0001</v>
      </c>
      <c r="L407" s="2">
        <v>1</v>
      </c>
      <c r="M407" s="2">
        <v>1</v>
      </c>
    </row>
    <row r="408" spans="1:13">
      <c r="A408" s="6">
        <v>43837</v>
      </c>
      <c r="B408" s="7">
        <v>0.625</v>
      </c>
      <c r="C408" s="2" t="str">
        <f>"FES1162730082"</f>
        <v>FES1162730082</v>
      </c>
      <c r="D408" s="2" t="s">
        <v>19</v>
      </c>
      <c r="E408" s="2" t="s">
        <v>82</v>
      </c>
      <c r="F408" s="2" t="str">
        <f>"2170722846 "</f>
        <v xml:space="preserve">2170722846 </v>
      </c>
      <c r="G408" s="2" t="str">
        <f t="shared" si="13"/>
        <v>ON1</v>
      </c>
      <c r="H408" s="2" t="s">
        <v>21</v>
      </c>
      <c r="I408" s="2" t="s">
        <v>47</v>
      </c>
      <c r="J408" s="2" t="str">
        <f>""</f>
        <v/>
      </c>
      <c r="K408" s="2" t="str">
        <f>"PFES1162730082_0001"</f>
        <v>PFES1162730082_0001</v>
      </c>
      <c r="L408" s="2">
        <v>1</v>
      </c>
      <c r="M408" s="2">
        <v>1</v>
      </c>
    </row>
    <row r="409" spans="1:13">
      <c r="A409" s="6">
        <v>43837</v>
      </c>
      <c r="B409" s="7">
        <v>0.62083333333333335</v>
      </c>
      <c r="C409" s="2" t="str">
        <f>"FES1162729922"</f>
        <v>FES1162729922</v>
      </c>
      <c r="D409" s="2" t="s">
        <v>19</v>
      </c>
      <c r="E409" s="2" t="s">
        <v>292</v>
      </c>
      <c r="F409" s="2" t="str">
        <f>"2170720323 "</f>
        <v xml:space="preserve">2170720323 </v>
      </c>
      <c r="G409" s="2" t="str">
        <f t="shared" si="13"/>
        <v>ON1</v>
      </c>
      <c r="H409" s="2" t="s">
        <v>21</v>
      </c>
      <c r="I409" s="2" t="s">
        <v>288</v>
      </c>
      <c r="J409" s="2" t="str">
        <f>""</f>
        <v/>
      </c>
      <c r="K409" s="2" t="str">
        <f>"PFES1162729922_0001"</f>
        <v>PFES1162729922_0001</v>
      </c>
      <c r="L409" s="2">
        <v>1</v>
      </c>
      <c r="M409" s="2">
        <v>1</v>
      </c>
    </row>
    <row r="410" spans="1:13">
      <c r="A410" s="6">
        <v>43837</v>
      </c>
      <c r="B410" s="7">
        <v>0.62013888888888891</v>
      </c>
      <c r="C410" s="2" t="str">
        <f>"FES1162730040"</f>
        <v>FES1162730040</v>
      </c>
      <c r="D410" s="2" t="s">
        <v>19</v>
      </c>
      <c r="E410" s="2" t="s">
        <v>304</v>
      </c>
      <c r="F410" s="2" t="str">
        <f>"2170722081 "</f>
        <v xml:space="preserve">2170722081 </v>
      </c>
      <c r="G410" s="2" t="str">
        <f t="shared" si="13"/>
        <v>ON1</v>
      </c>
      <c r="H410" s="2" t="s">
        <v>21</v>
      </c>
      <c r="I410" s="2" t="s">
        <v>305</v>
      </c>
      <c r="J410" s="2" t="str">
        <f>""</f>
        <v/>
      </c>
      <c r="K410" s="2" t="str">
        <f>"PFES1162730040_0001"</f>
        <v>PFES1162730040_0001</v>
      </c>
      <c r="L410" s="2">
        <v>1</v>
      </c>
      <c r="M410" s="2">
        <v>1</v>
      </c>
    </row>
    <row r="411" spans="1:13">
      <c r="A411" s="6">
        <v>43837</v>
      </c>
      <c r="B411" s="7">
        <v>0.61944444444444446</v>
      </c>
      <c r="C411" s="2" t="str">
        <f>"FES1162730057"</f>
        <v>FES1162730057</v>
      </c>
      <c r="D411" s="2" t="s">
        <v>19</v>
      </c>
      <c r="E411" s="2" t="s">
        <v>229</v>
      </c>
      <c r="F411" s="2" t="str">
        <f>"2170720504 "</f>
        <v xml:space="preserve">2170720504 </v>
      </c>
      <c r="G411" s="2" t="str">
        <f t="shared" si="13"/>
        <v>ON1</v>
      </c>
      <c r="H411" s="2" t="s">
        <v>21</v>
      </c>
      <c r="I411" s="2" t="s">
        <v>230</v>
      </c>
      <c r="J411" s="2" t="str">
        <f>""</f>
        <v/>
      </c>
      <c r="K411" s="2" t="str">
        <f>"PFES1162730057_0001"</f>
        <v>PFES1162730057_0001</v>
      </c>
      <c r="L411" s="2">
        <v>1</v>
      </c>
      <c r="M411" s="2">
        <v>1</v>
      </c>
    </row>
    <row r="412" spans="1:13">
      <c r="A412" s="6">
        <v>43837</v>
      </c>
      <c r="B412" s="7">
        <v>0.61875000000000002</v>
      </c>
      <c r="C412" s="2" t="str">
        <f>"FES1162730064"</f>
        <v>FES1162730064</v>
      </c>
      <c r="D412" s="2" t="s">
        <v>19</v>
      </c>
      <c r="E412" s="2" t="s">
        <v>136</v>
      </c>
      <c r="F412" s="2" t="str">
        <f>"2170722821 "</f>
        <v xml:space="preserve">2170722821 </v>
      </c>
      <c r="G412" s="2" t="str">
        <f t="shared" si="13"/>
        <v>ON1</v>
      </c>
      <c r="H412" s="2" t="s">
        <v>21</v>
      </c>
      <c r="I412" s="2" t="s">
        <v>137</v>
      </c>
      <c r="J412" s="2" t="str">
        <f>""</f>
        <v/>
      </c>
      <c r="K412" s="2" t="str">
        <f>"PFES1162730064_0001"</f>
        <v>PFES1162730064_0001</v>
      </c>
      <c r="L412" s="2">
        <v>1</v>
      </c>
      <c r="M412" s="2">
        <v>1</v>
      </c>
    </row>
    <row r="413" spans="1:13">
      <c r="A413" s="6">
        <v>43837</v>
      </c>
      <c r="B413" s="7">
        <v>0.61805555555555558</v>
      </c>
      <c r="C413" s="2" t="str">
        <f>"FES1162730060"</f>
        <v>FES1162730060</v>
      </c>
      <c r="D413" s="2" t="s">
        <v>19</v>
      </c>
      <c r="E413" s="2" t="s">
        <v>153</v>
      </c>
      <c r="F413" s="2" t="str">
        <f>"2170722817 "</f>
        <v xml:space="preserve">2170722817 </v>
      </c>
      <c r="G413" s="2" t="str">
        <f t="shared" si="13"/>
        <v>ON1</v>
      </c>
      <c r="H413" s="2" t="s">
        <v>21</v>
      </c>
      <c r="I413" s="2" t="s">
        <v>146</v>
      </c>
      <c r="J413" s="2" t="str">
        <f>""</f>
        <v/>
      </c>
      <c r="K413" s="2" t="str">
        <f>"PFES1162730060_0001"</f>
        <v>PFES1162730060_0001</v>
      </c>
      <c r="L413" s="2">
        <v>1</v>
      </c>
      <c r="M413" s="2">
        <v>1</v>
      </c>
    </row>
    <row r="414" spans="1:13">
      <c r="A414" s="6">
        <v>43837</v>
      </c>
      <c r="B414" s="7">
        <v>0.61736111111111114</v>
      </c>
      <c r="C414" s="2" t="str">
        <f>"FES1162729993"</f>
        <v>FES1162729993</v>
      </c>
      <c r="D414" s="2" t="s">
        <v>19</v>
      </c>
      <c r="E414" s="2" t="s">
        <v>354</v>
      </c>
      <c r="F414" s="2" t="str">
        <f>"2170721589 "</f>
        <v xml:space="preserve">2170721589 </v>
      </c>
      <c r="G414" s="2" t="str">
        <f t="shared" si="13"/>
        <v>ON1</v>
      </c>
      <c r="H414" s="2" t="s">
        <v>21</v>
      </c>
      <c r="I414" s="2" t="s">
        <v>355</v>
      </c>
      <c r="J414" s="2" t="str">
        <f>""</f>
        <v/>
      </c>
      <c r="K414" s="2" t="str">
        <f>"PFES1162729993_0001"</f>
        <v>PFES1162729993_0001</v>
      </c>
      <c r="L414" s="2">
        <v>1</v>
      </c>
      <c r="M414" s="2">
        <v>1</v>
      </c>
    </row>
    <row r="415" spans="1:13">
      <c r="A415" s="6">
        <v>43837</v>
      </c>
      <c r="B415" s="7">
        <v>0.6166666666666667</v>
      </c>
      <c r="C415" s="2" t="str">
        <f>"FES1162730059"</f>
        <v>FES1162730059</v>
      </c>
      <c r="D415" s="2" t="s">
        <v>19</v>
      </c>
      <c r="E415" s="2" t="s">
        <v>273</v>
      </c>
      <c r="F415" s="2" t="str">
        <f>"2170722815 "</f>
        <v xml:space="preserve">2170722815 </v>
      </c>
      <c r="G415" s="2" t="str">
        <f t="shared" si="13"/>
        <v>ON1</v>
      </c>
      <c r="H415" s="2" t="s">
        <v>21</v>
      </c>
      <c r="I415" s="2" t="s">
        <v>274</v>
      </c>
      <c r="J415" s="2" t="str">
        <f>""</f>
        <v/>
      </c>
      <c r="K415" s="2" t="str">
        <f>"PFES1162730059_0001"</f>
        <v>PFES1162730059_0001</v>
      </c>
      <c r="L415" s="2">
        <v>1</v>
      </c>
      <c r="M415" s="2">
        <v>1</v>
      </c>
    </row>
    <row r="416" spans="1:13">
      <c r="A416" s="6">
        <v>43837</v>
      </c>
      <c r="B416" s="7">
        <v>0.61597222222222225</v>
      </c>
      <c r="C416" s="2" t="str">
        <f>"FES1162730087"</f>
        <v>FES1162730087</v>
      </c>
      <c r="D416" s="2" t="s">
        <v>19</v>
      </c>
      <c r="E416" s="2" t="s">
        <v>216</v>
      </c>
      <c r="F416" s="2" t="str">
        <f>"2170719914 "</f>
        <v xml:space="preserve">2170719914 </v>
      </c>
      <c r="G416" s="2" t="str">
        <f t="shared" si="13"/>
        <v>ON1</v>
      </c>
      <c r="H416" s="2" t="s">
        <v>21</v>
      </c>
      <c r="I416" s="2" t="s">
        <v>217</v>
      </c>
      <c r="J416" s="2" t="str">
        <f>""</f>
        <v/>
      </c>
      <c r="K416" s="2" t="str">
        <f>"PFES1162730087_0001"</f>
        <v>PFES1162730087_0001</v>
      </c>
      <c r="L416" s="2">
        <v>1</v>
      </c>
      <c r="M416" s="2">
        <v>1</v>
      </c>
    </row>
    <row r="417" spans="1:13">
      <c r="A417" s="6">
        <v>43837</v>
      </c>
      <c r="B417" s="7">
        <v>0.52500000000000002</v>
      </c>
      <c r="C417" s="2" t="str">
        <f>"FES1162729992"</f>
        <v>FES1162729992</v>
      </c>
      <c r="D417" s="2" t="s">
        <v>19</v>
      </c>
      <c r="E417" s="2" t="s">
        <v>269</v>
      </c>
      <c r="F417" s="2" t="str">
        <f>"2170721578 "</f>
        <v xml:space="preserve">2170721578 </v>
      </c>
      <c r="G417" s="2" t="str">
        <f t="shared" si="13"/>
        <v>ON1</v>
      </c>
      <c r="H417" s="2" t="s">
        <v>21</v>
      </c>
      <c r="I417" s="2" t="s">
        <v>270</v>
      </c>
      <c r="J417" s="2" t="str">
        <f>""</f>
        <v/>
      </c>
      <c r="K417" s="2" t="str">
        <f>"PFES1162729992_0001"</f>
        <v>PFES1162729992_0001</v>
      </c>
      <c r="L417" s="2">
        <v>1</v>
      </c>
      <c r="M417" s="2">
        <v>13</v>
      </c>
    </row>
    <row r="418" spans="1:13">
      <c r="A418" s="6">
        <v>43837</v>
      </c>
      <c r="B418" s="7">
        <v>0.52430555555555558</v>
      </c>
      <c r="C418" s="2" t="str">
        <f>"FES1162729933"</f>
        <v>FES1162729933</v>
      </c>
      <c r="D418" s="2" t="s">
        <v>19</v>
      </c>
      <c r="E418" s="2" t="s">
        <v>310</v>
      </c>
      <c r="F418" s="2" t="str">
        <f>"2170722770 "</f>
        <v xml:space="preserve">2170722770 </v>
      </c>
      <c r="G418" s="2" t="str">
        <f t="shared" si="13"/>
        <v>ON1</v>
      </c>
      <c r="H418" s="2" t="s">
        <v>21</v>
      </c>
      <c r="I418" s="2" t="s">
        <v>311</v>
      </c>
      <c r="J418" s="2" t="str">
        <f>""</f>
        <v/>
      </c>
      <c r="K418" s="2" t="str">
        <f>"PFES1162729933_0001"</f>
        <v>PFES1162729933_0001</v>
      </c>
      <c r="L418" s="2">
        <v>1</v>
      </c>
      <c r="M418" s="2">
        <v>1</v>
      </c>
    </row>
    <row r="419" spans="1:13">
      <c r="A419" s="6">
        <v>43837</v>
      </c>
      <c r="B419" s="7">
        <v>0.52430555555555558</v>
      </c>
      <c r="C419" s="2" t="str">
        <f>"FES1162729970"</f>
        <v>FES1162729970</v>
      </c>
      <c r="D419" s="2" t="s">
        <v>19</v>
      </c>
      <c r="E419" s="2" t="s">
        <v>259</v>
      </c>
      <c r="F419" s="2" t="str">
        <f>"2170721184 "</f>
        <v xml:space="preserve">2170721184 </v>
      </c>
      <c r="G419" s="2" t="str">
        <f t="shared" si="13"/>
        <v>ON1</v>
      </c>
      <c r="H419" s="2" t="s">
        <v>21</v>
      </c>
      <c r="I419" s="2" t="s">
        <v>260</v>
      </c>
      <c r="J419" s="2" t="str">
        <f>""</f>
        <v/>
      </c>
      <c r="K419" s="2" t="str">
        <f>"PFES1162729970_0001"</f>
        <v>PFES1162729970_0001</v>
      </c>
      <c r="L419" s="2">
        <v>1</v>
      </c>
      <c r="M419" s="2">
        <v>3</v>
      </c>
    </row>
    <row r="420" spans="1:13">
      <c r="A420" s="6">
        <v>43837</v>
      </c>
      <c r="B420" s="7">
        <v>0.52361111111111114</v>
      </c>
      <c r="C420" s="2" t="str">
        <f>"FES1162729733"</f>
        <v>FES1162729733</v>
      </c>
      <c r="D420" s="2" t="s">
        <v>19</v>
      </c>
      <c r="E420" s="2" t="s">
        <v>356</v>
      </c>
      <c r="F420" s="2" t="str">
        <f>"2170719924 "</f>
        <v xml:space="preserve">2170719924 </v>
      </c>
      <c r="G420" s="2" t="str">
        <f t="shared" si="13"/>
        <v>ON1</v>
      </c>
      <c r="H420" s="2" t="s">
        <v>21</v>
      </c>
      <c r="I420" s="2" t="s">
        <v>357</v>
      </c>
      <c r="J420" s="2" t="str">
        <f>""</f>
        <v/>
      </c>
      <c r="K420" s="2" t="str">
        <f>"PFES1162729733_0001"</f>
        <v>PFES1162729733_0001</v>
      </c>
      <c r="L420" s="2">
        <v>2</v>
      </c>
      <c r="M420" s="2">
        <v>9</v>
      </c>
    </row>
    <row r="421" spans="1:13">
      <c r="A421" s="6">
        <v>43837</v>
      </c>
      <c r="B421" s="7">
        <v>0.52361111111111114</v>
      </c>
      <c r="C421" s="2" t="str">
        <f>"FES1162729733"</f>
        <v>FES1162729733</v>
      </c>
      <c r="D421" s="2" t="s">
        <v>19</v>
      </c>
      <c r="E421" s="2" t="s">
        <v>356</v>
      </c>
      <c r="F421" s="2" t="str">
        <f>"2170719924 "</f>
        <v xml:space="preserve">2170719924 </v>
      </c>
      <c r="G421" s="2" t="str">
        <f t="shared" si="13"/>
        <v>ON1</v>
      </c>
      <c r="H421" s="2" t="s">
        <v>21</v>
      </c>
      <c r="I421" s="2" t="s">
        <v>357</v>
      </c>
      <c r="J421" s="2"/>
      <c r="K421" s="2" t="str">
        <f>"PFES1162729733_0002"</f>
        <v>PFES1162729733_0002</v>
      </c>
      <c r="L421" s="2">
        <v>2</v>
      </c>
      <c r="M421" s="2">
        <v>9</v>
      </c>
    </row>
    <row r="422" spans="1:13">
      <c r="A422" s="6">
        <v>43837</v>
      </c>
      <c r="B422" s="7">
        <v>0.52361111111111114</v>
      </c>
      <c r="C422" s="2" t="str">
        <f>"FES1162729991"</f>
        <v>FES1162729991</v>
      </c>
      <c r="D422" s="2" t="s">
        <v>19</v>
      </c>
      <c r="E422" s="2" t="s">
        <v>142</v>
      </c>
      <c r="F422" s="2" t="str">
        <f>"2170721569 "</f>
        <v xml:space="preserve">2170721569 </v>
      </c>
      <c r="G422" s="2" t="str">
        <f>"ON1"</f>
        <v>ON1</v>
      </c>
      <c r="H422" s="2" t="s">
        <v>21</v>
      </c>
      <c r="I422" s="2" t="s">
        <v>123</v>
      </c>
      <c r="J422" s="2" t="str">
        <f>""</f>
        <v/>
      </c>
      <c r="K422" s="2" t="str">
        <f>"PFES1162729991_0001"</f>
        <v>PFES1162729991_0001</v>
      </c>
      <c r="L422" s="2">
        <v>1</v>
      </c>
      <c r="M422" s="2">
        <v>1</v>
      </c>
    </row>
    <row r="423" spans="1:13">
      <c r="A423" s="6">
        <v>43837</v>
      </c>
      <c r="B423" s="7">
        <v>0.52361111111111114</v>
      </c>
      <c r="C423" s="2" t="str">
        <f>"FES1162729963"</f>
        <v>FES1162729963</v>
      </c>
      <c r="D423" s="2" t="s">
        <v>19</v>
      </c>
      <c r="E423" s="2" t="s">
        <v>358</v>
      </c>
      <c r="F423" s="2" t="str">
        <f>"2170722802 "</f>
        <v xml:space="preserve">2170722802 </v>
      </c>
      <c r="G423" s="2" t="str">
        <f>"ON1"</f>
        <v>ON1</v>
      </c>
      <c r="H423" s="2" t="s">
        <v>21</v>
      </c>
      <c r="I423" s="2" t="s">
        <v>119</v>
      </c>
      <c r="J423" s="2" t="str">
        <f>""</f>
        <v/>
      </c>
      <c r="K423" s="2" t="str">
        <f>"PFES1162729963_0001"</f>
        <v>PFES1162729963_0001</v>
      </c>
      <c r="L423" s="2">
        <v>1</v>
      </c>
      <c r="M423" s="2">
        <v>3</v>
      </c>
    </row>
    <row r="424" spans="1:13">
      <c r="A424" s="6">
        <v>43837</v>
      </c>
      <c r="B424" s="7">
        <v>0.52361111111111114</v>
      </c>
      <c r="C424" s="2" t="str">
        <f>"FES1162730026"</f>
        <v>FES1162730026</v>
      </c>
      <c r="D424" s="2" t="s">
        <v>19</v>
      </c>
      <c r="E424" s="2" t="s">
        <v>359</v>
      </c>
      <c r="F424" s="2" t="str">
        <f>"2170721980 "</f>
        <v xml:space="preserve">2170721980 </v>
      </c>
      <c r="G424" s="2" t="str">
        <f>"ON1"</f>
        <v>ON1</v>
      </c>
      <c r="H424" s="2" t="s">
        <v>21</v>
      </c>
      <c r="I424" s="2" t="s">
        <v>165</v>
      </c>
      <c r="J424" s="2" t="str">
        <f>""</f>
        <v/>
      </c>
      <c r="K424" s="2" t="str">
        <f>"PFES1162730026_0001"</f>
        <v>PFES1162730026_0001</v>
      </c>
      <c r="L424" s="2">
        <v>1</v>
      </c>
      <c r="M424" s="2">
        <v>4</v>
      </c>
    </row>
    <row r="425" spans="1:13">
      <c r="A425" s="6">
        <v>43837</v>
      </c>
      <c r="B425" s="7">
        <v>0.5229166666666667</v>
      </c>
      <c r="C425" s="2" t="str">
        <f>"FES1162729926"</f>
        <v>FES1162729926</v>
      </c>
      <c r="D425" s="2" t="s">
        <v>19</v>
      </c>
      <c r="E425" s="2" t="s">
        <v>360</v>
      </c>
      <c r="F425" s="2" t="str">
        <f>"2170722433 "</f>
        <v xml:space="preserve">2170722433 </v>
      </c>
      <c r="G425" s="2" t="str">
        <f>"ON1"</f>
        <v>ON1</v>
      </c>
      <c r="H425" s="2" t="s">
        <v>21</v>
      </c>
      <c r="I425" s="2" t="s">
        <v>303</v>
      </c>
      <c r="J425" s="2" t="str">
        <f>""</f>
        <v/>
      </c>
      <c r="K425" s="2" t="str">
        <f>"PFES1162729926_0001"</f>
        <v>PFES1162729926_0001</v>
      </c>
      <c r="L425" s="2">
        <v>1</v>
      </c>
      <c r="M425" s="2">
        <v>2</v>
      </c>
    </row>
    <row r="426" spans="1:13">
      <c r="A426" s="6">
        <v>43837</v>
      </c>
      <c r="B426" s="7">
        <v>0.5229166666666667</v>
      </c>
      <c r="C426" s="2" t="str">
        <f>"FES1162729928"</f>
        <v>FES1162729928</v>
      </c>
      <c r="D426" s="2" t="s">
        <v>19</v>
      </c>
      <c r="E426" s="2" t="s">
        <v>361</v>
      </c>
      <c r="F426" s="2" t="str">
        <f>"2170722716 "</f>
        <v xml:space="preserve">2170722716 </v>
      </c>
      <c r="G426" s="2" t="str">
        <f>"ON1"</f>
        <v>ON1</v>
      </c>
      <c r="H426" s="2" t="s">
        <v>21</v>
      </c>
      <c r="I426" s="2" t="s">
        <v>362</v>
      </c>
      <c r="J426" s="2" t="str">
        <f>""</f>
        <v/>
      </c>
      <c r="K426" s="2" t="str">
        <f>"PFES1162729928_0001"</f>
        <v>PFES1162729928_0001</v>
      </c>
      <c r="L426" s="2">
        <v>1</v>
      </c>
      <c r="M426" s="2">
        <v>1</v>
      </c>
    </row>
    <row r="427" spans="1:13">
      <c r="A427" s="6">
        <v>43837</v>
      </c>
      <c r="B427" s="7">
        <v>0.51944444444444449</v>
      </c>
      <c r="C427" s="2" t="str">
        <f>"FES1162729892"</f>
        <v>FES1162729892</v>
      </c>
      <c r="D427" s="2" t="s">
        <v>19</v>
      </c>
      <c r="E427" s="2" t="s">
        <v>363</v>
      </c>
      <c r="F427" s="2" t="str">
        <f>"2170722736 "</f>
        <v xml:space="preserve">2170722736 </v>
      </c>
      <c r="G427" s="2" t="str">
        <f>"DBC"</f>
        <v>DBC</v>
      </c>
      <c r="H427" s="2" t="s">
        <v>21</v>
      </c>
      <c r="I427" s="2" t="s">
        <v>364</v>
      </c>
      <c r="J427" s="2" t="str">
        <f>""</f>
        <v/>
      </c>
      <c r="K427" s="2" t="str">
        <f>"PFES1162729892_0001"</f>
        <v>PFES1162729892_0001</v>
      </c>
      <c r="L427" s="2">
        <v>2</v>
      </c>
      <c r="M427" s="2">
        <v>22</v>
      </c>
    </row>
    <row r="428" spans="1:13">
      <c r="A428" s="6">
        <v>43837</v>
      </c>
      <c r="B428" s="7">
        <v>0.51944444444444449</v>
      </c>
      <c r="C428" s="2" t="str">
        <f>"FES1162729892"</f>
        <v>FES1162729892</v>
      </c>
      <c r="D428" s="2" t="s">
        <v>19</v>
      </c>
      <c r="E428" s="2" t="s">
        <v>363</v>
      </c>
      <c r="F428" s="2" t="str">
        <f>"2170722736 "</f>
        <v xml:space="preserve">2170722736 </v>
      </c>
      <c r="G428" s="2" t="str">
        <f>"DBC"</f>
        <v>DBC</v>
      </c>
      <c r="H428" s="2" t="s">
        <v>21</v>
      </c>
      <c r="I428" s="2" t="s">
        <v>364</v>
      </c>
      <c r="J428" s="2"/>
      <c r="K428" s="2" t="str">
        <f>"PFES1162729892_0002"</f>
        <v>PFES1162729892_0002</v>
      </c>
      <c r="L428" s="2">
        <v>2</v>
      </c>
      <c r="M428" s="2">
        <v>22</v>
      </c>
    </row>
    <row r="429" spans="1:13">
      <c r="A429" s="6">
        <v>43837</v>
      </c>
      <c r="B429" s="7">
        <v>0.51874999999999993</v>
      </c>
      <c r="C429" s="2" t="str">
        <f>"FES1162729864"</f>
        <v>FES1162729864</v>
      </c>
      <c r="D429" s="2" t="s">
        <v>19</v>
      </c>
      <c r="E429" s="2" t="s">
        <v>365</v>
      </c>
      <c r="F429" s="2" t="str">
        <f>"21707226699 "</f>
        <v xml:space="preserve">21707226699 </v>
      </c>
      <c r="G429" s="2" t="str">
        <f t="shared" ref="G429:G444" si="14">"ON1"</f>
        <v>ON1</v>
      </c>
      <c r="H429" s="2" t="s">
        <v>21</v>
      </c>
      <c r="I429" s="2" t="s">
        <v>366</v>
      </c>
      <c r="J429" s="2" t="str">
        <f>""</f>
        <v/>
      </c>
      <c r="K429" s="2" t="str">
        <f>"PFES1162729864_0001"</f>
        <v>PFES1162729864_0001</v>
      </c>
      <c r="L429" s="2">
        <v>1</v>
      </c>
      <c r="M429" s="2">
        <v>2</v>
      </c>
    </row>
    <row r="430" spans="1:13">
      <c r="A430" s="6">
        <v>43837</v>
      </c>
      <c r="B430" s="7">
        <v>0.51874999999999993</v>
      </c>
      <c r="C430" s="2" t="str">
        <f>"FES1162729880"</f>
        <v>FES1162729880</v>
      </c>
      <c r="D430" s="2" t="s">
        <v>19</v>
      </c>
      <c r="E430" s="2" t="s">
        <v>367</v>
      </c>
      <c r="F430" s="2" t="str">
        <f>"2170722602 "</f>
        <v xml:space="preserve">2170722602 </v>
      </c>
      <c r="G430" s="2" t="str">
        <f t="shared" si="14"/>
        <v>ON1</v>
      </c>
      <c r="H430" s="2" t="s">
        <v>21</v>
      </c>
      <c r="I430" s="2" t="s">
        <v>368</v>
      </c>
      <c r="J430" s="2" t="str">
        <f>""</f>
        <v/>
      </c>
      <c r="K430" s="2" t="str">
        <f>"PFES1162729880_0001"</f>
        <v>PFES1162729880_0001</v>
      </c>
      <c r="L430" s="2">
        <v>1</v>
      </c>
      <c r="M430" s="2">
        <v>1</v>
      </c>
    </row>
    <row r="431" spans="1:13">
      <c r="A431" s="6">
        <v>43837</v>
      </c>
      <c r="B431" s="7">
        <v>0.51874999999999993</v>
      </c>
      <c r="C431" s="2" t="str">
        <f>"FES1162729914"</f>
        <v>FES1162729914</v>
      </c>
      <c r="D431" s="2" t="s">
        <v>19</v>
      </c>
      <c r="E431" s="2" t="s">
        <v>101</v>
      </c>
      <c r="F431" s="2" t="str">
        <f>"2170722756 "</f>
        <v xml:space="preserve">2170722756 </v>
      </c>
      <c r="G431" s="2" t="str">
        <f t="shared" si="14"/>
        <v>ON1</v>
      </c>
      <c r="H431" s="2" t="s">
        <v>21</v>
      </c>
      <c r="I431" s="2" t="s">
        <v>102</v>
      </c>
      <c r="J431" s="2" t="str">
        <f>"OIL"</f>
        <v>OIL</v>
      </c>
      <c r="K431" s="2" t="str">
        <f>"PFES1162729914_0001"</f>
        <v>PFES1162729914_0001</v>
      </c>
      <c r="L431" s="2">
        <v>1</v>
      </c>
      <c r="M431" s="2">
        <v>11</v>
      </c>
    </row>
    <row r="432" spans="1:13">
      <c r="A432" s="6">
        <v>43837</v>
      </c>
      <c r="B432" s="7">
        <v>0.5180555555555556</v>
      </c>
      <c r="C432" s="2" t="str">
        <f>"FES1162729780"</f>
        <v>FES1162729780</v>
      </c>
      <c r="D432" s="2" t="s">
        <v>19</v>
      </c>
      <c r="E432" s="2" t="s">
        <v>369</v>
      </c>
      <c r="F432" s="2" t="str">
        <f>"2170721162 "</f>
        <v xml:space="preserve">2170721162 </v>
      </c>
      <c r="G432" s="2" t="str">
        <f t="shared" si="14"/>
        <v>ON1</v>
      </c>
      <c r="H432" s="2" t="s">
        <v>21</v>
      </c>
      <c r="I432" s="2" t="s">
        <v>294</v>
      </c>
      <c r="J432" s="2" t="str">
        <f>""</f>
        <v/>
      </c>
      <c r="K432" s="2" t="str">
        <f>"PFES1162729780_0001"</f>
        <v>PFES1162729780_0001</v>
      </c>
      <c r="L432" s="2">
        <v>1</v>
      </c>
      <c r="M432" s="2">
        <v>5</v>
      </c>
    </row>
    <row r="433" spans="1:13">
      <c r="A433" s="6">
        <v>43837</v>
      </c>
      <c r="B433" s="7">
        <v>0.5180555555555556</v>
      </c>
      <c r="C433" s="2" t="str">
        <f>"FES1162729819"</f>
        <v>FES1162729819</v>
      </c>
      <c r="D433" s="2" t="s">
        <v>19</v>
      </c>
      <c r="E433" s="2" t="s">
        <v>101</v>
      </c>
      <c r="F433" s="2" t="str">
        <f>"2170720949 "</f>
        <v xml:space="preserve">2170720949 </v>
      </c>
      <c r="G433" s="2" t="str">
        <f t="shared" si="14"/>
        <v>ON1</v>
      </c>
      <c r="H433" s="2" t="s">
        <v>21</v>
      </c>
      <c r="I433" s="2" t="s">
        <v>102</v>
      </c>
      <c r="J433" s="2" t="str">
        <f>""</f>
        <v/>
      </c>
      <c r="K433" s="2" t="str">
        <f>"PFES1162729819_0001"</f>
        <v>PFES1162729819_0001</v>
      </c>
      <c r="L433" s="2">
        <v>1</v>
      </c>
      <c r="M433" s="2">
        <v>2</v>
      </c>
    </row>
    <row r="434" spans="1:13">
      <c r="A434" s="6">
        <v>43837</v>
      </c>
      <c r="B434" s="7">
        <v>0.51736111111111105</v>
      </c>
      <c r="C434" s="2" t="str">
        <f>"FES1162729957"</f>
        <v>FES1162729957</v>
      </c>
      <c r="D434" s="2" t="s">
        <v>19</v>
      </c>
      <c r="E434" s="2" t="s">
        <v>370</v>
      </c>
      <c r="F434" s="2" t="str">
        <f>"2170722769 "</f>
        <v xml:space="preserve">2170722769 </v>
      </c>
      <c r="G434" s="2" t="str">
        <f t="shared" si="14"/>
        <v>ON1</v>
      </c>
      <c r="H434" s="2" t="s">
        <v>21</v>
      </c>
      <c r="I434" s="2" t="s">
        <v>371</v>
      </c>
      <c r="J434" s="2" t="str">
        <f>""</f>
        <v/>
      </c>
      <c r="K434" s="2" t="str">
        <f>"PFES1162729957_0001"</f>
        <v>PFES1162729957_0001</v>
      </c>
      <c r="L434" s="2">
        <v>1</v>
      </c>
      <c r="M434" s="2">
        <v>2</v>
      </c>
    </row>
    <row r="435" spans="1:13">
      <c r="A435" s="6">
        <v>43837</v>
      </c>
      <c r="B435" s="7">
        <v>0.51736111111111105</v>
      </c>
      <c r="C435" s="2" t="str">
        <f>"FES1162729805"</f>
        <v>FES1162729805</v>
      </c>
      <c r="D435" s="2" t="s">
        <v>19</v>
      </c>
      <c r="E435" s="2" t="s">
        <v>101</v>
      </c>
      <c r="F435" s="2" t="str">
        <f>"2170720802 "</f>
        <v xml:space="preserve">2170720802 </v>
      </c>
      <c r="G435" s="2" t="str">
        <f t="shared" si="14"/>
        <v>ON1</v>
      </c>
      <c r="H435" s="2" t="s">
        <v>21</v>
      </c>
      <c r="I435" s="2" t="s">
        <v>102</v>
      </c>
      <c r="J435" s="2" t="str">
        <f>""</f>
        <v/>
      </c>
      <c r="K435" s="2" t="str">
        <f>"PFES1162729805_0001"</f>
        <v>PFES1162729805_0001</v>
      </c>
      <c r="L435" s="2">
        <v>1</v>
      </c>
      <c r="M435" s="2">
        <v>2</v>
      </c>
    </row>
    <row r="436" spans="1:13">
      <c r="A436" s="6">
        <v>43837</v>
      </c>
      <c r="B436" s="7">
        <v>0.51736111111111105</v>
      </c>
      <c r="C436" s="2" t="str">
        <f>"FES1162729771"</f>
        <v>FES1162729771</v>
      </c>
      <c r="D436" s="2" t="s">
        <v>19</v>
      </c>
      <c r="E436" s="2" t="s">
        <v>372</v>
      </c>
      <c r="F436" s="2" t="str">
        <f>"2170720210 "</f>
        <v xml:space="preserve">2170720210 </v>
      </c>
      <c r="G436" s="2" t="str">
        <f t="shared" si="14"/>
        <v>ON1</v>
      </c>
      <c r="H436" s="2" t="s">
        <v>21</v>
      </c>
      <c r="I436" s="2" t="s">
        <v>373</v>
      </c>
      <c r="J436" s="2" t="str">
        <f>""</f>
        <v/>
      </c>
      <c r="K436" s="2" t="str">
        <f>"PFES1162729771_0001"</f>
        <v>PFES1162729771_0001</v>
      </c>
      <c r="L436" s="2">
        <v>1</v>
      </c>
      <c r="M436" s="2">
        <v>2</v>
      </c>
    </row>
    <row r="437" spans="1:13">
      <c r="A437" s="6">
        <v>43837</v>
      </c>
      <c r="B437" s="7">
        <v>0.51666666666666672</v>
      </c>
      <c r="C437" s="2" t="str">
        <f>"FES1162729731"</f>
        <v>FES1162729731</v>
      </c>
      <c r="D437" s="2" t="s">
        <v>19</v>
      </c>
      <c r="E437" s="2" t="s">
        <v>72</v>
      </c>
      <c r="F437" s="2" t="str">
        <f>"2170719522 "</f>
        <v xml:space="preserve">2170719522 </v>
      </c>
      <c r="G437" s="2" t="str">
        <f t="shared" si="14"/>
        <v>ON1</v>
      </c>
      <c r="H437" s="2" t="s">
        <v>21</v>
      </c>
      <c r="I437" s="2" t="s">
        <v>73</v>
      </c>
      <c r="J437" s="2" t="str">
        <f>""</f>
        <v/>
      </c>
      <c r="K437" s="2" t="str">
        <f>"PFES1162729731_0001"</f>
        <v>PFES1162729731_0001</v>
      </c>
      <c r="L437" s="2">
        <v>1</v>
      </c>
      <c r="M437" s="2">
        <v>6</v>
      </c>
    </row>
    <row r="438" spans="1:13">
      <c r="A438" s="6">
        <v>43837</v>
      </c>
      <c r="B438" s="7">
        <v>0.51666666666666672</v>
      </c>
      <c r="C438" s="2" t="str">
        <f>"FES1162729730"</f>
        <v>FES1162729730</v>
      </c>
      <c r="D438" s="2" t="s">
        <v>19</v>
      </c>
      <c r="E438" s="2" t="s">
        <v>374</v>
      </c>
      <c r="F438" s="2" t="str">
        <f>"2170718015 "</f>
        <v xml:space="preserve">2170718015 </v>
      </c>
      <c r="G438" s="2" t="str">
        <f t="shared" si="14"/>
        <v>ON1</v>
      </c>
      <c r="H438" s="2" t="s">
        <v>21</v>
      </c>
      <c r="I438" s="2" t="s">
        <v>375</v>
      </c>
      <c r="J438" s="2" t="str">
        <f>""</f>
        <v/>
      </c>
      <c r="K438" s="2" t="str">
        <f>"PFES1162729730_0001"</f>
        <v>PFES1162729730_0001</v>
      </c>
      <c r="L438" s="2">
        <v>1</v>
      </c>
      <c r="M438" s="2">
        <v>4</v>
      </c>
    </row>
    <row r="439" spans="1:13">
      <c r="A439" s="6">
        <v>43837</v>
      </c>
      <c r="B439" s="7">
        <v>0.51597222222222217</v>
      </c>
      <c r="C439" s="2" t="str">
        <f>"FES1162730004"</f>
        <v>FES1162730004</v>
      </c>
      <c r="D439" s="2" t="s">
        <v>19</v>
      </c>
      <c r="E439" s="2" t="s">
        <v>259</v>
      </c>
      <c r="F439" s="2" t="str">
        <f>"2170721772 "</f>
        <v xml:space="preserve">2170721772 </v>
      </c>
      <c r="G439" s="2" t="str">
        <f t="shared" si="14"/>
        <v>ON1</v>
      </c>
      <c r="H439" s="2" t="s">
        <v>21</v>
      </c>
      <c r="I439" s="2" t="s">
        <v>260</v>
      </c>
      <c r="J439" s="2" t="str">
        <f>""</f>
        <v/>
      </c>
      <c r="K439" s="2" t="str">
        <f>"PFES1162730004_0001"</f>
        <v>PFES1162730004_0001</v>
      </c>
      <c r="L439" s="2">
        <v>1</v>
      </c>
      <c r="M439" s="2">
        <v>1</v>
      </c>
    </row>
    <row r="440" spans="1:13">
      <c r="A440" s="6">
        <v>43837</v>
      </c>
      <c r="B440" s="7">
        <v>0.51597222222222217</v>
      </c>
      <c r="C440" s="2" t="str">
        <f>"FES1162730030"</f>
        <v>FES1162730030</v>
      </c>
      <c r="D440" s="2" t="s">
        <v>19</v>
      </c>
      <c r="E440" s="2" t="s">
        <v>376</v>
      </c>
      <c r="F440" s="2" t="str">
        <f>"2170722007 "</f>
        <v xml:space="preserve">2170722007 </v>
      </c>
      <c r="G440" s="2" t="str">
        <f t="shared" si="14"/>
        <v>ON1</v>
      </c>
      <c r="H440" s="2" t="s">
        <v>21</v>
      </c>
      <c r="I440" s="2" t="s">
        <v>377</v>
      </c>
      <c r="J440" s="2" t="str">
        <f>""</f>
        <v/>
      </c>
      <c r="K440" s="2" t="str">
        <f>"PFES1162730030_0001"</f>
        <v>PFES1162730030_0001</v>
      </c>
      <c r="L440" s="2">
        <v>1</v>
      </c>
      <c r="M440" s="2">
        <v>2</v>
      </c>
    </row>
    <row r="441" spans="1:13">
      <c r="A441" s="6">
        <v>43837</v>
      </c>
      <c r="B441" s="7">
        <v>0.51527777777777783</v>
      </c>
      <c r="C441" s="2" t="str">
        <f>"FES1162729831"</f>
        <v>FES1162729831</v>
      </c>
      <c r="D441" s="2" t="s">
        <v>19</v>
      </c>
      <c r="E441" s="2" t="s">
        <v>378</v>
      </c>
      <c r="F441" s="2" t="str">
        <f>"2170722013 "</f>
        <v xml:space="preserve">2170722013 </v>
      </c>
      <c r="G441" s="2" t="str">
        <f t="shared" si="14"/>
        <v>ON1</v>
      </c>
      <c r="H441" s="2" t="s">
        <v>21</v>
      </c>
      <c r="I441" s="2" t="s">
        <v>379</v>
      </c>
      <c r="J441" s="2" t="str">
        <f>""</f>
        <v/>
      </c>
      <c r="K441" s="2" t="str">
        <f>"PFES1162729831_0001"</f>
        <v>PFES1162729831_0001</v>
      </c>
      <c r="L441" s="2">
        <v>1</v>
      </c>
      <c r="M441" s="2">
        <v>7</v>
      </c>
    </row>
    <row r="442" spans="1:13">
      <c r="A442" s="6">
        <v>43837</v>
      </c>
      <c r="B442" s="7">
        <v>0.51527777777777783</v>
      </c>
      <c r="C442" s="2" t="str">
        <f>"FES1162730045"</f>
        <v>FES1162730045</v>
      </c>
      <c r="D442" s="2" t="s">
        <v>19</v>
      </c>
      <c r="E442" s="2" t="s">
        <v>147</v>
      </c>
      <c r="F442" s="2" t="str">
        <f>"2170722147 "</f>
        <v xml:space="preserve">2170722147 </v>
      </c>
      <c r="G442" s="2" t="str">
        <f t="shared" si="14"/>
        <v>ON1</v>
      </c>
      <c r="H442" s="2" t="s">
        <v>21</v>
      </c>
      <c r="I442" s="2" t="s">
        <v>148</v>
      </c>
      <c r="J442" s="2" t="str">
        <f>""</f>
        <v/>
      </c>
      <c r="K442" s="2" t="str">
        <f>"PFES1162730045_0001"</f>
        <v>PFES1162730045_0001</v>
      </c>
      <c r="L442" s="2">
        <v>1</v>
      </c>
      <c r="M442" s="2">
        <v>1</v>
      </c>
    </row>
    <row r="443" spans="1:13">
      <c r="A443" s="6">
        <v>43837</v>
      </c>
      <c r="B443" s="7">
        <v>0.51527777777777783</v>
      </c>
      <c r="C443" s="2" t="str">
        <f>"FES1162730027"</f>
        <v>FES1162730027</v>
      </c>
      <c r="D443" s="2" t="s">
        <v>19</v>
      </c>
      <c r="E443" s="2" t="s">
        <v>44</v>
      </c>
      <c r="F443" s="2" t="str">
        <f>"2170721984 "</f>
        <v xml:space="preserve">2170721984 </v>
      </c>
      <c r="G443" s="2" t="str">
        <f t="shared" si="14"/>
        <v>ON1</v>
      </c>
      <c r="H443" s="2" t="s">
        <v>21</v>
      </c>
      <c r="I443" s="2" t="s">
        <v>249</v>
      </c>
      <c r="J443" s="2" t="str">
        <f>""</f>
        <v/>
      </c>
      <c r="K443" s="2" t="str">
        <f>"PFES1162730027_0001"</f>
        <v>PFES1162730027_0001</v>
      </c>
      <c r="L443" s="2">
        <v>1</v>
      </c>
      <c r="M443" s="2">
        <v>1</v>
      </c>
    </row>
    <row r="444" spans="1:13">
      <c r="A444" s="6">
        <v>43837</v>
      </c>
      <c r="B444" s="7">
        <v>0.51458333333333328</v>
      </c>
      <c r="C444" s="2" t="str">
        <f>"FES1162730021"</f>
        <v>FES1162730021</v>
      </c>
      <c r="D444" s="2" t="s">
        <v>19</v>
      </c>
      <c r="E444" s="2" t="s">
        <v>380</v>
      </c>
      <c r="F444" s="2" t="str">
        <f>"2170721951 "</f>
        <v xml:space="preserve">2170721951 </v>
      </c>
      <c r="G444" s="2" t="str">
        <f t="shared" si="14"/>
        <v>ON1</v>
      </c>
      <c r="H444" s="2" t="s">
        <v>21</v>
      </c>
      <c r="I444" s="2" t="s">
        <v>381</v>
      </c>
      <c r="J444" s="2" t="str">
        <f>""</f>
        <v/>
      </c>
      <c r="K444" s="2" t="str">
        <f>"PFES1162730021_0001"</f>
        <v>PFES1162730021_0001</v>
      </c>
      <c r="L444" s="2">
        <v>1</v>
      </c>
      <c r="M444" s="2">
        <v>2</v>
      </c>
    </row>
    <row r="445" spans="1:13">
      <c r="A445" s="6">
        <v>43837</v>
      </c>
      <c r="B445" s="7">
        <v>0.51458333333333328</v>
      </c>
      <c r="C445" s="2" t="str">
        <f>"FES1162729744"</f>
        <v>FES1162729744</v>
      </c>
      <c r="D445" s="2" t="s">
        <v>19</v>
      </c>
      <c r="E445" s="2" t="s">
        <v>192</v>
      </c>
      <c r="F445" s="2" t="str">
        <f>"2170720410 "</f>
        <v xml:space="preserve">2170720410 </v>
      </c>
      <c r="G445" s="2" t="str">
        <f>"DBC"</f>
        <v>DBC</v>
      </c>
      <c r="H445" s="2" t="s">
        <v>21</v>
      </c>
      <c r="I445" s="2" t="s">
        <v>193</v>
      </c>
      <c r="J445" s="2" t="str">
        <f>""</f>
        <v/>
      </c>
      <c r="K445" s="2" t="str">
        <f>"PFES1162729744_0001"</f>
        <v>PFES1162729744_0001</v>
      </c>
      <c r="L445" s="2">
        <v>1</v>
      </c>
      <c r="M445" s="2">
        <v>22</v>
      </c>
    </row>
    <row r="446" spans="1:13">
      <c r="A446" s="6">
        <v>43837</v>
      </c>
      <c r="B446" s="7">
        <v>0.50763888888888886</v>
      </c>
      <c r="C446" s="2" t="str">
        <f>"FES1162729987"</f>
        <v>FES1162729987</v>
      </c>
      <c r="D446" s="2" t="s">
        <v>19</v>
      </c>
      <c r="E446" s="2" t="s">
        <v>113</v>
      </c>
      <c r="F446" s="2" t="str">
        <f>"2170721513 "</f>
        <v xml:space="preserve">2170721513 </v>
      </c>
      <c r="G446" s="2" t="str">
        <f t="shared" ref="G446:G459" si="15">"ON1"</f>
        <v>ON1</v>
      </c>
      <c r="H446" s="2" t="s">
        <v>21</v>
      </c>
      <c r="I446" s="2" t="s">
        <v>114</v>
      </c>
      <c r="J446" s="2" t="str">
        <f>""</f>
        <v/>
      </c>
      <c r="K446" s="2" t="str">
        <f>"PFES1162729987_0001"</f>
        <v>PFES1162729987_0001</v>
      </c>
      <c r="L446" s="2">
        <v>1</v>
      </c>
      <c r="M446" s="2">
        <v>1</v>
      </c>
    </row>
    <row r="447" spans="1:13">
      <c r="A447" s="6">
        <v>43837</v>
      </c>
      <c r="B447" s="7">
        <v>0.50486111111111109</v>
      </c>
      <c r="C447" s="2" t="str">
        <f>"FES1162729921"</f>
        <v>FES1162729921</v>
      </c>
      <c r="D447" s="2" t="s">
        <v>19</v>
      </c>
      <c r="E447" s="2" t="s">
        <v>143</v>
      </c>
      <c r="F447" s="2" t="str">
        <f>"2170719957 "</f>
        <v xml:space="preserve">2170719957 </v>
      </c>
      <c r="G447" s="2" t="str">
        <f t="shared" si="15"/>
        <v>ON1</v>
      </c>
      <c r="H447" s="2" t="s">
        <v>21</v>
      </c>
      <c r="I447" s="2" t="s">
        <v>137</v>
      </c>
      <c r="J447" s="2" t="str">
        <f>""</f>
        <v/>
      </c>
      <c r="K447" s="2" t="str">
        <f>"PFES1162729921_0001"</f>
        <v>PFES1162729921_0001</v>
      </c>
      <c r="L447" s="2">
        <v>1</v>
      </c>
      <c r="M447" s="2">
        <v>1</v>
      </c>
    </row>
    <row r="448" spans="1:13">
      <c r="A448" s="6">
        <v>43837</v>
      </c>
      <c r="B448" s="7">
        <v>0.50416666666666665</v>
      </c>
      <c r="C448" s="2" t="str">
        <f>"FES1162729961"</f>
        <v>FES1162729961</v>
      </c>
      <c r="D448" s="2" t="s">
        <v>19</v>
      </c>
      <c r="E448" s="2" t="s">
        <v>159</v>
      </c>
      <c r="F448" s="2" t="str">
        <f>"2170722799 "</f>
        <v xml:space="preserve">2170722799 </v>
      </c>
      <c r="G448" s="2" t="str">
        <f t="shared" si="15"/>
        <v>ON1</v>
      </c>
      <c r="H448" s="2" t="s">
        <v>21</v>
      </c>
      <c r="I448" s="2" t="s">
        <v>83</v>
      </c>
      <c r="J448" s="2" t="str">
        <f>""</f>
        <v/>
      </c>
      <c r="K448" s="2" t="str">
        <f>"PFES1162729961_0001"</f>
        <v>PFES1162729961_0001</v>
      </c>
      <c r="L448" s="2">
        <v>1</v>
      </c>
      <c r="M448" s="2">
        <v>1</v>
      </c>
    </row>
    <row r="449" spans="1:13">
      <c r="A449" s="6">
        <v>43837</v>
      </c>
      <c r="B449" s="7">
        <v>0.50347222222222221</v>
      </c>
      <c r="C449" s="2" t="str">
        <f>"FES1162729950"</f>
        <v>FES1162729950</v>
      </c>
      <c r="D449" s="2" t="s">
        <v>19</v>
      </c>
      <c r="E449" s="2" t="s">
        <v>44</v>
      </c>
      <c r="F449" s="2" t="str">
        <f>"2170722788 "</f>
        <v xml:space="preserve">2170722788 </v>
      </c>
      <c r="G449" s="2" t="str">
        <f t="shared" si="15"/>
        <v>ON1</v>
      </c>
      <c r="H449" s="2" t="s">
        <v>21</v>
      </c>
      <c r="I449" s="2" t="s">
        <v>249</v>
      </c>
      <c r="J449" s="2" t="str">
        <f>""</f>
        <v/>
      </c>
      <c r="K449" s="2" t="str">
        <f>"PFES1162729950_0001"</f>
        <v>PFES1162729950_0001</v>
      </c>
      <c r="L449" s="2">
        <v>1</v>
      </c>
      <c r="M449" s="2">
        <v>1</v>
      </c>
    </row>
    <row r="450" spans="1:13">
      <c r="A450" s="6">
        <v>43837</v>
      </c>
      <c r="B450" s="7">
        <v>0.50208333333333333</v>
      </c>
      <c r="C450" s="2" t="str">
        <f>"FES1162729802"</f>
        <v>FES1162729802</v>
      </c>
      <c r="D450" s="2" t="s">
        <v>19</v>
      </c>
      <c r="E450" s="2" t="s">
        <v>382</v>
      </c>
      <c r="F450" s="2" t="str">
        <f>"2170720010 "</f>
        <v xml:space="preserve">2170720010 </v>
      </c>
      <c r="G450" s="2" t="str">
        <f t="shared" si="15"/>
        <v>ON1</v>
      </c>
      <c r="H450" s="2" t="s">
        <v>21</v>
      </c>
      <c r="I450" s="2" t="s">
        <v>334</v>
      </c>
      <c r="J450" s="2" t="str">
        <f>""</f>
        <v/>
      </c>
      <c r="K450" s="2" t="str">
        <f>"PFES1162729802_0001"</f>
        <v>PFES1162729802_0001</v>
      </c>
      <c r="L450" s="2">
        <v>1</v>
      </c>
      <c r="M450" s="2">
        <v>1</v>
      </c>
    </row>
    <row r="451" spans="1:13">
      <c r="A451" s="6">
        <v>43837</v>
      </c>
      <c r="B451" s="7">
        <v>0.50069444444444444</v>
      </c>
      <c r="C451" s="2" t="str">
        <f>"FES1162729949"</f>
        <v>FES1162729949</v>
      </c>
      <c r="D451" s="2" t="s">
        <v>19</v>
      </c>
      <c r="E451" s="2" t="s">
        <v>44</v>
      </c>
      <c r="F451" s="2" t="str">
        <f>"2170722786 "</f>
        <v xml:space="preserve">2170722786 </v>
      </c>
      <c r="G451" s="2" t="str">
        <f t="shared" si="15"/>
        <v>ON1</v>
      </c>
      <c r="H451" s="2" t="s">
        <v>21</v>
      </c>
      <c r="I451" s="2" t="s">
        <v>249</v>
      </c>
      <c r="J451" s="2" t="str">
        <f>""</f>
        <v/>
      </c>
      <c r="K451" s="2" t="str">
        <f>"PFES1162729949_0001"</f>
        <v>PFES1162729949_0001</v>
      </c>
      <c r="L451" s="2">
        <v>1</v>
      </c>
      <c r="M451" s="2">
        <v>1</v>
      </c>
    </row>
    <row r="452" spans="1:13">
      <c r="A452" s="6">
        <v>43837</v>
      </c>
      <c r="B452" s="7">
        <v>0.5</v>
      </c>
      <c r="C452" s="2" t="str">
        <f>"FES1162730016"</f>
        <v>FES1162730016</v>
      </c>
      <c r="D452" s="2" t="s">
        <v>19</v>
      </c>
      <c r="E452" s="2" t="s">
        <v>383</v>
      </c>
      <c r="F452" s="2" t="str">
        <f>"2170721930 "</f>
        <v xml:space="preserve">2170721930 </v>
      </c>
      <c r="G452" s="2" t="str">
        <f t="shared" si="15"/>
        <v>ON1</v>
      </c>
      <c r="H452" s="2" t="s">
        <v>21</v>
      </c>
      <c r="I452" s="2" t="s">
        <v>148</v>
      </c>
      <c r="J452" s="2" t="str">
        <f>""</f>
        <v/>
      </c>
      <c r="K452" s="2" t="str">
        <f>"PFES1162730016_0001"</f>
        <v>PFES1162730016_0001</v>
      </c>
      <c r="L452" s="2">
        <v>1</v>
      </c>
      <c r="M452" s="2">
        <v>1</v>
      </c>
    </row>
    <row r="453" spans="1:13">
      <c r="A453" s="6">
        <v>43837</v>
      </c>
      <c r="B453" s="7">
        <v>0.4993055555555555</v>
      </c>
      <c r="C453" s="2" t="str">
        <f>"FES1162730018"</f>
        <v>FES1162730018</v>
      </c>
      <c r="D453" s="2" t="s">
        <v>19</v>
      </c>
      <c r="E453" s="2" t="s">
        <v>384</v>
      </c>
      <c r="F453" s="2" t="str">
        <f>"2170721940 "</f>
        <v xml:space="preserve">2170721940 </v>
      </c>
      <c r="G453" s="2" t="str">
        <f t="shared" si="15"/>
        <v>ON1</v>
      </c>
      <c r="H453" s="2" t="s">
        <v>21</v>
      </c>
      <c r="I453" s="2" t="s">
        <v>123</v>
      </c>
      <c r="J453" s="2" t="str">
        <f>""</f>
        <v/>
      </c>
      <c r="K453" s="2" t="str">
        <f>"PFES1162730018_0001"</f>
        <v>PFES1162730018_0001</v>
      </c>
      <c r="L453" s="2">
        <v>1</v>
      </c>
      <c r="M453" s="2">
        <v>1</v>
      </c>
    </row>
    <row r="454" spans="1:13">
      <c r="A454" s="6">
        <v>43837</v>
      </c>
      <c r="B454" s="7">
        <v>0.49791666666666662</v>
      </c>
      <c r="C454" s="2" t="str">
        <f>"FES1162729948"</f>
        <v>FES1162729948</v>
      </c>
      <c r="D454" s="2" t="s">
        <v>19</v>
      </c>
      <c r="E454" s="2" t="s">
        <v>44</v>
      </c>
      <c r="F454" s="2" t="str">
        <f>"2170722785 "</f>
        <v xml:space="preserve">2170722785 </v>
      </c>
      <c r="G454" s="2" t="str">
        <f t="shared" si="15"/>
        <v>ON1</v>
      </c>
      <c r="H454" s="2" t="s">
        <v>21</v>
      </c>
      <c r="I454" s="2" t="s">
        <v>249</v>
      </c>
      <c r="J454" s="2" t="str">
        <f>""</f>
        <v/>
      </c>
      <c r="K454" s="2" t="str">
        <f>"PFES1162729948_0001"</f>
        <v>PFES1162729948_0001</v>
      </c>
      <c r="L454" s="2">
        <v>1</v>
      </c>
      <c r="M454" s="2">
        <v>1</v>
      </c>
    </row>
    <row r="455" spans="1:13">
      <c r="A455" s="6">
        <v>43837</v>
      </c>
      <c r="B455" s="7">
        <v>0.49722222222222223</v>
      </c>
      <c r="C455" s="2" t="str">
        <f>"FES1162730038"</f>
        <v>FES1162730038</v>
      </c>
      <c r="D455" s="2" t="s">
        <v>19</v>
      </c>
      <c r="E455" s="2" t="s">
        <v>199</v>
      </c>
      <c r="F455" s="2" t="str">
        <f>"2170722050 "</f>
        <v xml:space="preserve">2170722050 </v>
      </c>
      <c r="G455" s="2" t="str">
        <f t="shared" si="15"/>
        <v>ON1</v>
      </c>
      <c r="H455" s="2" t="s">
        <v>21</v>
      </c>
      <c r="I455" s="2" t="s">
        <v>200</v>
      </c>
      <c r="J455" s="2" t="str">
        <f>""</f>
        <v/>
      </c>
      <c r="K455" s="2" t="str">
        <f>"PFES1162730038_0001"</f>
        <v>PFES1162730038_0001</v>
      </c>
      <c r="L455" s="2">
        <v>1</v>
      </c>
      <c r="M455" s="2">
        <v>1</v>
      </c>
    </row>
    <row r="456" spans="1:13">
      <c r="A456" s="6">
        <v>43837</v>
      </c>
      <c r="B456" s="7">
        <v>0.49652777777777773</v>
      </c>
      <c r="C456" s="2" t="str">
        <f>"FES1162730024"</f>
        <v>FES1162730024</v>
      </c>
      <c r="D456" s="2" t="s">
        <v>19</v>
      </c>
      <c r="E456" s="2" t="s">
        <v>385</v>
      </c>
      <c r="F456" s="2" t="str">
        <f>"2170721959 "</f>
        <v xml:space="preserve">2170721959 </v>
      </c>
      <c r="G456" s="2" t="str">
        <f t="shared" si="15"/>
        <v>ON1</v>
      </c>
      <c r="H456" s="2" t="s">
        <v>21</v>
      </c>
      <c r="I456" s="2" t="s">
        <v>386</v>
      </c>
      <c r="J456" s="2" t="str">
        <f>""</f>
        <v/>
      </c>
      <c r="K456" s="2" t="str">
        <f>"PFES1162730024_0001"</f>
        <v>PFES1162730024_0001</v>
      </c>
      <c r="L456" s="2">
        <v>1</v>
      </c>
      <c r="M456" s="2">
        <v>1</v>
      </c>
    </row>
    <row r="457" spans="1:13">
      <c r="A457" s="6">
        <v>43837</v>
      </c>
      <c r="B457" s="7">
        <v>0.49513888888888885</v>
      </c>
      <c r="C457" s="2" t="str">
        <f>"FES1162729927"</f>
        <v>FES1162729927</v>
      </c>
      <c r="D457" s="2" t="s">
        <v>19</v>
      </c>
      <c r="E457" s="2" t="s">
        <v>153</v>
      </c>
      <c r="F457" s="2" t="str">
        <f>"2170722530 "</f>
        <v xml:space="preserve">2170722530 </v>
      </c>
      <c r="G457" s="2" t="str">
        <f t="shared" si="15"/>
        <v>ON1</v>
      </c>
      <c r="H457" s="2" t="s">
        <v>21</v>
      </c>
      <c r="I457" s="2" t="s">
        <v>146</v>
      </c>
      <c r="J457" s="2" t="str">
        <f>""</f>
        <v/>
      </c>
      <c r="K457" s="2" t="str">
        <f>"PFES1162729927_0001"</f>
        <v>PFES1162729927_0001</v>
      </c>
      <c r="L457" s="2">
        <v>1</v>
      </c>
      <c r="M457" s="2">
        <v>1</v>
      </c>
    </row>
    <row r="458" spans="1:13">
      <c r="A458" s="6">
        <v>43837</v>
      </c>
      <c r="B458" s="7">
        <v>0.49444444444444446</v>
      </c>
      <c r="C458" s="2" t="str">
        <f>"FES1162730008"</f>
        <v>FES1162730008</v>
      </c>
      <c r="D458" s="2" t="s">
        <v>19</v>
      </c>
      <c r="E458" s="2" t="s">
        <v>387</v>
      </c>
      <c r="F458" s="2" t="str">
        <f>"2170721829 "</f>
        <v xml:space="preserve">2170721829 </v>
      </c>
      <c r="G458" s="2" t="str">
        <f t="shared" si="15"/>
        <v>ON1</v>
      </c>
      <c r="H458" s="2" t="s">
        <v>21</v>
      </c>
      <c r="I458" s="2" t="s">
        <v>202</v>
      </c>
      <c r="J458" s="2" t="str">
        <f>""</f>
        <v/>
      </c>
      <c r="K458" s="2" t="str">
        <f>"PFES1162730008_0001"</f>
        <v>PFES1162730008_0001</v>
      </c>
      <c r="L458" s="2">
        <v>1</v>
      </c>
      <c r="M458" s="2">
        <v>1</v>
      </c>
    </row>
    <row r="459" spans="1:13">
      <c r="A459" s="6">
        <v>43837</v>
      </c>
      <c r="B459" s="7">
        <v>0.44930555555555557</v>
      </c>
      <c r="C459" s="2" t="str">
        <f>"FES1162729915"</f>
        <v>FES1162729915</v>
      </c>
      <c r="D459" s="2" t="s">
        <v>19</v>
      </c>
      <c r="E459" s="2" t="s">
        <v>388</v>
      </c>
      <c r="F459" s="2" t="str">
        <f>"2170722757 "</f>
        <v xml:space="preserve">2170722757 </v>
      </c>
      <c r="G459" s="2" t="str">
        <f t="shared" si="15"/>
        <v>ON1</v>
      </c>
      <c r="H459" s="2" t="s">
        <v>21</v>
      </c>
      <c r="I459" s="2" t="s">
        <v>389</v>
      </c>
      <c r="J459" s="2" t="str">
        <f>""</f>
        <v/>
      </c>
      <c r="K459" s="2" t="str">
        <f>"PFES1162729915_0001"</f>
        <v>PFES1162729915_0001</v>
      </c>
      <c r="L459" s="2">
        <v>1</v>
      </c>
      <c r="M459" s="2">
        <v>1</v>
      </c>
    </row>
    <row r="460" spans="1:13">
      <c r="A460" s="6">
        <v>43837</v>
      </c>
      <c r="B460" s="7">
        <v>0.43124999999999997</v>
      </c>
      <c r="C460" s="2" t="str">
        <f>"FES1162729934"</f>
        <v>FES1162729934</v>
      </c>
      <c r="D460" s="2" t="s">
        <v>19</v>
      </c>
      <c r="E460" s="2" t="s">
        <v>390</v>
      </c>
      <c r="F460" s="2" t="str">
        <f>"2170722772 "</f>
        <v xml:space="preserve">2170722772 </v>
      </c>
      <c r="G460" s="2" t="str">
        <f>"SDX"</f>
        <v>SDX</v>
      </c>
      <c r="H460" s="2" t="s">
        <v>21</v>
      </c>
      <c r="I460" s="2" t="s">
        <v>38</v>
      </c>
      <c r="J460" s="2" t="str">
        <f>"SDX"</f>
        <v>SDX</v>
      </c>
      <c r="K460" s="2" t="str">
        <f>"PFES1162729934_0001"</f>
        <v>PFES1162729934_0001</v>
      </c>
      <c r="L460" s="2">
        <v>1</v>
      </c>
      <c r="M460" s="2">
        <v>1</v>
      </c>
    </row>
    <row r="461" spans="1:13">
      <c r="A461" s="6">
        <v>43838</v>
      </c>
      <c r="B461" s="7">
        <v>0.6875</v>
      </c>
      <c r="C461" s="2" t="str">
        <f>"FES1162730397"</f>
        <v>FES1162730397</v>
      </c>
      <c r="D461" s="2" t="s">
        <v>19</v>
      </c>
      <c r="E461" s="2" t="s">
        <v>391</v>
      </c>
      <c r="F461" s="2" t="str">
        <f>"217072291 "</f>
        <v xml:space="preserve">217072291 </v>
      </c>
      <c r="G461" s="2" t="str">
        <f>"ON1"</f>
        <v>ON1</v>
      </c>
      <c r="H461" s="2" t="s">
        <v>21</v>
      </c>
      <c r="I461" s="2" t="s">
        <v>392</v>
      </c>
      <c r="J461" s="2" t="str">
        <f>""</f>
        <v/>
      </c>
      <c r="K461" s="2" t="str">
        <f>"PFES1162730397_0001"</f>
        <v>PFES1162730397_0001</v>
      </c>
      <c r="L461" s="2">
        <v>1</v>
      </c>
      <c r="M461" s="2">
        <v>3</v>
      </c>
    </row>
    <row r="462" spans="1:13">
      <c r="A462" s="6">
        <v>43838</v>
      </c>
      <c r="B462" s="7">
        <v>0.68472222222222223</v>
      </c>
      <c r="C462" s="2" t="str">
        <f>"FES1162730379"</f>
        <v>FES1162730379</v>
      </c>
      <c r="D462" s="2" t="s">
        <v>19</v>
      </c>
      <c r="E462" s="2" t="s">
        <v>142</v>
      </c>
      <c r="F462" s="2" t="str">
        <f>"2170722993 "</f>
        <v xml:space="preserve">2170722993 </v>
      </c>
      <c r="G462" s="2" t="str">
        <f>"ON1"</f>
        <v>ON1</v>
      </c>
      <c r="H462" s="2" t="s">
        <v>21</v>
      </c>
      <c r="I462" s="2" t="s">
        <v>123</v>
      </c>
      <c r="J462" s="2" t="str">
        <f>""</f>
        <v/>
      </c>
      <c r="K462" s="2" t="str">
        <f>"PFES1162730379_0001"</f>
        <v>PFES1162730379_0001</v>
      </c>
      <c r="L462" s="2">
        <v>1</v>
      </c>
      <c r="M462" s="2">
        <v>1</v>
      </c>
    </row>
    <row r="463" spans="1:13">
      <c r="A463" s="6">
        <v>43838</v>
      </c>
      <c r="B463" s="7">
        <v>0.68402777777777779</v>
      </c>
      <c r="C463" s="2" t="str">
        <f>"FES1162730432"</f>
        <v>FES1162730432</v>
      </c>
      <c r="D463" s="2" t="s">
        <v>19</v>
      </c>
      <c r="E463" s="2" t="s">
        <v>393</v>
      </c>
      <c r="F463" s="2" t="str">
        <f>"2170723053 "</f>
        <v xml:space="preserve">2170723053 </v>
      </c>
      <c r="G463" s="2" t="str">
        <f>"ON1"</f>
        <v>ON1</v>
      </c>
      <c r="H463" s="2" t="s">
        <v>21</v>
      </c>
      <c r="I463" s="2" t="s">
        <v>394</v>
      </c>
      <c r="J463" s="2" t="str">
        <f>""</f>
        <v/>
      </c>
      <c r="K463" s="2" t="str">
        <f>"PFES1162730432_0001"</f>
        <v>PFES1162730432_0001</v>
      </c>
      <c r="L463" s="2">
        <v>1</v>
      </c>
      <c r="M463" s="2">
        <v>1</v>
      </c>
    </row>
    <row r="464" spans="1:13">
      <c r="A464" s="6">
        <v>43838</v>
      </c>
      <c r="B464" s="7">
        <v>0.68402777777777779</v>
      </c>
      <c r="C464" s="2" t="str">
        <f>"FES1162730356"</f>
        <v>FES1162730356</v>
      </c>
      <c r="D464" s="2" t="s">
        <v>19</v>
      </c>
      <c r="E464" s="2" t="s">
        <v>147</v>
      </c>
      <c r="F464" s="2" t="str">
        <f>"2170720134 "</f>
        <v xml:space="preserve">2170720134 </v>
      </c>
      <c r="G464" s="2" t="str">
        <f>"ON1"</f>
        <v>ON1</v>
      </c>
      <c r="H464" s="2" t="s">
        <v>21</v>
      </c>
      <c r="I464" s="2" t="s">
        <v>148</v>
      </c>
      <c r="J464" s="2" t="str">
        <f>""</f>
        <v/>
      </c>
      <c r="K464" s="2" t="str">
        <f>"PFES1162730356_0001"</f>
        <v>PFES1162730356_0001</v>
      </c>
      <c r="L464" s="2">
        <v>1</v>
      </c>
      <c r="M464" s="2">
        <v>1</v>
      </c>
    </row>
    <row r="465" spans="1:13">
      <c r="A465" s="6">
        <v>43838</v>
      </c>
      <c r="B465" s="7">
        <v>0.68402777777777779</v>
      </c>
      <c r="C465" s="2" t="str">
        <f>"FES1162730342"</f>
        <v>FES1162730342</v>
      </c>
      <c r="D465" s="2" t="s">
        <v>19</v>
      </c>
      <c r="E465" s="2" t="s">
        <v>105</v>
      </c>
      <c r="F465" s="2" t="str">
        <f>"21707198797 "</f>
        <v xml:space="preserve">21707198797 </v>
      </c>
      <c r="G465" s="2" t="str">
        <f>"DBC"</f>
        <v>DBC</v>
      </c>
      <c r="H465" s="2" t="s">
        <v>21</v>
      </c>
      <c r="I465" s="2" t="s">
        <v>106</v>
      </c>
      <c r="J465" s="2" t="str">
        <f>""</f>
        <v/>
      </c>
      <c r="K465" s="2" t="str">
        <f>"PFES1162730342_0001"</f>
        <v>PFES1162730342_0001</v>
      </c>
      <c r="L465" s="2">
        <v>1</v>
      </c>
      <c r="M465" s="2">
        <v>27</v>
      </c>
    </row>
    <row r="466" spans="1:13">
      <c r="A466" s="6">
        <v>43838</v>
      </c>
      <c r="B466" s="7">
        <v>0.68333333333333324</v>
      </c>
      <c r="C466" s="2" t="str">
        <f>"FES1162730377"</f>
        <v>FES1162730377</v>
      </c>
      <c r="D466" s="2" t="s">
        <v>19</v>
      </c>
      <c r="E466" s="2" t="s">
        <v>395</v>
      </c>
      <c r="F466" s="2" t="str">
        <f>"2170722990 "</f>
        <v xml:space="preserve">2170722990 </v>
      </c>
      <c r="G466" s="2" t="str">
        <f t="shared" ref="G466:G502" si="16">"ON1"</f>
        <v>ON1</v>
      </c>
      <c r="H466" s="2" t="s">
        <v>21</v>
      </c>
      <c r="I466" s="2" t="s">
        <v>396</v>
      </c>
      <c r="J466" s="2" t="str">
        <f>""</f>
        <v/>
      </c>
      <c r="K466" s="2" t="str">
        <f>"PFES1162730377_0001"</f>
        <v>PFES1162730377_0001</v>
      </c>
      <c r="L466" s="2">
        <v>1</v>
      </c>
      <c r="M466" s="2">
        <v>1</v>
      </c>
    </row>
    <row r="467" spans="1:13">
      <c r="A467" s="6">
        <v>43838</v>
      </c>
      <c r="B467" s="7">
        <v>0.68263888888888891</v>
      </c>
      <c r="C467" s="2" t="str">
        <f>"FES1162730401"</f>
        <v>FES1162730401</v>
      </c>
      <c r="D467" s="2" t="s">
        <v>19</v>
      </c>
      <c r="E467" s="2" t="s">
        <v>134</v>
      </c>
      <c r="F467" s="2" t="str">
        <f>"2170723023 "</f>
        <v xml:space="preserve">2170723023 </v>
      </c>
      <c r="G467" s="2" t="str">
        <f t="shared" si="16"/>
        <v>ON1</v>
      </c>
      <c r="H467" s="2" t="s">
        <v>21</v>
      </c>
      <c r="I467" s="2" t="s">
        <v>135</v>
      </c>
      <c r="J467" s="2" t="str">
        <f>""</f>
        <v/>
      </c>
      <c r="K467" s="2" t="str">
        <f>"PFES1162730401_0001"</f>
        <v>PFES1162730401_0001</v>
      </c>
      <c r="L467" s="2">
        <v>1</v>
      </c>
      <c r="M467" s="2">
        <v>1</v>
      </c>
    </row>
    <row r="468" spans="1:13">
      <c r="A468" s="6">
        <v>43838</v>
      </c>
      <c r="B468" s="7">
        <v>0.68194444444444446</v>
      </c>
      <c r="C468" s="2" t="str">
        <f>"FES1162730360"</f>
        <v>FES1162730360</v>
      </c>
      <c r="D468" s="2" t="s">
        <v>19</v>
      </c>
      <c r="E468" s="2" t="s">
        <v>397</v>
      </c>
      <c r="F468" s="2" t="str">
        <f>"2170722968 "</f>
        <v xml:space="preserve">2170722968 </v>
      </c>
      <c r="G468" s="2" t="str">
        <f t="shared" si="16"/>
        <v>ON1</v>
      </c>
      <c r="H468" s="2" t="s">
        <v>21</v>
      </c>
      <c r="I468" s="2" t="s">
        <v>204</v>
      </c>
      <c r="J468" s="2" t="str">
        <f>""</f>
        <v/>
      </c>
      <c r="K468" s="2" t="str">
        <f>"PFES1162730360_0001"</f>
        <v>PFES1162730360_0001</v>
      </c>
      <c r="L468" s="2">
        <v>1</v>
      </c>
      <c r="M468" s="2">
        <v>1</v>
      </c>
    </row>
    <row r="469" spans="1:13">
      <c r="A469" s="6">
        <v>43838</v>
      </c>
      <c r="B469" s="7">
        <v>0.68194444444444446</v>
      </c>
      <c r="C469" s="2" t="str">
        <f>"FES1162730399"</f>
        <v>FES1162730399</v>
      </c>
      <c r="D469" s="2" t="s">
        <v>19</v>
      </c>
      <c r="E469" s="2" t="s">
        <v>168</v>
      </c>
      <c r="F469" s="2" t="str">
        <f>"2170723018 "</f>
        <v xml:space="preserve">2170723018 </v>
      </c>
      <c r="G469" s="2" t="str">
        <f t="shared" si="16"/>
        <v>ON1</v>
      </c>
      <c r="H469" s="2" t="s">
        <v>21</v>
      </c>
      <c r="I469" s="2" t="s">
        <v>169</v>
      </c>
      <c r="J469" s="2" t="str">
        <f>""</f>
        <v/>
      </c>
      <c r="K469" s="2" t="str">
        <f>"PFES1162730399_0001"</f>
        <v>PFES1162730399_0001</v>
      </c>
      <c r="L469" s="2">
        <v>1</v>
      </c>
      <c r="M469" s="2">
        <v>1</v>
      </c>
    </row>
    <row r="470" spans="1:13">
      <c r="A470" s="6">
        <v>43838</v>
      </c>
      <c r="B470" s="7">
        <v>0.68194444444444446</v>
      </c>
      <c r="C470" s="2" t="str">
        <f>"FES1162730440"</f>
        <v>FES1162730440</v>
      </c>
      <c r="D470" s="2" t="s">
        <v>19</v>
      </c>
      <c r="E470" s="2" t="s">
        <v>64</v>
      </c>
      <c r="F470" s="2" t="str">
        <f>"2170723067 "</f>
        <v xml:space="preserve">2170723067 </v>
      </c>
      <c r="G470" s="2" t="str">
        <f t="shared" si="16"/>
        <v>ON1</v>
      </c>
      <c r="H470" s="2" t="s">
        <v>21</v>
      </c>
      <c r="I470" s="2" t="s">
        <v>60</v>
      </c>
      <c r="J470" s="2" t="str">
        <f>""</f>
        <v/>
      </c>
      <c r="K470" s="2" t="str">
        <f>"PFES1162730440_0001"</f>
        <v>PFES1162730440_0001</v>
      </c>
      <c r="L470" s="2">
        <v>1</v>
      </c>
      <c r="M470" s="2">
        <v>1</v>
      </c>
    </row>
    <row r="471" spans="1:13">
      <c r="A471" s="6">
        <v>43838</v>
      </c>
      <c r="B471" s="7">
        <v>0.68194444444444446</v>
      </c>
      <c r="C471" s="2" t="str">
        <f>"FES1162730410"</f>
        <v>FES1162730410</v>
      </c>
      <c r="D471" s="2" t="s">
        <v>19</v>
      </c>
      <c r="E471" s="2" t="s">
        <v>352</v>
      </c>
      <c r="F471" s="2" t="str">
        <f>"2170723053 "</f>
        <v xml:space="preserve">2170723053 </v>
      </c>
      <c r="G471" s="2" t="str">
        <f t="shared" si="16"/>
        <v>ON1</v>
      </c>
      <c r="H471" s="2" t="s">
        <v>21</v>
      </c>
      <c r="I471" s="2" t="s">
        <v>114</v>
      </c>
      <c r="J471" s="2" t="str">
        <f>""</f>
        <v/>
      </c>
      <c r="K471" s="2" t="str">
        <f>"PFES1162730410_0001"</f>
        <v>PFES1162730410_0001</v>
      </c>
      <c r="L471" s="2">
        <v>1</v>
      </c>
      <c r="M471" s="2">
        <v>1</v>
      </c>
    </row>
    <row r="472" spans="1:13">
      <c r="A472" s="6">
        <v>43838</v>
      </c>
      <c r="B472" s="7">
        <v>0.68125000000000002</v>
      </c>
      <c r="C472" s="2" t="str">
        <f>"FES1162730441"</f>
        <v>FES1162730441</v>
      </c>
      <c r="D472" s="2" t="s">
        <v>19</v>
      </c>
      <c r="E472" s="2" t="s">
        <v>64</v>
      </c>
      <c r="F472" s="2" t="str">
        <f>"2170723068 "</f>
        <v xml:space="preserve">2170723068 </v>
      </c>
      <c r="G472" s="2" t="str">
        <f t="shared" si="16"/>
        <v>ON1</v>
      </c>
      <c r="H472" s="2" t="s">
        <v>21</v>
      </c>
      <c r="I472" s="2" t="s">
        <v>60</v>
      </c>
      <c r="J472" s="2" t="str">
        <f>""</f>
        <v/>
      </c>
      <c r="K472" s="2" t="str">
        <f>"PFES1162730441_0001"</f>
        <v>PFES1162730441_0001</v>
      </c>
      <c r="L472" s="2">
        <v>1</v>
      </c>
      <c r="M472" s="2">
        <v>1</v>
      </c>
    </row>
    <row r="473" spans="1:13">
      <c r="A473" s="6">
        <v>43838</v>
      </c>
      <c r="B473" s="7">
        <v>0.68125000000000002</v>
      </c>
      <c r="C473" s="2" t="str">
        <f>"FES1162730210"</f>
        <v>FES1162730210</v>
      </c>
      <c r="D473" s="2" t="s">
        <v>19</v>
      </c>
      <c r="E473" s="2" t="s">
        <v>398</v>
      </c>
      <c r="F473" s="2" t="str">
        <f>"2170721401 "</f>
        <v xml:space="preserve">2170721401 </v>
      </c>
      <c r="G473" s="2" t="str">
        <f t="shared" si="16"/>
        <v>ON1</v>
      </c>
      <c r="H473" s="2" t="s">
        <v>21</v>
      </c>
      <c r="I473" s="2" t="s">
        <v>399</v>
      </c>
      <c r="J473" s="2" t="str">
        <f>""</f>
        <v/>
      </c>
      <c r="K473" s="2" t="str">
        <f>"PFES1162730210_0001"</f>
        <v>PFES1162730210_0001</v>
      </c>
      <c r="L473" s="2">
        <v>1</v>
      </c>
      <c r="M473" s="2">
        <v>1</v>
      </c>
    </row>
    <row r="474" spans="1:13">
      <c r="A474" s="6">
        <v>43838</v>
      </c>
      <c r="B474" s="7">
        <v>0.68125000000000002</v>
      </c>
      <c r="C474" s="2" t="str">
        <f>"FES1162730236"</f>
        <v>FES1162730236</v>
      </c>
      <c r="D474" s="2" t="s">
        <v>19</v>
      </c>
      <c r="E474" s="2" t="s">
        <v>84</v>
      </c>
      <c r="F474" s="2" t="str">
        <f>"2170721597 "</f>
        <v xml:space="preserve">2170721597 </v>
      </c>
      <c r="G474" s="2" t="str">
        <f t="shared" si="16"/>
        <v>ON1</v>
      </c>
      <c r="H474" s="2" t="s">
        <v>21</v>
      </c>
      <c r="I474" s="2" t="s">
        <v>85</v>
      </c>
      <c r="J474" s="2" t="str">
        <f>""</f>
        <v/>
      </c>
      <c r="K474" s="2" t="str">
        <f>"PFES1162730236_0001"</f>
        <v>PFES1162730236_0001</v>
      </c>
      <c r="L474" s="2">
        <v>1</v>
      </c>
      <c r="M474" s="2">
        <v>1</v>
      </c>
    </row>
    <row r="475" spans="1:13">
      <c r="A475" s="6">
        <v>43838</v>
      </c>
      <c r="B475" s="7">
        <v>0.68125000000000002</v>
      </c>
      <c r="C475" s="2" t="str">
        <f>"FES1162730407"</f>
        <v>FES1162730407</v>
      </c>
      <c r="D475" s="2" t="s">
        <v>19</v>
      </c>
      <c r="E475" s="2" t="s">
        <v>400</v>
      </c>
      <c r="F475" s="2" t="str">
        <f>"2170723030 "</f>
        <v xml:space="preserve">2170723030 </v>
      </c>
      <c r="G475" s="2" t="str">
        <f t="shared" si="16"/>
        <v>ON1</v>
      </c>
      <c r="H475" s="2" t="s">
        <v>21</v>
      </c>
      <c r="I475" s="2" t="s">
        <v>96</v>
      </c>
      <c r="J475" s="2" t="str">
        <f>""</f>
        <v/>
      </c>
      <c r="K475" s="2" t="str">
        <f>"PFES1162730407_0001"</f>
        <v>PFES1162730407_0001</v>
      </c>
      <c r="L475" s="2">
        <v>1</v>
      </c>
      <c r="M475" s="2">
        <v>1</v>
      </c>
    </row>
    <row r="476" spans="1:13">
      <c r="A476" s="6">
        <v>43838</v>
      </c>
      <c r="B476" s="7">
        <v>0.68055555555555547</v>
      </c>
      <c r="C476" s="2" t="str">
        <f>"FES1162730444"</f>
        <v>FES1162730444</v>
      </c>
      <c r="D476" s="2" t="s">
        <v>19</v>
      </c>
      <c r="E476" s="2" t="s">
        <v>401</v>
      </c>
      <c r="F476" s="2" t="str">
        <f>"2170723075 "</f>
        <v xml:space="preserve">2170723075 </v>
      </c>
      <c r="G476" s="2" t="str">
        <f t="shared" si="16"/>
        <v>ON1</v>
      </c>
      <c r="H476" s="2" t="s">
        <v>21</v>
      </c>
      <c r="I476" s="2" t="s">
        <v>230</v>
      </c>
      <c r="J476" s="2" t="str">
        <f>""</f>
        <v/>
      </c>
      <c r="K476" s="2" t="str">
        <f>"PFES1162730444_0001"</f>
        <v>PFES1162730444_0001</v>
      </c>
      <c r="L476" s="2">
        <v>1</v>
      </c>
      <c r="M476" s="2">
        <v>1</v>
      </c>
    </row>
    <row r="477" spans="1:13">
      <c r="A477" s="6">
        <v>43838</v>
      </c>
      <c r="B477" s="7">
        <v>0.68055555555555547</v>
      </c>
      <c r="C477" s="2" t="str">
        <f>"FES1162730327"</f>
        <v>FES1162730327</v>
      </c>
      <c r="D477" s="2" t="s">
        <v>19</v>
      </c>
      <c r="E477" s="2" t="s">
        <v>81</v>
      </c>
      <c r="F477" s="2" t="str">
        <f>"2170721958 "</f>
        <v xml:space="preserve">2170721958 </v>
      </c>
      <c r="G477" s="2" t="str">
        <f t="shared" si="16"/>
        <v>ON1</v>
      </c>
      <c r="H477" s="2" t="s">
        <v>21</v>
      </c>
      <c r="I477" s="2" t="s">
        <v>34</v>
      </c>
      <c r="J477" s="2" t="str">
        <f>""</f>
        <v/>
      </c>
      <c r="K477" s="2" t="str">
        <f>"PFES1162730327_0001"</f>
        <v>PFES1162730327_0001</v>
      </c>
      <c r="L477" s="2">
        <v>1</v>
      </c>
      <c r="M477" s="2">
        <v>1</v>
      </c>
    </row>
    <row r="478" spans="1:13">
      <c r="A478" s="6">
        <v>43838</v>
      </c>
      <c r="B478" s="7">
        <v>0.68055555555555547</v>
      </c>
      <c r="C478" s="2" t="str">
        <f>"FES1162730381"</f>
        <v>FES1162730381</v>
      </c>
      <c r="D478" s="2" t="s">
        <v>19</v>
      </c>
      <c r="E478" s="2" t="s">
        <v>142</v>
      </c>
      <c r="F478" s="2" t="str">
        <f>"2170722994 "</f>
        <v xml:space="preserve">2170722994 </v>
      </c>
      <c r="G478" s="2" t="str">
        <f t="shared" si="16"/>
        <v>ON1</v>
      </c>
      <c r="H478" s="2" t="s">
        <v>21</v>
      </c>
      <c r="I478" s="2" t="s">
        <v>123</v>
      </c>
      <c r="J478" s="2" t="str">
        <f>""</f>
        <v/>
      </c>
      <c r="K478" s="2" t="str">
        <f>"PFES1162730381_0001"</f>
        <v>PFES1162730381_0001</v>
      </c>
      <c r="L478" s="2">
        <v>1</v>
      </c>
      <c r="M478" s="2">
        <v>1</v>
      </c>
    </row>
    <row r="479" spans="1:13">
      <c r="A479" s="6">
        <v>43838</v>
      </c>
      <c r="B479" s="7">
        <v>0.67986111111111114</v>
      </c>
      <c r="C479" s="2" t="str">
        <f>"FES1162730197"</f>
        <v>FES1162730197</v>
      </c>
      <c r="D479" s="2" t="s">
        <v>19</v>
      </c>
      <c r="E479" s="2" t="s">
        <v>287</v>
      </c>
      <c r="F479" s="2" t="str">
        <f>"2170722118 "</f>
        <v xml:space="preserve">2170722118 </v>
      </c>
      <c r="G479" s="2" t="str">
        <f t="shared" si="16"/>
        <v>ON1</v>
      </c>
      <c r="H479" s="2" t="s">
        <v>21</v>
      </c>
      <c r="I479" s="2" t="s">
        <v>288</v>
      </c>
      <c r="J479" s="2" t="str">
        <f>""</f>
        <v/>
      </c>
      <c r="K479" s="2" t="str">
        <f>"PFES1162730197_0001"</f>
        <v>PFES1162730197_0001</v>
      </c>
      <c r="L479" s="2">
        <v>1</v>
      </c>
      <c r="M479" s="2">
        <v>1</v>
      </c>
    </row>
    <row r="480" spans="1:13">
      <c r="A480" s="6">
        <v>43838</v>
      </c>
      <c r="B480" s="7">
        <v>0.67986111111111114</v>
      </c>
      <c r="C480" s="2" t="str">
        <f>"FES1162730226"</f>
        <v>FES1162730226</v>
      </c>
      <c r="D480" s="2" t="s">
        <v>19</v>
      </c>
      <c r="E480" s="2" t="s">
        <v>402</v>
      </c>
      <c r="F480" s="2" t="str">
        <f>"2170719818 "</f>
        <v xml:space="preserve">2170719818 </v>
      </c>
      <c r="G480" s="2" t="str">
        <f t="shared" si="16"/>
        <v>ON1</v>
      </c>
      <c r="H480" s="2" t="s">
        <v>21</v>
      </c>
      <c r="I480" s="2" t="s">
        <v>403</v>
      </c>
      <c r="J480" s="2" t="str">
        <f>""</f>
        <v/>
      </c>
      <c r="K480" s="2" t="str">
        <f>"PFES1162730226_0001"</f>
        <v>PFES1162730226_0001</v>
      </c>
      <c r="L480" s="2">
        <v>1</v>
      </c>
      <c r="M480" s="2">
        <v>2</v>
      </c>
    </row>
    <row r="481" spans="1:13">
      <c r="A481" s="6">
        <v>43838</v>
      </c>
      <c r="B481" s="7">
        <v>0.67986111111111114</v>
      </c>
      <c r="C481" s="2" t="str">
        <f>"FES1162730353"</f>
        <v>FES1162730353</v>
      </c>
      <c r="D481" s="2" t="s">
        <v>19</v>
      </c>
      <c r="E481" s="2" t="s">
        <v>147</v>
      </c>
      <c r="F481" s="2" t="str">
        <f>"2170722820 "</f>
        <v xml:space="preserve">2170722820 </v>
      </c>
      <c r="G481" s="2" t="str">
        <f t="shared" si="16"/>
        <v>ON1</v>
      </c>
      <c r="H481" s="2" t="s">
        <v>21</v>
      </c>
      <c r="I481" s="2" t="s">
        <v>148</v>
      </c>
      <c r="J481" s="2" t="str">
        <f>""</f>
        <v/>
      </c>
      <c r="K481" s="2" t="str">
        <f>"PFES1162730353_0001"</f>
        <v>PFES1162730353_0001</v>
      </c>
      <c r="L481" s="2">
        <v>1</v>
      </c>
      <c r="M481" s="2">
        <v>2</v>
      </c>
    </row>
    <row r="482" spans="1:13">
      <c r="A482" s="6">
        <v>43838</v>
      </c>
      <c r="B482" s="7">
        <v>0.6791666666666667</v>
      </c>
      <c r="C482" s="2" t="str">
        <f>"FES1162730433"</f>
        <v>FES1162730433</v>
      </c>
      <c r="D482" s="2" t="s">
        <v>19</v>
      </c>
      <c r="E482" s="2" t="s">
        <v>404</v>
      </c>
      <c r="F482" s="2" t="str">
        <f>"217072305 "</f>
        <v xml:space="preserve">217072305 </v>
      </c>
      <c r="G482" s="2" t="str">
        <f t="shared" si="16"/>
        <v>ON1</v>
      </c>
      <c r="H482" s="2" t="s">
        <v>21</v>
      </c>
      <c r="I482" s="2" t="s">
        <v>405</v>
      </c>
      <c r="J482" s="2" t="str">
        <f>""</f>
        <v/>
      </c>
      <c r="K482" s="2" t="str">
        <f>"PFES1162730433_0001"</f>
        <v>PFES1162730433_0001</v>
      </c>
      <c r="L482" s="2">
        <v>1</v>
      </c>
      <c r="M482" s="2">
        <v>2</v>
      </c>
    </row>
    <row r="483" spans="1:13">
      <c r="A483" s="6">
        <v>43838</v>
      </c>
      <c r="B483" s="7">
        <v>0.6791666666666667</v>
      </c>
      <c r="C483" s="2" t="str">
        <f>"FES1162730393"</f>
        <v>FES1162730393</v>
      </c>
      <c r="D483" s="2" t="s">
        <v>19</v>
      </c>
      <c r="E483" s="2" t="s">
        <v>54</v>
      </c>
      <c r="F483" s="2" t="str">
        <f>"2170723013 "</f>
        <v xml:space="preserve">2170723013 </v>
      </c>
      <c r="G483" s="2" t="str">
        <f t="shared" si="16"/>
        <v>ON1</v>
      </c>
      <c r="H483" s="2" t="s">
        <v>21</v>
      </c>
      <c r="I483" s="2" t="s">
        <v>31</v>
      </c>
      <c r="J483" s="2" t="str">
        <f>""</f>
        <v/>
      </c>
      <c r="K483" s="2" t="str">
        <f>"PFES1162730393_0001"</f>
        <v>PFES1162730393_0001</v>
      </c>
      <c r="L483" s="2">
        <v>1</v>
      </c>
      <c r="M483" s="2">
        <v>2</v>
      </c>
    </row>
    <row r="484" spans="1:13">
      <c r="A484" s="6">
        <v>43838</v>
      </c>
      <c r="B484" s="7">
        <v>0.6791666666666667</v>
      </c>
      <c r="C484" s="2" t="str">
        <f>"FES1162730369"</f>
        <v>FES1162730369</v>
      </c>
      <c r="D484" s="2" t="s">
        <v>19</v>
      </c>
      <c r="E484" s="2" t="s">
        <v>232</v>
      </c>
      <c r="F484" s="2" t="str">
        <f>"2170722979 "</f>
        <v xml:space="preserve">2170722979 </v>
      </c>
      <c r="G484" s="2" t="str">
        <f t="shared" si="16"/>
        <v>ON1</v>
      </c>
      <c r="H484" s="2" t="s">
        <v>21</v>
      </c>
      <c r="I484" s="2" t="s">
        <v>247</v>
      </c>
      <c r="J484" s="2" t="str">
        <f>""</f>
        <v/>
      </c>
      <c r="K484" s="2" t="str">
        <f>"PFES1162730369_0001"</f>
        <v>PFES1162730369_0001</v>
      </c>
      <c r="L484" s="2">
        <v>1</v>
      </c>
      <c r="M484" s="2">
        <v>2</v>
      </c>
    </row>
    <row r="485" spans="1:13">
      <c r="A485" s="6">
        <v>43838</v>
      </c>
      <c r="B485" s="7">
        <v>0.67847222222222225</v>
      </c>
      <c r="C485" s="2" t="str">
        <f>"FES1162730290"</f>
        <v>FES1162730290</v>
      </c>
      <c r="D485" s="2" t="s">
        <v>19</v>
      </c>
      <c r="E485" s="2" t="s">
        <v>276</v>
      </c>
      <c r="F485" s="2" t="str">
        <f>"217072170 "</f>
        <v xml:space="preserve">217072170 </v>
      </c>
      <c r="G485" s="2" t="str">
        <f t="shared" si="16"/>
        <v>ON1</v>
      </c>
      <c r="H485" s="2" t="s">
        <v>21</v>
      </c>
      <c r="I485" s="2" t="s">
        <v>277</v>
      </c>
      <c r="J485" s="2" t="str">
        <f>""</f>
        <v/>
      </c>
      <c r="K485" s="2" t="str">
        <f>"PFES1162730290_0001"</f>
        <v>PFES1162730290_0001</v>
      </c>
      <c r="L485" s="2">
        <v>1</v>
      </c>
      <c r="M485" s="2">
        <v>3</v>
      </c>
    </row>
    <row r="486" spans="1:13">
      <c r="A486" s="6">
        <v>43838</v>
      </c>
      <c r="B486" s="7">
        <v>0.67847222222222225</v>
      </c>
      <c r="C486" s="2" t="str">
        <f>"FES1162730403"</f>
        <v>FES1162730403</v>
      </c>
      <c r="D486" s="2" t="s">
        <v>19</v>
      </c>
      <c r="E486" s="2" t="s">
        <v>252</v>
      </c>
      <c r="F486" s="2" t="str">
        <f>"2170723027 "</f>
        <v xml:space="preserve">2170723027 </v>
      </c>
      <c r="G486" s="2" t="str">
        <f t="shared" si="16"/>
        <v>ON1</v>
      </c>
      <c r="H486" s="2" t="s">
        <v>21</v>
      </c>
      <c r="I486" s="2" t="s">
        <v>253</v>
      </c>
      <c r="J486" s="2" t="str">
        <f>""</f>
        <v/>
      </c>
      <c r="K486" s="2" t="str">
        <f>"PFES1162730403_0001"</f>
        <v>PFES1162730403_0001</v>
      </c>
      <c r="L486" s="2">
        <v>1</v>
      </c>
      <c r="M486" s="2">
        <v>1</v>
      </c>
    </row>
    <row r="487" spans="1:13">
      <c r="A487" s="6">
        <v>43838</v>
      </c>
      <c r="B487" s="7">
        <v>0.6777777777777777</v>
      </c>
      <c r="C487" s="2" t="str">
        <f>"FES1162730391"</f>
        <v>FES1162730391</v>
      </c>
      <c r="D487" s="2" t="s">
        <v>19</v>
      </c>
      <c r="E487" s="2" t="s">
        <v>151</v>
      </c>
      <c r="F487" s="2" t="str">
        <f>"2170723010 "</f>
        <v xml:space="preserve">2170723010 </v>
      </c>
      <c r="G487" s="2" t="str">
        <f t="shared" si="16"/>
        <v>ON1</v>
      </c>
      <c r="H487" s="2" t="s">
        <v>21</v>
      </c>
      <c r="I487" s="2" t="s">
        <v>152</v>
      </c>
      <c r="J487" s="2" t="str">
        <f>""</f>
        <v/>
      </c>
      <c r="K487" s="2" t="str">
        <f>"PFES1162730391_0001"</f>
        <v>PFES1162730391_0001</v>
      </c>
      <c r="L487" s="2">
        <v>1</v>
      </c>
      <c r="M487" s="2">
        <v>1</v>
      </c>
    </row>
    <row r="488" spans="1:13">
      <c r="A488" s="6">
        <v>43838</v>
      </c>
      <c r="B488" s="7">
        <v>0.6777777777777777</v>
      </c>
      <c r="C488" s="2" t="str">
        <f>"FES1162730414"</f>
        <v>FES1162730414</v>
      </c>
      <c r="D488" s="2" t="s">
        <v>19</v>
      </c>
      <c r="E488" s="2" t="s">
        <v>352</v>
      </c>
      <c r="F488" s="2" t="str">
        <f>"2170722906 "</f>
        <v xml:space="preserve">2170722906 </v>
      </c>
      <c r="G488" s="2" t="str">
        <f t="shared" si="16"/>
        <v>ON1</v>
      </c>
      <c r="H488" s="2" t="s">
        <v>21</v>
      </c>
      <c r="I488" s="2" t="s">
        <v>114</v>
      </c>
      <c r="J488" s="2" t="str">
        <f>""</f>
        <v/>
      </c>
      <c r="K488" s="2" t="str">
        <f>"PFES1162730414_0001"</f>
        <v>PFES1162730414_0001</v>
      </c>
      <c r="L488" s="2">
        <v>1</v>
      </c>
      <c r="M488" s="2">
        <v>1</v>
      </c>
    </row>
    <row r="489" spans="1:13">
      <c r="A489" s="6">
        <v>43838</v>
      </c>
      <c r="B489" s="7">
        <v>0.6743055555555556</v>
      </c>
      <c r="C489" s="2" t="str">
        <f>"FES1162730438"</f>
        <v>FES1162730438</v>
      </c>
      <c r="D489" s="2" t="s">
        <v>19</v>
      </c>
      <c r="E489" s="2" t="s">
        <v>101</v>
      </c>
      <c r="F489" s="2" t="str">
        <f>"2170723065 "</f>
        <v xml:space="preserve">2170723065 </v>
      </c>
      <c r="G489" s="2" t="str">
        <f t="shared" si="16"/>
        <v>ON1</v>
      </c>
      <c r="H489" s="2" t="s">
        <v>21</v>
      </c>
      <c r="I489" s="2" t="s">
        <v>102</v>
      </c>
      <c r="J489" s="2" t="str">
        <f>""</f>
        <v/>
      </c>
      <c r="K489" s="2" t="str">
        <f>"PFES1162730438_0001"</f>
        <v>PFES1162730438_0001</v>
      </c>
      <c r="L489" s="2">
        <v>1</v>
      </c>
      <c r="M489" s="2">
        <v>1</v>
      </c>
    </row>
    <row r="490" spans="1:13">
      <c r="A490" s="6">
        <v>43838</v>
      </c>
      <c r="B490" s="7">
        <v>0.6743055555555556</v>
      </c>
      <c r="C490" s="2" t="str">
        <f>"FES1162730427"</f>
        <v>FES1162730427</v>
      </c>
      <c r="D490" s="2" t="s">
        <v>19</v>
      </c>
      <c r="E490" s="2" t="s">
        <v>321</v>
      </c>
      <c r="F490" s="2" t="str">
        <f>"2170723044 "</f>
        <v xml:space="preserve">2170723044 </v>
      </c>
      <c r="G490" s="2" t="str">
        <f t="shared" si="16"/>
        <v>ON1</v>
      </c>
      <c r="H490" s="2" t="s">
        <v>21</v>
      </c>
      <c r="I490" s="2" t="s">
        <v>127</v>
      </c>
      <c r="J490" s="2" t="str">
        <f>""</f>
        <v/>
      </c>
      <c r="K490" s="2" t="str">
        <f>"PFES1162730427_0001"</f>
        <v>PFES1162730427_0001</v>
      </c>
      <c r="L490" s="2">
        <v>1</v>
      </c>
      <c r="M490" s="2">
        <v>1</v>
      </c>
    </row>
    <row r="491" spans="1:13">
      <c r="A491" s="6">
        <v>43838</v>
      </c>
      <c r="B491" s="7">
        <v>0.67291666666666661</v>
      </c>
      <c r="C491" s="2" t="str">
        <f>"FES1162729976"</f>
        <v>FES1162729976</v>
      </c>
      <c r="D491" s="2" t="s">
        <v>19</v>
      </c>
      <c r="E491" s="2" t="s">
        <v>406</v>
      </c>
      <c r="F491" s="2" t="str">
        <f>"2170721346 "</f>
        <v xml:space="preserve">2170721346 </v>
      </c>
      <c r="G491" s="2" t="str">
        <f t="shared" si="16"/>
        <v>ON1</v>
      </c>
      <c r="H491" s="2" t="s">
        <v>21</v>
      </c>
      <c r="I491" s="2" t="s">
        <v>247</v>
      </c>
      <c r="J491" s="2" t="str">
        <f>""</f>
        <v/>
      </c>
      <c r="K491" s="2" t="str">
        <f>"PFES1162729976_0001"</f>
        <v>PFES1162729976_0001</v>
      </c>
      <c r="L491" s="2">
        <v>1</v>
      </c>
      <c r="M491" s="2">
        <v>1</v>
      </c>
    </row>
    <row r="492" spans="1:13">
      <c r="A492" s="6">
        <v>43838</v>
      </c>
      <c r="B492" s="7">
        <v>0.67291666666666661</v>
      </c>
      <c r="C492" s="2" t="str">
        <f>"FES1162730247"</f>
        <v>FES1162730247</v>
      </c>
      <c r="D492" s="2" t="s">
        <v>19</v>
      </c>
      <c r="E492" s="2" t="s">
        <v>199</v>
      </c>
      <c r="F492" s="2" t="str">
        <f>"2170722128 "</f>
        <v xml:space="preserve">2170722128 </v>
      </c>
      <c r="G492" s="2" t="str">
        <f t="shared" si="16"/>
        <v>ON1</v>
      </c>
      <c r="H492" s="2" t="s">
        <v>21</v>
      </c>
      <c r="I492" s="2" t="s">
        <v>200</v>
      </c>
      <c r="J492" s="2" t="str">
        <f>""</f>
        <v/>
      </c>
      <c r="K492" s="2" t="str">
        <f>"PFES1162730247_0001"</f>
        <v>PFES1162730247_0001</v>
      </c>
      <c r="L492" s="2">
        <v>1</v>
      </c>
      <c r="M492" s="2">
        <v>17</v>
      </c>
    </row>
    <row r="493" spans="1:13">
      <c r="A493" s="6">
        <v>43838</v>
      </c>
      <c r="B493" s="7">
        <v>0.67222222222222217</v>
      </c>
      <c r="C493" s="2" t="str">
        <f>"FES1162730423"</f>
        <v>FES1162730423</v>
      </c>
      <c r="D493" s="2" t="s">
        <v>19</v>
      </c>
      <c r="E493" s="2" t="s">
        <v>258</v>
      </c>
      <c r="F493" s="2" t="str">
        <f>"2170719916 "</f>
        <v xml:space="preserve">2170719916 </v>
      </c>
      <c r="G493" s="2" t="str">
        <f t="shared" si="16"/>
        <v>ON1</v>
      </c>
      <c r="H493" s="2" t="s">
        <v>21</v>
      </c>
      <c r="I493" s="2" t="s">
        <v>45</v>
      </c>
      <c r="J493" s="2" t="str">
        <f>""</f>
        <v/>
      </c>
      <c r="K493" s="2" t="str">
        <f>"PFES1162730423_0001"</f>
        <v>PFES1162730423_0001</v>
      </c>
      <c r="L493" s="2">
        <v>1</v>
      </c>
      <c r="M493" s="2">
        <v>2</v>
      </c>
    </row>
    <row r="494" spans="1:13">
      <c r="A494" s="6">
        <v>43838</v>
      </c>
      <c r="B494" s="7">
        <v>0.67222222222222217</v>
      </c>
      <c r="C494" s="2" t="str">
        <f>"FES1162730415"</f>
        <v>FES1162730415</v>
      </c>
      <c r="D494" s="2" t="s">
        <v>19</v>
      </c>
      <c r="E494" s="2" t="s">
        <v>407</v>
      </c>
      <c r="F494" s="2" t="str">
        <f>"2170723029 "</f>
        <v xml:space="preserve">2170723029 </v>
      </c>
      <c r="G494" s="2" t="str">
        <f t="shared" si="16"/>
        <v>ON1</v>
      </c>
      <c r="H494" s="2" t="s">
        <v>21</v>
      </c>
      <c r="I494" s="2" t="s">
        <v>408</v>
      </c>
      <c r="J494" s="2" t="str">
        <f>""</f>
        <v/>
      </c>
      <c r="K494" s="2" t="str">
        <f>"PFES1162730415_0001"</f>
        <v>PFES1162730415_0001</v>
      </c>
      <c r="L494" s="2">
        <v>1</v>
      </c>
      <c r="M494" s="2">
        <v>1</v>
      </c>
    </row>
    <row r="495" spans="1:13">
      <c r="A495" s="6">
        <v>43838</v>
      </c>
      <c r="B495" s="7">
        <v>0.67222222222222217</v>
      </c>
      <c r="C495" s="2" t="str">
        <f>"FES1162730400"</f>
        <v>FES1162730400</v>
      </c>
      <c r="D495" s="2" t="s">
        <v>19</v>
      </c>
      <c r="E495" s="2" t="s">
        <v>409</v>
      </c>
      <c r="F495" s="2" t="str">
        <f>"2170723021 "</f>
        <v xml:space="preserve">2170723021 </v>
      </c>
      <c r="G495" s="2" t="str">
        <f t="shared" si="16"/>
        <v>ON1</v>
      </c>
      <c r="H495" s="2" t="s">
        <v>21</v>
      </c>
      <c r="I495" s="2" t="s">
        <v>249</v>
      </c>
      <c r="J495" s="2" t="str">
        <f>""</f>
        <v/>
      </c>
      <c r="K495" s="2" t="str">
        <f>"PFES1162730400_0001"</f>
        <v>PFES1162730400_0001</v>
      </c>
      <c r="L495" s="2">
        <v>1</v>
      </c>
      <c r="M495" s="2">
        <v>3</v>
      </c>
    </row>
    <row r="496" spans="1:13">
      <c r="A496" s="6">
        <v>43838</v>
      </c>
      <c r="B496" s="7">
        <v>0.67222222222222217</v>
      </c>
      <c r="C496" s="2" t="str">
        <f>"FES1162730394"</f>
        <v>FES1162730394</v>
      </c>
      <c r="D496" s="2" t="s">
        <v>19</v>
      </c>
      <c r="E496" s="2" t="s">
        <v>410</v>
      </c>
      <c r="F496" s="2" t="str">
        <f>"2170717494 "</f>
        <v xml:space="preserve">2170717494 </v>
      </c>
      <c r="G496" s="2" t="str">
        <f t="shared" si="16"/>
        <v>ON1</v>
      </c>
      <c r="H496" s="2" t="s">
        <v>21</v>
      </c>
      <c r="I496" s="2" t="s">
        <v>96</v>
      </c>
      <c r="J496" s="2" t="str">
        <f>""</f>
        <v/>
      </c>
      <c r="K496" s="2" t="str">
        <f>"PFES1162730394_0001"</f>
        <v>PFES1162730394_0001</v>
      </c>
      <c r="L496" s="2">
        <v>1</v>
      </c>
      <c r="M496" s="2">
        <v>2</v>
      </c>
    </row>
    <row r="497" spans="1:13">
      <c r="A497" s="6">
        <v>43838</v>
      </c>
      <c r="B497" s="7">
        <v>0.67222222222222217</v>
      </c>
      <c r="C497" s="2" t="str">
        <f>"FES1162730408"</f>
        <v>FES1162730408</v>
      </c>
      <c r="D497" s="2" t="s">
        <v>19</v>
      </c>
      <c r="E497" s="2" t="s">
        <v>222</v>
      </c>
      <c r="F497" s="2" t="str">
        <f>"2170723031 "</f>
        <v xml:space="preserve">2170723031 </v>
      </c>
      <c r="G497" s="2" t="str">
        <f t="shared" si="16"/>
        <v>ON1</v>
      </c>
      <c r="H497" s="2" t="s">
        <v>21</v>
      </c>
      <c r="I497" s="2" t="s">
        <v>28</v>
      </c>
      <c r="J497" s="2" t="str">
        <f>""</f>
        <v/>
      </c>
      <c r="K497" s="2" t="str">
        <f>"PFES1162730408_0001"</f>
        <v>PFES1162730408_0001</v>
      </c>
      <c r="L497" s="2">
        <v>1</v>
      </c>
      <c r="M497" s="2">
        <v>1</v>
      </c>
    </row>
    <row r="498" spans="1:13">
      <c r="A498" s="6">
        <v>43838</v>
      </c>
      <c r="B498" s="7">
        <v>0.67152777777777783</v>
      </c>
      <c r="C498" s="2" t="str">
        <f>"FES1162730396"</f>
        <v>FES1162730396</v>
      </c>
      <c r="D498" s="2" t="s">
        <v>19</v>
      </c>
      <c r="E498" s="2" t="s">
        <v>411</v>
      </c>
      <c r="F498" s="2" t="str">
        <f>"2170721943 "</f>
        <v xml:space="preserve">2170721943 </v>
      </c>
      <c r="G498" s="2" t="str">
        <f t="shared" si="16"/>
        <v>ON1</v>
      </c>
      <c r="H498" s="2" t="s">
        <v>21</v>
      </c>
      <c r="I498" s="2" t="s">
        <v>412</v>
      </c>
      <c r="J498" s="2" t="str">
        <f>""</f>
        <v/>
      </c>
      <c r="K498" s="2" t="str">
        <f>"PFES1162730396_0001"</f>
        <v>PFES1162730396_0001</v>
      </c>
      <c r="L498" s="2">
        <v>1</v>
      </c>
      <c r="M498" s="2">
        <v>3</v>
      </c>
    </row>
    <row r="499" spans="1:13">
      <c r="A499" s="6">
        <v>43838</v>
      </c>
      <c r="B499" s="7">
        <v>0.67152777777777783</v>
      </c>
      <c r="C499" s="2" t="str">
        <f>"FES1162730406"</f>
        <v>FES1162730406</v>
      </c>
      <c r="D499" s="2" t="s">
        <v>19</v>
      </c>
      <c r="E499" s="2" t="s">
        <v>413</v>
      </c>
      <c r="F499" s="2" t="str">
        <f>"2170723011 "</f>
        <v xml:space="preserve">2170723011 </v>
      </c>
      <c r="G499" s="2" t="str">
        <f t="shared" si="16"/>
        <v>ON1</v>
      </c>
      <c r="H499" s="2" t="s">
        <v>21</v>
      </c>
      <c r="I499" s="2" t="s">
        <v>414</v>
      </c>
      <c r="J499" s="2" t="str">
        <f>""</f>
        <v/>
      </c>
      <c r="K499" s="2" t="str">
        <f>"PFES1162730406_0001"</f>
        <v>PFES1162730406_0001</v>
      </c>
      <c r="L499" s="2">
        <v>1</v>
      </c>
      <c r="M499" s="2">
        <v>1</v>
      </c>
    </row>
    <row r="500" spans="1:13">
      <c r="A500" s="6">
        <v>43838</v>
      </c>
      <c r="B500" s="7">
        <v>0.67083333333333339</v>
      </c>
      <c r="C500" s="2" t="str">
        <f>"FES1162730390"</f>
        <v>FES1162730390</v>
      </c>
      <c r="D500" s="2" t="s">
        <v>19</v>
      </c>
      <c r="E500" s="2" t="s">
        <v>310</v>
      </c>
      <c r="F500" s="2" t="str">
        <f>"2170723009 "</f>
        <v xml:space="preserve">2170723009 </v>
      </c>
      <c r="G500" s="2" t="str">
        <f t="shared" si="16"/>
        <v>ON1</v>
      </c>
      <c r="H500" s="2" t="s">
        <v>21</v>
      </c>
      <c r="I500" s="2" t="s">
        <v>311</v>
      </c>
      <c r="J500" s="2" t="str">
        <f>""</f>
        <v/>
      </c>
      <c r="K500" s="2" t="str">
        <f>"PFES1162730390_0001"</f>
        <v>PFES1162730390_0001</v>
      </c>
      <c r="L500" s="2">
        <v>1</v>
      </c>
      <c r="M500" s="2">
        <v>1</v>
      </c>
    </row>
    <row r="501" spans="1:13">
      <c r="A501" s="6">
        <v>43838</v>
      </c>
      <c r="B501" s="7">
        <v>0.6645833333333333</v>
      </c>
      <c r="C501" s="2" t="str">
        <f>"FES1162730439"</f>
        <v>FES1162730439</v>
      </c>
      <c r="D501" s="2" t="s">
        <v>19</v>
      </c>
      <c r="E501" s="2" t="s">
        <v>64</v>
      </c>
      <c r="F501" s="2" t="str">
        <f>"2170723066 "</f>
        <v xml:space="preserve">2170723066 </v>
      </c>
      <c r="G501" s="2" t="str">
        <f t="shared" si="16"/>
        <v>ON1</v>
      </c>
      <c r="H501" s="2" t="s">
        <v>21</v>
      </c>
      <c r="I501" s="2" t="s">
        <v>60</v>
      </c>
      <c r="J501" s="2" t="str">
        <f>""</f>
        <v/>
      </c>
      <c r="K501" s="2" t="str">
        <f>"PFES1162730439_0001"</f>
        <v>PFES1162730439_0001</v>
      </c>
      <c r="L501" s="2">
        <v>1</v>
      </c>
      <c r="M501" s="2">
        <v>1</v>
      </c>
    </row>
    <row r="502" spans="1:13">
      <c r="A502" s="6">
        <v>43838</v>
      </c>
      <c r="B502" s="7">
        <v>0.66041666666666665</v>
      </c>
      <c r="C502" s="2" t="str">
        <f>"FES1162730301"</f>
        <v>FES1162730301</v>
      </c>
      <c r="D502" s="2" t="s">
        <v>19</v>
      </c>
      <c r="E502" s="2" t="s">
        <v>415</v>
      </c>
      <c r="F502" s="2" t="str">
        <f>"2170721384 "</f>
        <v xml:space="preserve">2170721384 </v>
      </c>
      <c r="G502" s="2" t="str">
        <f t="shared" si="16"/>
        <v>ON1</v>
      </c>
      <c r="H502" s="2" t="s">
        <v>21</v>
      </c>
      <c r="I502" s="2" t="s">
        <v>416</v>
      </c>
      <c r="J502" s="2" t="str">
        <f>""</f>
        <v/>
      </c>
      <c r="K502" s="2" t="str">
        <f>"PFES1162730301_0001"</f>
        <v>PFES1162730301_0001</v>
      </c>
      <c r="L502" s="2">
        <v>1</v>
      </c>
      <c r="M502" s="2">
        <v>8</v>
      </c>
    </row>
    <row r="503" spans="1:13">
      <c r="A503" s="6">
        <v>43838</v>
      </c>
      <c r="B503" s="7">
        <v>0.65972222222222221</v>
      </c>
      <c r="C503" s="2" t="str">
        <f>"FES1162729580"</f>
        <v>FES1162729580</v>
      </c>
      <c r="D503" s="2" t="s">
        <v>19</v>
      </c>
      <c r="E503" s="2" t="s">
        <v>143</v>
      </c>
      <c r="F503" s="2" t="str">
        <f>"2170717864 "</f>
        <v xml:space="preserve">2170717864 </v>
      </c>
      <c r="G503" s="2" t="str">
        <f>"DBC"</f>
        <v>DBC</v>
      </c>
      <c r="H503" s="2" t="s">
        <v>21</v>
      </c>
      <c r="I503" s="2" t="s">
        <v>137</v>
      </c>
      <c r="J503" s="2" t="str">
        <f>""</f>
        <v/>
      </c>
      <c r="K503" s="2" t="str">
        <f>"PFES1162729580_0001"</f>
        <v>PFES1162729580_0001</v>
      </c>
      <c r="L503" s="2">
        <v>2</v>
      </c>
      <c r="M503" s="2">
        <v>27</v>
      </c>
    </row>
    <row r="504" spans="1:13">
      <c r="A504" s="6">
        <v>43496</v>
      </c>
      <c r="B504" s="7">
        <v>0.6333333333333333</v>
      </c>
      <c r="C504" s="2" t="str">
        <f>"FES1162729580"</f>
        <v>FES1162729580</v>
      </c>
      <c r="D504" s="2" t="s">
        <v>19</v>
      </c>
      <c r="E504" s="2" t="s">
        <v>417</v>
      </c>
      <c r="F504" s="2" t="str">
        <f>"2170671625 "</f>
        <v xml:space="preserve">2170671625 </v>
      </c>
      <c r="G504" s="2" t="str">
        <f t="shared" ref="G504:G567" si="17">"ON1"</f>
        <v>ON1</v>
      </c>
      <c r="H504" s="2" t="s">
        <v>21</v>
      </c>
      <c r="I504" s="2" t="s">
        <v>73</v>
      </c>
      <c r="J504" s="2" t="str">
        <f>""</f>
        <v/>
      </c>
      <c r="K504" s="2" t="str">
        <f>"PFES1162729580_0002"</f>
        <v>PFES1162729580_0002</v>
      </c>
      <c r="L504" s="2">
        <v>1</v>
      </c>
      <c r="M504" s="2">
        <v>3</v>
      </c>
    </row>
    <row r="505" spans="1:13">
      <c r="A505" s="6">
        <v>43838</v>
      </c>
      <c r="B505" s="7">
        <v>0.65972222222222221</v>
      </c>
      <c r="C505" s="2" t="str">
        <f>"FES1162730251"</f>
        <v>FES1162730251</v>
      </c>
      <c r="D505" s="2" t="s">
        <v>19</v>
      </c>
      <c r="E505" s="2" t="s">
        <v>418</v>
      </c>
      <c r="F505" s="2" t="str">
        <f>"2170722936 "</f>
        <v xml:space="preserve">2170722936 </v>
      </c>
      <c r="G505" s="2" t="str">
        <f t="shared" si="17"/>
        <v>ON1</v>
      </c>
      <c r="H505" s="2" t="s">
        <v>21</v>
      </c>
      <c r="I505" s="2" t="s">
        <v>396</v>
      </c>
      <c r="J505" s="2" t="str">
        <f>""</f>
        <v/>
      </c>
      <c r="K505" s="2" t="str">
        <f>"PFES1162730251_0001"</f>
        <v>PFES1162730251_0001</v>
      </c>
      <c r="L505" s="2">
        <v>1</v>
      </c>
      <c r="M505" s="2">
        <v>17</v>
      </c>
    </row>
    <row r="506" spans="1:13">
      <c r="A506" s="6">
        <v>43838</v>
      </c>
      <c r="B506" s="7">
        <v>0.65902777777777777</v>
      </c>
      <c r="C506" s="2" t="str">
        <f>"FES1162730430"</f>
        <v>FES1162730430</v>
      </c>
      <c r="D506" s="2" t="s">
        <v>19</v>
      </c>
      <c r="E506" s="2" t="s">
        <v>419</v>
      </c>
      <c r="F506" s="2" t="str">
        <f>"2170723049 "</f>
        <v xml:space="preserve">2170723049 </v>
      </c>
      <c r="G506" s="2" t="str">
        <f t="shared" si="17"/>
        <v>ON1</v>
      </c>
      <c r="H506" s="2" t="s">
        <v>21</v>
      </c>
      <c r="I506" s="2" t="s">
        <v>69</v>
      </c>
      <c r="J506" s="2" t="str">
        <f>""</f>
        <v/>
      </c>
      <c r="K506" s="2" t="str">
        <f>"PFES1162730430_0001"</f>
        <v>PFES1162730430_0001</v>
      </c>
      <c r="L506" s="2">
        <v>1</v>
      </c>
      <c r="M506" s="2">
        <v>3</v>
      </c>
    </row>
    <row r="507" spans="1:13">
      <c r="A507" s="6">
        <v>43838</v>
      </c>
      <c r="B507" s="7">
        <v>0.65902777777777777</v>
      </c>
      <c r="C507" s="2" t="str">
        <f>"FES1162730413"</f>
        <v>FES1162730413</v>
      </c>
      <c r="D507" s="2" t="s">
        <v>19</v>
      </c>
      <c r="E507" s="2" t="s">
        <v>420</v>
      </c>
      <c r="F507" s="2" t="str">
        <f>"2170721213 "</f>
        <v xml:space="preserve">2170721213 </v>
      </c>
      <c r="G507" s="2" t="str">
        <f t="shared" si="17"/>
        <v>ON1</v>
      </c>
      <c r="H507" s="2" t="s">
        <v>21</v>
      </c>
      <c r="I507" s="2" t="s">
        <v>355</v>
      </c>
      <c r="J507" s="2" t="str">
        <f>""</f>
        <v/>
      </c>
      <c r="K507" s="2" t="str">
        <f>"PFES1162730413_0001"</f>
        <v>PFES1162730413_0001</v>
      </c>
      <c r="L507" s="2">
        <v>1</v>
      </c>
      <c r="M507" s="2">
        <v>2</v>
      </c>
    </row>
    <row r="508" spans="1:13">
      <c r="A508" s="6">
        <v>43838</v>
      </c>
      <c r="B508" s="7">
        <v>0.65625</v>
      </c>
      <c r="C508" s="2" t="str">
        <f>"009935712066"</f>
        <v>009935712066</v>
      </c>
      <c r="D508" s="2" t="s">
        <v>19</v>
      </c>
      <c r="E508" s="2" t="s">
        <v>421</v>
      </c>
      <c r="F508" s="2" t="str">
        <f>"ENOS "</f>
        <v xml:space="preserve">ENOS </v>
      </c>
      <c r="G508" s="2" t="str">
        <f t="shared" si="17"/>
        <v>ON1</v>
      </c>
      <c r="H508" s="2" t="s">
        <v>21</v>
      </c>
      <c r="I508" s="2" t="s">
        <v>28</v>
      </c>
      <c r="J508" s="2" t="str">
        <f>""</f>
        <v/>
      </c>
      <c r="K508" s="2" t="str">
        <f>"P009935712066_0001"</f>
        <v>P009935712066_0001</v>
      </c>
      <c r="L508" s="2">
        <v>1</v>
      </c>
      <c r="M508" s="2">
        <v>1</v>
      </c>
    </row>
    <row r="509" spans="1:13">
      <c r="A509" s="6">
        <v>43838</v>
      </c>
      <c r="B509" s="7">
        <v>0.65625</v>
      </c>
      <c r="C509" s="2" t="str">
        <f>"FES1162729919"</f>
        <v>FES1162729919</v>
      </c>
      <c r="D509" s="2" t="s">
        <v>19</v>
      </c>
      <c r="E509" s="2" t="s">
        <v>422</v>
      </c>
      <c r="F509" s="2" t="str">
        <f>"2170723981 "</f>
        <v xml:space="preserve">2170723981 </v>
      </c>
      <c r="G509" s="2" t="str">
        <f t="shared" si="17"/>
        <v>ON1</v>
      </c>
      <c r="H509" s="2" t="s">
        <v>21</v>
      </c>
      <c r="I509" s="2" t="s">
        <v>313</v>
      </c>
      <c r="J509" s="2" t="str">
        <f>""</f>
        <v/>
      </c>
      <c r="K509" s="2" t="str">
        <f>"PFES1162729919_0001"</f>
        <v>PFES1162729919_0001</v>
      </c>
      <c r="L509" s="2">
        <v>1</v>
      </c>
      <c r="M509" s="2">
        <v>2</v>
      </c>
    </row>
    <row r="510" spans="1:13">
      <c r="A510" s="6">
        <v>43838</v>
      </c>
      <c r="B510" s="7">
        <v>0.65625</v>
      </c>
      <c r="C510" s="2" t="str">
        <f>"FES1162730419"</f>
        <v>FES1162730419</v>
      </c>
      <c r="D510" s="2" t="s">
        <v>19</v>
      </c>
      <c r="E510" s="2" t="s">
        <v>423</v>
      </c>
      <c r="F510" s="2" t="str">
        <f>"2170722910 "</f>
        <v xml:space="preserve">2170722910 </v>
      </c>
      <c r="G510" s="2" t="str">
        <f t="shared" si="17"/>
        <v>ON1</v>
      </c>
      <c r="H510" s="2" t="s">
        <v>21</v>
      </c>
      <c r="I510" s="2" t="s">
        <v>424</v>
      </c>
      <c r="J510" s="2" t="str">
        <f>""</f>
        <v/>
      </c>
      <c r="K510" s="2" t="str">
        <f>"PFES1162730419_0001"</f>
        <v>PFES1162730419_0001</v>
      </c>
      <c r="L510" s="2">
        <v>1</v>
      </c>
      <c r="M510" s="2">
        <v>1</v>
      </c>
    </row>
    <row r="511" spans="1:13">
      <c r="A511" s="6">
        <v>43838</v>
      </c>
      <c r="B511" s="7">
        <v>0.65555555555555556</v>
      </c>
      <c r="C511" s="2" t="str">
        <f>"FES1162730208"</f>
        <v>FES1162730208</v>
      </c>
      <c r="D511" s="2" t="s">
        <v>19</v>
      </c>
      <c r="E511" s="2" t="s">
        <v>425</v>
      </c>
      <c r="F511" s="2" t="str">
        <f>"2170720462 "</f>
        <v xml:space="preserve">2170720462 </v>
      </c>
      <c r="G511" s="2" t="str">
        <f t="shared" si="17"/>
        <v>ON1</v>
      </c>
      <c r="H511" s="2" t="s">
        <v>21</v>
      </c>
      <c r="I511" s="2" t="s">
        <v>78</v>
      </c>
      <c r="J511" s="2" t="str">
        <f>""</f>
        <v/>
      </c>
      <c r="K511" s="2" t="str">
        <f>"PFES1162730208_0001"</f>
        <v>PFES1162730208_0001</v>
      </c>
      <c r="L511" s="2">
        <v>1</v>
      </c>
      <c r="M511" s="2">
        <v>7</v>
      </c>
    </row>
    <row r="512" spans="1:13">
      <c r="A512" s="6">
        <v>43838</v>
      </c>
      <c r="B512" s="7">
        <v>0.65555555555555556</v>
      </c>
      <c r="C512" s="2" t="str">
        <f>"FES1162730299"</f>
        <v>FES1162730299</v>
      </c>
      <c r="D512" s="2" t="s">
        <v>19</v>
      </c>
      <c r="E512" s="2" t="s">
        <v>426</v>
      </c>
      <c r="F512" s="2" t="str">
        <f>"2170721362 "</f>
        <v xml:space="preserve">2170721362 </v>
      </c>
      <c r="G512" s="2" t="str">
        <f t="shared" si="17"/>
        <v>ON1</v>
      </c>
      <c r="H512" s="2" t="s">
        <v>21</v>
      </c>
      <c r="I512" s="2" t="s">
        <v>26</v>
      </c>
      <c r="J512" s="2" t="str">
        <f>""</f>
        <v/>
      </c>
      <c r="K512" s="2" t="str">
        <f>"PFES1162730299_0001"</f>
        <v>PFES1162730299_0001</v>
      </c>
      <c r="L512" s="2">
        <v>1</v>
      </c>
      <c r="M512" s="2">
        <v>5</v>
      </c>
    </row>
    <row r="513" spans="1:13">
      <c r="A513" s="6">
        <v>43838</v>
      </c>
      <c r="B513" s="7">
        <v>0.65486111111111112</v>
      </c>
      <c r="C513" s="2" t="str">
        <f>"FES1162730339"</f>
        <v>FES1162730339</v>
      </c>
      <c r="D513" s="2" t="s">
        <v>19</v>
      </c>
      <c r="E513" s="2" t="s">
        <v>222</v>
      </c>
      <c r="F513" s="2" t="str">
        <f>"2170722949 "</f>
        <v xml:space="preserve">2170722949 </v>
      </c>
      <c r="G513" s="2" t="str">
        <f t="shared" si="17"/>
        <v>ON1</v>
      </c>
      <c r="H513" s="2" t="s">
        <v>21</v>
      </c>
      <c r="I513" s="2" t="s">
        <v>28</v>
      </c>
      <c r="J513" s="2" t="str">
        <f>""</f>
        <v/>
      </c>
      <c r="K513" s="2" t="str">
        <f>"PFES1162730339_0001"</f>
        <v>PFES1162730339_0001</v>
      </c>
      <c r="L513" s="2">
        <v>1</v>
      </c>
      <c r="M513" s="2">
        <v>2</v>
      </c>
    </row>
    <row r="514" spans="1:13">
      <c r="A514" s="6">
        <v>43838</v>
      </c>
      <c r="B514" s="7">
        <v>0.65486111111111112</v>
      </c>
      <c r="C514" s="2" t="str">
        <f>"FES1162730346"</f>
        <v>FES1162730346</v>
      </c>
      <c r="D514" s="2" t="s">
        <v>19</v>
      </c>
      <c r="E514" s="2" t="s">
        <v>385</v>
      </c>
      <c r="F514" s="2" t="str">
        <f>"2170722956 "</f>
        <v xml:space="preserve">2170722956 </v>
      </c>
      <c r="G514" s="2" t="str">
        <f t="shared" si="17"/>
        <v>ON1</v>
      </c>
      <c r="H514" s="2" t="s">
        <v>21</v>
      </c>
      <c r="I514" s="2" t="s">
        <v>24</v>
      </c>
      <c r="J514" s="2" t="str">
        <f>""</f>
        <v/>
      </c>
      <c r="K514" s="2" t="str">
        <f>"PFES1162730346_0001"</f>
        <v>PFES1162730346_0001</v>
      </c>
      <c r="L514" s="2">
        <v>1</v>
      </c>
      <c r="M514" s="2">
        <v>1</v>
      </c>
    </row>
    <row r="515" spans="1:13">
      <c r="A515" s="6">
        <v>43838</v>
      </c>
      <c r="B515" s="7">
        <v>0.65486111111111112</v>
      </c>
      <c r="C515" s="2" t="str">
        <f>"FES1162730207"</f>
        <v>FES1162730207</v>
      </c>
      <c r="D515" s="2" t="s">
        <v>19</v>
      </c>
      <c r="E515" s="2" t="s">
        <v>304</v>
      </c>
      <c r="F515" s="2" t="str">
        <f>"2170720178 "</f>
        <v xml:space="preserve">2170720178 </v>
      </c>
      <c r="G515" s="2" t="str">
        <f t="shared" si="17"/>
        <v>ON1</v>
      </c>
      <c r="H515" s="2" t="s">
        <v>21</v>
      </c>
      <c r="I515" s="2" t="s">
        <v>305</v>
      </c>
      <c r="J515" s="2" t="str">
        <f>""</f>
        <v/>
      </c>
      <c r="K515" s="2" t="str">
        <f>"PFES1162730207_0001"</f>
        <v>PFES1162730207_0001</v>
      </c>
      <c r="L515" s="2">
        <v>1</v>
      </c>
      <c r="M515" s="2">
        <v>2</v>
      </c>
    </row>
    <row r="516" spans="1:13">
      <c r="A516" s="6">
        <v>43838</v>
      </c>
      <c r="B516" s="7">
        <v>0.65416666666666667</v>
      </c>
      <c r="C516" s="2" t="str">
        <f>"FES1162730130"</f>
        <v>FES1162730130</v>
      </c>
      <c r="D516" s="2" t="s">
        <v>19</v>
      </c>
      <c r="E516" s="2" t="s">
        <v>427</v>
      </c>
      <c r="F516" s="2" t="str">
        <f>"2170722876 "</f>
        <v xml:space="preserve">2170722876 </v>
      </c>
      <c r="G516" s="2" t="str">
        <f t="shared" si="17"/>
        <v>ON1</v>
      </c>
      <c r="H516" s="2" t="s">
        <v>21</v>
      </c>
      <c r="I516" s="2" t="s">
        <v>428</v>
      </c>
      <c r="J516" s="2" t="str">
        <f>""</f>
        <v/>
      </c>
      <c r="K516" s="2" t="str">
        <f>"PFES1162730130_0001"</f>
        <v>PFES1162730130_0001</v>
      </c>
      <c r="L516" s="2">
        <v>1</v>
      </c>
      <c r="M516" s="2">
        <v>8</v>
      </c>
    </row>
    <row r="517" spans="1:13">
      <c r="A517" s="6">
        <v>43838</v>
      </c>
      <c r="B517" s="7">
        <v>0.65416666666666667</v>
      </c>
      <c r="C517" s="2" t="str">
        <f>"FES1162730257"</f>
        <v>FES1162730257</v>
      </c>
      <c r="D517" s="2" t="s">
        <v>19</v>
      </c>
      <c r="E517" s="2" t="s">
        <v>429</v>
      </c>
      <c r="F517" s="2" t="str">
        <f>"2170722943 "</f>
        <v xml:space="preserve">2170722943 </v>
      </c>
      <c r="G517" s="2" t="str">
        <f t="shared" si="17"/>
        <v>ON1</v>
      </c>
      <c r="H517" s="2" t="s">
        <v>21</v>
      </c>
      <c r="I517" s="2" t="s">
        <v>430</v>
      </c>
      <c r="J517" s="2" t="str">
        <f>""</f>
        <v/>
      </c>
      <c r="K517" s="2" t="str">
        <f>"PFES1162730257_0001"</f>
        <v>PFES1162730257_0001</v>
      </c>
      <c r="L517" s="2">
        <v>1</v>
      </c>
      <c r="M517" s="2">
        <v>2</v>
      </c>
    </row>
    <row r="518" spans="1:13">
      <c r="A518" s="6">
        <v>43838</v>
      </c>
      <c r="B518" s="7">
        <v>0.65347222222222223</v>
      </c>
      <c r="C518" s="2" t="str">
        <f>"FES1162730295"</f>
        <v>FES1162730295</v>
      </c>
      <c r="D518" s="2" t="s">
        <v>19</v>
      </c>
      <c r="E518" s="2" t="s">
        <v>431</v>
      </c>
      <c r="F518" s="2" t="str">
        <f>"2170721336 "</f>
        <v xml:space="preserve">2170721336 </v>
      </c>
      <c r="G518" s="2" t="str">
        <f t="shared" si="17"/>
        <v>ON1</v>
      </c>
      <c r="H518" s="2" t="s">
        <v>21</v>
      </c>
      <c r="I518" s="2" t="s">
        <v>432</v>
      </c>
      <c r="J518" s="2" t="str">
        <f>""</f>
        <v/>
      </c>
      <c r="K518" s="2" t="str">
        <f>"PFES1162730295_0001"</f>
        <v>PFES1162730295_0001</v>
      </c>
      <c r="L518" s="2">
        <v>1</v>
      </c>
      <c r="M518" s="2">
        <v>1</v>
      </c>
    </row>
    <row r="519" spans="1:13">
      <c r="A519" s="6">
        <v>43838</v>
      </c>
      <c r="B519" s="7">
        <v>0.65277777777777779</v>
      </c>
      <c r="C519" s="2" t="str">
        <f>"FES1162730405"</f>
        <v>FES1162730405</v>
      </c>
      <c r="D519" s="2" t="s">
        <v>19</v>
      </c>
      <c r="E519" s="2" t="s">
        <v>343</v>
      </c>
      <c r="F519" s="2" t="str">
        <f>"2170723028 "</f>
        <v xml:space="preserve">2170723028 </v>
      </c>
      <c r="G519" s="2" t="str">
        <f t="shared" si="17"/>
        <v>ON1</v>
      </c>
      <c r="H519" s="2" t="s">
        <v>21</v>
      </c>
      <c r="I519" s="2" t="s">
        <v>344</v>
      </c>
      <c r="J519" s="2" t="str">
        <f>""</f>
        <v/>
      </c>
      <c r="K519" s="2" t="str">
        <f>"PFES1162730405_0001"</f>
        <v>PFES1162730405_0001</v>
      </c>
      <c r="L519" s="2">
        <v>1</v>
      </c>
      <c r="M519" s="2">
        <v>1</v>
      </c>
    </row>
    <row r="520" spans="1:13">
      <c r="A520" s="6">
        <v>43838</v>
      </c>
      <c r="B520" s="7">
        <v>0.63888888888888895</v>
      </c>
      <c r="C520" s="2" t="str">
        <f>"FES1162730196"</f>
        <v>FES1162730196</v>
      </c>
      <c r="D520" s="2" t="s">
        <v>19</v>
      </c>
      <c r="E520" s="2" t="s">
        <v>327</v>
      </c>
      <c r="F520" s="2" t="str">
        <f>"2170721950 "</f>
        <v xml:space="preserve">2170721950 </v>
      </c>
      <c r="G520" s="2" t="str">
        <f t="shared" si="17"/>
        <v>ON1</v>
      </c>
      <c r="H520" s="2" t="s">
        <v>21</v>
      </c>
      <c r="I520" s="2" t="s">
        <v>85</v>
      </c>
      <c r="J520" s="2" t="str">
        <f>""</f>
        <v/>
      </c>
      <c r="K520" s="2" t="str">
        <f>"PFES1162730196_0001"</f>
        <v>PFES1162730196_0001</v>
      </c>
      <c r="L520" s="2">
        <v>1</v>
      </c>
      <c r="M520" s="2">
        <v>1</v>
      </c>
    </row>
    <row r="521" spans="1:13">
      <c r="A521" s="6">
        <v>43838</v>
      </c>
      <c r="B521" s="7">
        <v>0.63680555555555551</v>
      </c>
      <c r="C521" s="2" t="str">
        <f>"FES1162730382"</f>
        <v>FES1162730382</v>
      </c>
      <c r="D521" s="2" t="s">
        <v>19</v>
      </c>
      <c r="E521" s="2" t="s">
        <v>101</v>
      </c>
      <c r="F521" s="2" t="str">
        <f>"2170722995 "</f>
        <v xml:space="preserve">2170722995 </v>
      </c>
      <c r="G521" s="2" t="str">
        <f t="shared" si="17"/>
        <v>ON1</v>
      </c>
      <c r="H521" s="2" t="s">
        <v>21</v>
      </c>
      <c r="I521" s="2" t="s">
        <v>102</v>
      </c>
      <c r="J521" s="2" t="str">
        <f>""</f>
        <v/>
      </c>
      <c r="K521" s="2" t="str">
        <f>"PFES1162730382_0001"</f>
        <v>PFES1162730382_0001</v>
      </c>
      <c r="L521" s="2">
        <v>1</v>
      </c>
      <c r="M521" s="2">
        <v>3</v>
      </c>
    </row>
    <row r="522" spans="1:13">
      <c r="A522" s="6">
        <v>43838</v>
      </c>
      <c r="B522" s="7">
        <v>0.63611111111111118</v>
      </c>
      <c r="C522" s="2" t="str">
        <f>"FES1162730291"</f>
        <v>FES1162730291</v>
      </c>
      <c r="D522" s="2" t="s">
        <v>19</v>
      </c>
      <c r="E522" s="2" t="s">
        <v>101</v>
      </c>
      <c r="F522" s="2" t="str">
        <f>"2170721276 "</f>
        <v xml:space="preserve">2170721276 </v>
      </c>
      <c r="G522" s="2" t="str">
        <f t="shared" si="17"/>
        <v>ON1</v>
      </c>
      <c r="H522" s="2" t="s">
        <v>21</v>
      </c>
      <c r="I522" s="2" t="s">
        <v>102</v>
      </c>
      <c r="J522" s="2" t="str">
        <f>""</f>
        <v/>
      </c>
      <c r="K522" s="2" t="str">
        <f>"PFES1162730291_0001"</f>
        <v>PFES1162730291_0001</v>
      </c>
      <c r="L522" s="2">
        <v>1</v>
      </c>
      <c r="M522" s="2">
        <v>2</v>
      </c>
    </row>
    <row r="523" spans="1:13">
      <c r="A523" s="6">
        <v>43838</v>
      </c>
      <c r="B523" s="7">
        <v>0.63611111111111118</v>
      </c>
      <c r="C523" s="2" t="str">
        <f>"FES1162730271"</f>
        <v>FES1162730271</v>
      </c>
      <c r="D523" s="2" t="s">
        <v>19</v>
      </c>
      <c r="E523" s="2" t="s">
        <v>245</v>
      </c>
      <c r="F523" s="2" t="str">
        <f>"21707231057 "</f>
        <v xml:space="preserve">21707231057 </v>
      </c>
      <c r="G523" s="2" t="str">
        <f t="shared" si="17"/>
        <v>ON1</v>
      </c>
      <c r="H523" s="2" t="s">
        <v>21</v>
      </c>
      <c r="I523" s="2" t="s">
        <v>96</v>
      </c>
      <c r="J523" s="2" t="str">
        <f>""</f>
        <v/>
      </c>
      <c r="K523" s="2" t="str">
        <f>"PFES1162730271_0001"</f>
        <v>PFES1162730271_0001</v>
      </c>
      <c r="L523" s="2">
        <v>1</v>
      </c>
      <c r="M523" s="2">
        <v>6</v>
      </c>
    </row>
    <row r="524" spans="1:13">
      <c r="A524" s="6">
        <v>43838</v>
      </c>
      <c r="B524" s="7">
        <v>0.63541666666666663</v>
      </c>
      <c r="C524" s="2" t="str">
        <f>"FES1162730141"</f>
        <v>FES1162730141</v>
      </c>
      <c r="D524" s="2" t="s">
        <v>19</v>
      </c>
      <c r="E524" s="2" t="s">
        <v>433</v>
      </c>
      <c r="F524" s="2" t="str">
        <f>"2170727015 "</f>
        <v xml:space="preserve">2170727015 </v>
      </c>
      <c r="G524" s="2" t="str">
        <f t="shared" si="17"/>
        <v>ON1</v>
      </c>
      <c r="H524" s="2" t="s">
        <v>21</v>
      </c>
      <c r="I524" s="2" t="s">
        <v>34</v>
      </c>
      <c r="J524" s="2" t="str">
        <f>""</f>
        <v/>
      </c>
      <c r="K524" s="2" t="str">
        <f>"PFES1162730141_0001"</f>
        <v>PFES1162730141_0001</v>
      </c>
      <c r="L524" s="2">
        <v>1</v>
      </c>
      <c r="M524" s="2">
        <v>3</v>
      </c>
    </row>
    <row r="525" spans="1:13">
      <c r="A525" s="6">
        <v>43838</v>
      </c>
      <c r="B525" s="7">
        <v>0.63124999999999998</v>
      </c>
      <c r="C525" s="2" t="str">
        <f>"FES1162730225"</f>
        <v>FES1162730225</v>
      </c>
      <c r="D525" s="2" t="s">
        <v>19</v>
      </c>
      <c r="E525" s="2" t="s">
        <v>59</v>
      </c>
      <c r="F525" s="2" t="str">
        <f>"2170719810 "</f>
        <v xml:space="preserve">2170719810 </v>
      </c>
      <c r="G525" s="2" t="str">
        <f t="shared" si="17"/>
        <v>ON1</v>
      </c>
      <c r="H525" s="2" t="s">
        <v>21</v>
      </c>
      <c r="I525" s="2" t="s">
        <v>60</v>
      </c>
      <c r="J525" s="2" t="str">
        <f>""</f>
        <v/>
      </c>
      <c r="K525" s="2" t="str">
        <f>"PFES1162730225_0001"</f>
        <v>PFES1162730225_0001</v>
      </c>
      <c r="L525" s="2">
        <v>1</v>
      </c>
      <c r="M525" s="2">
        <v>1</v>
      </c>
    </row>
    <row r="526" spans="1:13">
      <c r="A526" s="6">
        <v>43838</v>
      </c>
      <c r="B526" s="7">
        <v>0.63055555555555554</v>
      </c>
      <c r="C526" s="2" t="str">
        <f>"FES1162730383"</f>
        <v>FES1162730383</v>
      </c>
      <c r="D526" s="2" t="s">
        <v>19</v>
      </c>
      <c r="E526" s="2" t="s">
        <v>184</v>
      </c>
      <c r="F526" s="2" t="str">
        <f>"2170722996 "</f>
        <v xml:space="preserve">2170722996 </v>
      </c>
      <c r="G526" s="2" t="str">
        <f t="shared" si="17"/>
        <v>ON1</v>
      </c>
      <c r="H526" s="2" t="s">
        <v>21</v>
      </c>
      <c r="I526" s="2" t="s">
        <v>49</v>
      </c>
      <c r="J526" s="2" t="str">
        <f>""</f>
        <v/>
      </c>
      <c r="K526" s="2" t="str">
        <f>"PFES1162730383_0001"</f>
        <v>PFES1162730383_0001</v>
      </c>
      <c r="L526" s="2">
        <v>1</v>
      </c>
      <c r="M526" s="2">
        <v>4</v>
      </c>
    </row>
    <row r="527" spans="1:13">
      <c r="A527" s="6">
        <v>43838</v>
      </c>
      <c r="B527" s="7">
        <v>0.62916666666666665</v>
      </c>
      <c r="C527" s="2" t="str">
        <f>"FES1162730152"</f>
        <v>FES1162730152</v>
      </c>
      <c r="D527" s="2" t="s">
        <v>19</v>
      </c>
      <c r="E527" s="2" t="s">
        <v>343</v>
      </c>
      <c r="F527" s="2" t="str">
        <f>"2170722909 "</f>
        <v xml:space="preserve">2170722909 </v>
      </c>
      <c r="G527" s="2" t="str">
        <f t="shared" si="17"/>
        <v>ON1</v>
      </c>
      <c r="H527" s="2" t="s">
        <v>21</v>
      </c>
      <c r="I527" s="2" t="s">
        <v>344</v>
      </c>
      <c r="J527" s="2" t="str">
        <f>""</f>
        <v/>
      </c>
      <c r="K527" s="2" t="str">
        <f>"PFES1162730152_0001"</f>
        <v>PFES1162730152_0001</v>
      </c>
      <c r="L527" s="2">
        <v>1</v>
      </c>
      <c r="M527" s="2">
        <v>1</v>
      </c>
    </row>
    <row r="528" spans="1:13">
      <c r="A528" s="6">
        <v>43838</v>
      </c>
      <c r="B528" s="7">
        <v>0.62847222222222221</v>
      </c>
      <c r="C528" s="2" t="str">
        <f>"FES1162730157"</f>
        <v>FES1162730157</v>
      </c>
      <c r="D528" s="2" t="s">
        <v>19</v>
      </c>
      <c r="E528" s="2" t="s">
        <v>174</v>
      </c>
      <c r="F528" s="2" t="str">
        <f>"2170722673 "</f>
        <v xml:space="preserve">2170722673 </v>
      </c>
      <c r="G528" s="2" t="str">
        <f t="shared" si="17"/>
        <v>ON1</v>
      </c>
      <c r="H528" s="2" t="s">
        <v>21</v>
      </c>
      <c r="I528" s="2" t="s">
        <v>175</v>
      </c>
      <c r="J528" s="2" t="str">
        <f>""</f>
        <v/>
      </c>
      <c r="K528" s="2" t="str">
        <f>"PFES1162730157_0001"</f>
        <v>PFES1162730157_0001</v>
      </c>
      <c r="L528" s="2">
        <v>1</v>
      </c>
      <c r="M528" s="2">
        <v>1</v>
      </c>
    </row>
    <row r="529" spans="1:13">
      <c r="A529" s="6">
        <v>43838</v>
      </c>
      <c r="B529" s="7">
        <v>0.62777777777777777</v>
      </c>
      <c r="C529" s="2" t="str">
        <f>"FES1162730232"</f>
        <v>FES1162730232</v>
      </c>
      <c r="D529" s="2" t="s">
        <v>19</v>
      </c>
      <c r="E529" s="2" t="s">
        <v>68</v>
      </c>
      <c r="F529" s="2" t="str">
        <f>"2170721474 "</f>
        <v xml:space="preserve">2170721474 </v>
      </c>
      <c r="G529" s="2" t="str">
        <f t="shared" si="17"/>
        <v>ON1</v>
      </c>
      <c r="H529" s="2" t="s">
        <v>21</v>
      </c>
      <c r="I529" s="2" t="s">
        <v>69</v>
      </c>
      <c r="J529" s="2" t="str">
        <f>""</f>
        <v/>
      </c>
      <c r="K529" s="2" t="str">
        <f>"PFES1162730232_0001"</f>
        <v>PFES1162730232_0001</v>
      </c>
      <c r="L529" s="2">
        <v>1</v>
      </c>
      <c r="M529" s="2">
        <v>4</v>
      </c>
    </row>
    <row r="530" spans="1:13">
      <c r="A530" s="6">
        <v>43838</v>
      </c>
      <c r="B530" s="7">
        <v>0.62777777777777777</v>
      </c>
      <c r="C530" s="2" t="str">
        <f>"FES1162730322"</f>
        <v>FES1162730322</v>
      </c>
      <c r="D530" s="2" t="s">
        <v>19</v>
      </c>
      <c r="E530" s="2" t="s">
        <v>218</v>
      </c>
      <c r="F530" s="2" t="str">
        <f>"2170721646 "</f>
        <v xml:space="preserve">2170721646 </v>
      </c>
      <c r="G530" s="2" t="str">
        <f t="shared" si="17"/>
        <v>ON1</v>
      </c>
      <c r="H530" s="2" t="s">
        <v>21</v>
      </c>
      <c r="I530" s="2" t="s">
        <v>49</v>
      </c>
      <c r="J530" s="2" t="str">
        <f>""</f>
        <v/>
      </c>
      <c r="K530" s="2" t="str">
        <f>"PFES1162730322_0001"</f>
        <v>PFES1162730322_0001</v>
      </c>
      <c r="L530" s="2">
        <v>1</v>
      </c>
      <c r="M530" s="2">
        <v>10</v>
      </c>
    </row>
    <row r="531" spans="1:13">
      <c r="A531" s="6">
        <v>43838</v>
      </c>
      <c r="B531" s="7">
        <v>0.62777777777777777</v>
      </c>
      <c r="C531" s="2" t="str">
        <f>"FES1162730329"</f>
        <v>FES1162730329</v>
      </c>
      <c r="D531" s="2" t="s">
        <v>19</v>
      </c>
      <c r="E531" s="2" t="s">
        <v>222</v>
      </c>
      <c r="F531" s="2" t="str">
        <f>"2170722075 "</f>
        <v xml:space="preserve">2170722075 </v>
      </c>
      <c r="G531" s="2" t="str">
        <f t="shared" si="17"/>
        <v>ON1</v>
      </c>
      <c r="H531" s="2" t="s">
        <v>21</v>
      </c>
      <c r="I531" s="2" t="s">
        <v>28</v>
      </c>
      <c r="J531" s="2" t="str">
        <f>""</f>
        <v/>
      </c>
      <c r="K531" s="2" t="str">
        <f>"PFES1162730329_0001"</f>
        <v>PFES1162730329_0001</v>
      </c>
      <c r="L531" s="2">
        <v>1</v>
      </c>
      <c r="M531" s="2">
        <v>1</v>
      </c>
    </row>
    <row r="532" spans="1:13">
      <c r="A532" s="6">
        <v>43838</v>
      </c>
      <c r="B532" s="7">
        <v>0.62708333333333333</v>
      </c>
      <c r="C532" s="2" t="str">
        <f>"FES1162730202"</f>
        <v>FES1162730202</v>
      </c>
      <c r="D532" s="2" t="s">
        <v>19</v>
      </c>
      <c r="E532" s="2" t="s">
        <v>434</v>
      </c>
      <c r="F532" s="2" t="str">
        <f>"2170522925 "</f>
        <v xml:space="preserve">2170522925 </v>
      </c>
      <c r="G532" s="2" t="str">
        <f t="shared" si="17"/>
        <v>ON1</v>
      </c>
      <c r="H532" s="2" t="s">
        <v>21</v>
      </c>
      <c r="I532" s="2" t="s">
        <v>104</v>
      </c>
      <c r="J532" s="2" t="str">
        <f>""</f>
        <v/>
      </c>
      <c r="K532" s="2" t="str">
        <f>"PFES1162730202_0001"</f>
        <v>PFES1162730202_0001</v>
      </c>
      <c r="L532" s="2">
        <v>1</v>
      </c>
      <c r="M532" s="2">
        <v>1</v>
      </c>
    </row>
    <row r="533" spans="1:13">
      <c r="A533" s="6">
        <v>43838</v>
      </c>
      <c r="B533" s="7">
        <v>0.62708333333333333</v>
      </c>
      <c r="C533" s="2" t="str">
        <f>"FES1162730264"</f>
        <v>FES1162730264</v>
      </c>
      <c r="D533" s="2" t="s">
        <v>19</v>
      </c>
      <c r="E533" s="2" t="s">
        <v>224</v>
      </c>
      <c r="F533" s="2" t="str">
        <f>"2170720878 "</f>
        <v xml:space="preserve">2170720878 </v>
      </c>
      <c r="G533" s="2" t="str">
        <f t="shared" si="17"/>
        <v>ON1</v>
      </c>
      <c r="H533" s="2" t="s">
        <v>21</v>
      </c>
      <c r="I533" s="2" t="s">
        <v>225</v>
      </c>
      <c r="J533" s="2" t="str">
        <f>""</f>
        <v/>
      </c>
      <c r="K533" s="2" t="str">
        <f>"PFES1162730264_0001"</f>
        <v>PFES1162730264_0001</v>
      </c>
      <c r="L533" s="2">
        <v>1</v>
      </c>
      <c r="M533" s="2">
        <v>1</v>
      </c>
    </row>
    <row r="534" spans="1:13">
      <c r="A534" s="6">
        <v>43838</v>
      </c>
      <c r="B534" s="7">
        <v>0.62708333333333333</v>
      </c>
      <c r="C534" s="2" t="str">
        <f>"FES1162730180"</f>
        <v>FES1162730180</v>
      </c>
      <c r="D534" s="2" t="s">
        <v>19</v>
      </c>
      <c r="E534" s="2" t="s">
        <v>164</v>
      </c>
      <c r="F534" s="2" t="str">
        <f>"2170721695 "</f>
        <v xml:space="preserve">2170721695 </v>
      </c>
      <c r="G534" s="2" t="str">
        <f t="shared" si="17"/>
        <v>ON1</v>
      </c>
      <c r="H534" s="2" t="s">
        <v>21</v>
      </c>
      <c r="I534" s="2" t="s">
        <v>165</v>
      </c>
      <c r="J534" s="2" t="str">
        <f>""</f>
        <v/>
      </c>
      <c r="K534" s="2" t="str">
        <f>"PFES1162730180_0001"</f>
        <v>PFES1162730180_0001</v>
      </c>
      <c r="L534" s="2">
        <v>1</v>
      </c>
      <c r="M534" s="2">
        <v>1</v>
      </c>
    </row>
    <row r="535" spans="1:13">
      <c r="A535" s="6">
        <v>43838</v>
      </c>
      <c r="B535" s="7">
        <v>0.62708333333333333</v>
      </c>
      <c r="C535" s="2" t="str">
        <f>"FES1162730259"</f>
        <v>FES1162730259</v>
      </c>
      <c r="D535" s="2" t="s">
        <v>19</v>
      </c>
      <c r="E535" s="2" t="s">
        <v>101</v>
      </c>
      <c r="F535" s="2" t="str">
        <f>"2170722945 "</f>
        <v xml:space="preserve">2170722945 </v>
      </c>
      <c r="G535" s="2" t="str">
        <f t="shared" si="17"/>
        <v>ON1</v>
      </c>
      <c r="H535" s="2" t="s">
        <v>21</v>
      </c>
      <c r="I535" s="2" t="s">
        <v>102</v>
      </c>
      <c r="J535" s="2" t="str">
        <f>""</f>
        <v/>
      </c>
      <c r="K535" s="2" t="str">
        <f>"PFES1162730259_0001"</f>
        <v>PFES1162730259_0001</v>
      </c>
      <c r="L535" s="2">
        <v>1</v>
      </c>
      <c r="M535" s="2">
        <v>1</v>
      </c>
    </row>
    <row r="536" spans="1:13">
      <c r="A536" s="6">
        <v>43838</v>
      </c>
      <c r="B536" s="7">
        <v>0.62638888888888888</v>
      </c>
      <c r="C536" s="2" t="str">
        <f>"FES1162730307"</f>
        <v>FES1162730307</v>
      </c>
      <c r="D536" s="2" t="s">
        <v>19</v>
      </c>
      <c r="E536" s="2" t="s">
        <v>435</v>
      </c>
      <c r="F536" s="2" t="str">
        <f>"2170721467 "</f>
        <v xml:space="preserve">2170721467 </v>
      </c>
      <c r="G536" s="2" t="str">
        <f t="shared" si="17"/>
        <v>ON1</v>
      </c>
      <c r="H536" s="2" t="s">
        <v>21</v>
      </c>
      <c r="I536" s="2" t="s">
        <v>24</v>
      </c>
      <c r="J536" s="2" t="str">
        <f>""</f>
        <v/>
      </c>
      <c r="K536" s="2" t="str">
        <f>"PFES1162730307_0001"</f>
        <v>PFES1162730307_0001</v>
      </c>
      <c r="L536" s="2">
        <v>1</v>
      </c>
      <c r="M536" s="2">
        <v>1</v>
      </c>
    </row>
    <row r="537" spans="1:13">
      <c r="A537" s="6">
        <v>43838</v>
      </c>
      <c r="B537" s="7">
        <v>0.62638888888888888</v>
      </c>
      <c r="C537" s="2" t="str">
        <f>"FES1162730332"</f>
        <v>FES1162730332</v>
      </c>
      <c r="D537" s="2" t="s">
        <v>19</v>
      </c>
      <c r="E537" s="2" t="s">
        <v>118</v>
      </c>
      <c r="F537" s="2" t="str">
        <f>"2170722351 "</f>
        <v xml:space="preserve">2170722351 </v>
      </c>
      <c r="G537" s="2" t="str">
        <f t="shared" si="17"/>
        <v>ON1</v>
      </c>
      <c r="H537" s="2" t="s">
        <v>21</v>
      </c>
      <c r="I537" s="2" t="s">
        <v>119</v>
      </c>
      <c r="J537" s="2" t="str">
        <f>""</f>
        <v/>
      </c>
      <c r="K537" s="2" t="str">
        <f>"PFES1162730332_0001"</f>
        <v>PFES1162730332_0001</v>
      </c>
      <c r="L537" s="2">
        <v>1</v>
      </c>
      <c r="M537" s="2">
        <v>1</v>
      </c>
    </row>
    <row r="538" spans="1:13">
      <c r="A538" s="6">
        <v>43838</v>
      </c>
      <c r="B538" s="7">
        <v>0.62638888888888888</v>
      </c>
      <c r="C538" s="2" t="str">
        <f>"FES1162730205"</f>
        <v>FES1162730205</v>
      </c>
      <c r="D538" s="2" t="s">
        <v>19</v>
      </c>
      <c r="E538" s="2" t="s">
        <v>436</v>
      </c>
      <c r="F538" s="2" t="str">
        <f>"2170718078 "</f>
        <v xml:space="preserve">2170718078 </v>
      </c>
      <c r="G538" s="2" t="str">
        <f t="shared" si="17"/>
        <v>ON1</v>
      </c>
      <c r="H538" s="2" t="s">
        <v>21</v>
      </c>
      <c r="I538" s="2" t="s">
        <v>165</v>
      </c>
      <c r="J538" s="2" t="str">
        <f>""</f>
        <v/>
      </c>
      <c r="K538" s="2" t="str">
        <f>"PFES1162730205_0001"</f>
        <v>PFES1162730205_0001</v>
      </c>
      <c r="L538" s="2">
        <v>1</v>
      </c>
      <c r="M538" s="2">
        <v>1</v>
      </c>
    </row>
    <row r="539" spans="1:13">
      <c r="A539" s="6">
        <v>43838</v>
      </c>
      <c r="B539" s="7">
        <v>0.62638888888888888</v>
      </c>
      <c r="C539" s="2" t="str">
        <f>"FES1162729982"</f>
        <v>FES1162729982</v>
      </c>
      <c r="D539" s="2" t="s">
        <v>19</v>
      </c>
      <c r="E539" s="2" t="s">
        <v>101</v>
      </c>
      <c r="F539" s="2" t="str">
        <f>"2170721483 "</f>
        <v xml:space="preserve">2170721483 </v>
      </c>
      <c r="G539" s="2" t="str">
        <f t="shared" si="17"/>
        <v>ON1</v>
      </c>
      <c r="H539" s="2" t="s">
        <v>21</v>
      </c>
      <c r="I539" s="2" t="s">
        <v>102</v>
      </c>
      <c r="J539" s="2" t="str">
        <f>""</f>
        <v/>
      </c>
      <c r="K539" s="2" t="str">
        <f>"PFES1162729982_0001"</f>
        <v>PFES1162729982_0001</v>
      </c>
      <c r="L539" s="2">
        <v>1</v>
      </c>
      <c r="M539" s="2">
        <v>1</v>
      </c>
    </row>
    <row r="540" spans="1:13">
      <c r="A540" s="6">
        <v>43838</v>
      </c>
      <c r="B540" s="7">
        <v>0.62638888888888888</v>
      </c>
      <c r="C540" s="2" t="str">
        <f>"FES1162730206"</f>
        <v>FES1162730206</v>
      </c>
      <c r="D540" s="2" t="s">
        <v>19</v>
      </c>
      <c r="E540" s="2" t="s">
        <v>101</v>
      </c>
      <c r="F540" s="2" t="str">
        <f>"21701720170 "</f>
        <v xml:space="preserve">21701720170 </v>
      </c>
      <c r="G540" s="2" t="str">
        <f t="shared" si="17"/>
        <v>ON1</v>
      </c>
      <c r="H540" s="2" t="s">
        <v>21</v>
      </c>
      <c r="I540" s="2" t="s">
        <v>102</v>
      </c>
      <c r="J540" s="2" t="str">
        <f>""</f>
        <v/>
      </c>
      <c r="K540" s="2" t="str">
        <f>"PFES1162730206_0001"</f>
        <v>PFES1162730206_0001</v>
      </c>
      <c r="L540" s="2">
        <v>1</v>
      </c>
      <c r="M540" s="2">
        <v>1</v>
      </c>
    </row>
    <row r="541" spans="1:13">
      <c r="A541" s="6">
        <v>43838</v>
      </c>
      <c r="B541" s="7">
        <v>0.62569444444444444</v>
      </c>
      <c r="C541" s="2" t="str">
        <f>"FES1162730155"</f>
        <v>FES1162730155</v>
      </c>
      <c r="D541" s="2" t="s">
        <v>19</v>
      </c>
      <c r="E541" s="2" t="s">
        <v>229</v>
      </c>
      <c r="F541" s="2" t="str">
        <f>"2170722914 "</f>
        <v xml:space="preserve">2170722914 </v>
      </c>
      <c r="G541" s="2" t="str">
        <f t="shared" si="17"/>
        <v>ON1</v>
      </c>
      <c r="H541" s="2" t="s">
        <v>21</v>
      </c>
      <c r="I541" s="2" t="s">
        <v>230</v>
      </c>
      <c r="J541" s="2" t="str">
        <f>""</f>
        <v/>
      </c>
      <c r="K541" s="2" t="str">
        <f>"PFES1162730155_0001"</f>
        <v>PFES1162730155_0001</v>
      </c>
      <c r="L541" s="2">
        <v>1</v>
      </c>
      <c r="M541" s="2">
        <v>1</v>
      </c>
    </row>
    <row r="542" spans="1:13">
      <c r="A542" s="6">
        <v>43838</v>
      </c>
      <c r="B542" s="7">
        <v>0.62569444444444444</v>
      </c>
      <c r="C542" s="2" t="str">
        <f>"FES1162730193"</f>
        <v>FES1162730193</v>
      </c>
      <c r="D542" s="2" t="s">
        <v>19</v>
      </c>
      <c r="E542" s="2" t="s">
        <v>164</v>
      </c>
      <c r="F542" s="2" t="str">
        <f>"2170721805 "</f>
        <v xml:space="preserve">2170721805 </v>
      </c>
      <c r="G542" s="2" t="str">
        <f t="shared" si="17"/>
        <v>ON1</v>
      </c>
      <c r="H542" s="2" t="s">
        <v>21</v>
      </c>
      <c r="I542" s="2" t="s">
        <v>165</v>
      </c>
      <c r="J542" s="2" t="str">
        <f>""</f>
        <v/>
      </c>
      <c r="K542" s="2" t="str">
        <f>"PFES1162730193_0001"</f>
        <v>PFES1162730193_0001</v>
      </c>
      <c r="L542" s="2">
        <v>1</v>
      </c>
      <c r="M542" s="2">
        <v>1</v>
      </c>
    </row>
    <row r="543" spans="1:13">
      <c r="A543" s="6">
        <v>43838</v>
      </c>
      <c r="B543" s="7">
        <v>0.62569444444444444</v>
      </c>
      <c r="C543" s="2" t="str">
        <f>"FES1162730387"</f>
        <v>FES1162730387</v>
      </c>
      <c r="D543" s="2" t="s">
        <v>19</v>
      </c>
      <c r="E543" s="2" t="s">
        <v>222</v>
      </c>
      <c r="F543" s="2" t="str">
        <f>"2170723004 "</f>
        <v xml:space="preserve">2170723004 </v>
      </c>
      <c r="G543" s="2" t="str">
        <f t="shared" si="17"/>
        <v>ON1</v>
      </c>
      <c r="H543" s="2" t="s">
        <v>21</v>
      </c>
      <c r="I543" s="2" t="s">
        <v>28</v>
      </c>
      <c r="J543" s="2" t="str">
        <f>""</f>
        <v/>
      </c>
      <c r="K543" s="2" t="str">
        <f>"PFES1162730387_0001"</f>
        <v>PFES1162730387_0001</v>
      </c>
      <c r="L543" s="2">
        <v>1</v>
      </c>
      <c r="M543" s="2">
        <v>1</v>
      </c>
    </row>
    <row r="544" spans="1:13">
      <c r="A544" s="6">
        <v>43838</v>
      </c>
      <c r="B544" s="7">
        <v>0.625</v>
      </c>
      <c r="C544" s="2" t="str">
        <f>"FES1162730224"</f>
        <v>FES1162730224</v>
      </c>
      <c r="D544" s="2" t="s">
        <v>19</v>
      </c>
      <c r="E544" s="2" t="s">
        <v>437</v>
      </c>
      <c r="F544" s="2" t="str">
        <f>"2170719638 "</f>
        <v xml:space="preserve">2170719638 </v>
      </c>
      <c r="G544" s="2" t="str">
        <f t="shared" si="17"/>
        <v>ON1</v>
      </c>
      <c r="H544" s="2" t="s">
        <v>21</v>
      </c>
      <c r="I544" s="2" t="s">
        <v>438</v>
      </c>
      <c r="J544" s="2" t="str">
        <f>""</f>
        <v/>
      </c>
      <c r="K544" s="2" t="str">
        <f>"PFES1162730224_0001"</f>
        <v>PFES1162730224_0001</v>
      </c>
      <c r="L544" s="2">
        <v>1</v>
      </c>
      <c r="M544" s="2">
        <v>1</v>
      </c>
    </row>
    <row r="545" spans="1:13">
      <c r="A545" s="6">
        <v>43838</v>
      </c>
      <c r="B545" s="7">
        <v>0.62430555555555556</v>
      </c>
      <c r="C545" s="2" t="str">
        <f>"FES1162730150"</f>
        <v>FES1162730150</v>
      </c>
      <c r="D545" s="2" t="s">
        <v>19</v>
      </c>
      <c r="E545" s="2" t="s">
        <v>29</v>
      </c>
      <c r="F545" s="2" t="str">
        <f>"2170722591 "</f>
        <v xml:space="preserve">2170722591 </v>
      </c>
      <c r="G545" s="2" t="str">
        <f t="shared" si="17"/>
        <v>ON1</v>
      </c>
      <c r="H545" s="2" t="s">
        <v>21</v>
      </c>
      <c r="I545" s="2" t="s">
        <v>22</v>
      </c>
      <c r="J545" s="2" t="str">
        <f>""</f>
        <v/>
      </c>
      <c r="K545" s="2" t="str">
        <f>"PFES1162730150_0001"</f>
        <v>PFES1162730150_0001</v>
      </c>
      <c r="L545" s="2">
        <v>1</v>
      </c>
      <c r="M545" s="2">
        <v>1</v>
      </c>
    </row>
    <row r="546" spans="1:13">
      <c r="A546" s="6">
        <v>43838</v>
      </c>
      <c r="B546" s="7">
        <v>0.62291666666666667</v>
      </c>
      <c r="C546" s="2" t="str">
        <f>"FES1162730272"</f>
        <v>FES1162730272</v>
      </c>
      <c r="D546" s="2" t="s">
        <v>19</v>
      </c>
      <c r="E546" s="2" t="s">
        <v>439</v>
      </c>
      <c r="F546" s="2" t="str">
        <f>"2170721059 "</f>
        <v xml:space="preserve">2170721059 </v>
      </c>
      <c r="G546" s="2" t="str">
        <f t="shared" si="17"/>
        <v>ON1</v>
      </c>
      <c r="H546" s="2" t="s">
        <v>21</v>
      </c>
      <c r="I546" s="2" t="s">
        <v>440</v>
      </c>
      <c r="J546" s="2" t="str">
        <f>""</f>
        <v/>
      </c>
      <c r="K546" s="2" t="str">
        <f>"PFES1162730272_0001"</f>
        <v>PFES1162730272_0001</v>
      </c>
      <c r="L546" s="2">
        <v>1</v>
      </c>
      <c r="M546" s="2">
        <v>1</v>
      </c>
    </row>
    <row r="547" spans="1:13">
      <c r="A547" s="6">
        <v>43838</v>
      </c>
      <c r="B547" s="7">
        <v>0.62222222222222223</v>
      </c>
      <c r="C547" s="2" t="str">
        <f>"FES1162730348"</f>
        <v>FES1162730348</v>
      </c>
      <c r="D547" s="2" t="s">
        <v>19</v>
      </c>
      <c r="E547" s="2" t="s">
        <v>201</v>
      </c>
      <c r="F547" s="2" t="str">
        <f>"2170722958 "</f>
        <v xml:space="preserve">2170722958 </v>
      </c>
      <c r="G547" s="2" t="str">
        <f t="shared" si="17"/>
        <v>ON1</v>
      </c>
      <c r="H547" s="2" t="s">
        <v>21</v>
      </c>
      <c r="I547" s="2" t="s">
        <v>202</v>
      </c>
      <c r="J547" s="2" t="str">
        <f>""</f>
        <v/>
      </c>
      <c r="K547" s="2" t="str">
        <f>"PFES1162730348_0001"</f>
        <v>PFES1162730348_0001</v>
      </c>
      <c r="L547" s="2">
        <v>1</v>
      </c>
      <c r="M547" s="2">
        <v>1</v>
      </c>
    </row>
    <row r="548" spans="1:13">
      <c r="A548" s="6">
        <v>43838</v>
      </c>
      <c r="B548" s="7">
        <v>0.62152777777777779</v>
      </c>
      <c r="C548" s="2" t="str">
        <f>"FES1162730376"</f>
        <v>FES1162730376</v>
      </c>
      <c r="D548" s="2" t="s">
        <v>19</v>
      </c>
      <c r="E548" s="2" t="s">
        <v>101</v>
      </c>
      <c r="F548" s="2" t="str">
        <f>"2170722987 "</f>
        <v xml:space="preserve">2170722987 </v>
      </c>
      <c r="G548" s="2" t="str">
        <f t="shared" si="17"/>
        <v>ON1</v>
      </c>
      <c r="H548" s="2" t="s">
        <v>21</v>
      </c>
      <c r="I548" s="2" t="s">
        <v>102</v>
      </c>
      <c r="J548" s="2" t="str">
        <f>""</f>
        <v/>
      </c>
      <c r="K548" s="2" t="str">
        <f>"PFES1162730376_0001"</f>
        <v>PFES1162730376_0001</v>
      </c>
      <c r="L548" s="2">
        <v>1</v>
      </c>
      <c r="M548" s="2">
        <v>1</v>
      </c>
    </row>
    <row r="549" spans="1:13">
      <c r="A549" s="6">
        <v>43838</v>
      </c>
      <c r="B549" s="7">
        <v>0.62083333333333335</v>
      </c>
      <c r="C549" s="2" t="str">
        <f>"FES1162730375"</f>
        <v>FES1162730375</v>
      </c>
      <c r="D549" s="2" t="s">
        <v>19</v>
      </c>
      <c r="E549" s="2" t="s">
        <v>441</v>
      </c>
      <c r="F549" s="2" t="str">
        <f>"2170722986 "</f>
        <v xml:space="preserve">2170722986 </v>
      </c>
      <c r="G549" s="2" t="str">
        <f t="shared" si="17"/>
        <v>ON1</v>
      </c>
      <c r="H549" s="2" t="s">
        <v>21</v>
      </c>
      <c r="I549" s="2" t="s">
        <v>73</v>
      </c>
      <c r="J549" s="2" t="str">
        <f>""</f>
        <v/>
      </c>
      <c r="K549" s="2" t="str">
        <f>"PFES1162730375_0001"</f>
        <v>PFES1162730375_0001</v>
      </c>
      <c r="L549" s="2">
        <v>1</v>
      </c>
      <c r="M549" s="2">
        <v>1</v>
      </c>
    </row>
    <row r="550" spans="1:13">
      <c r="A550" s="6">
        <v>43838</v>
      </c>
      <c r="B550" s="7">
        <v>0.62013888888888891</v>
      </c>
      <c r="C550" s="2" t="str">
        <f>"FES1162730308"</f>
        <v>FES1162730308</v>
      </c>
      <c r="D550" s="2" t="s">
        <v>19</v>
      </c>
      <c r="E550" s="2" t="s">
        <v>101</v>
      </c>
      <c r="F550" s="2" t="str">
        <f>"2170721483 "</f>
        <v xml:space="preserve">2170721483 </v>
      </c>
      <c r="G550" s="2" t="str">
        <f t="shared" si="17"/>
        <v>ON1</v>
      </c>
      <c r="H550" s="2" t="s">
        <v>21</v>
      </c>
      <c r="I550" s="2" t="s">
        <v>102</v>
      </c>
      <c r="J550" s="2" t="str">
        <f>""</f>
        <v/>
      </c>
      <c r="K550" s="2" t="str">
        <f>"PFES1162730308_0001"</f>
        <v>PFES1162730308_0001</v>
      </c>
      <c r="L550" s="2">
        <v>1</v>
      </c>
      <c r="M550" s="2">
        <v>1</v>
      </c>
    </row>
    <row r="551" spans="1:13">
      <c r="A551" s="6">
        <v>43838</v>
      </c>
      <c r="B551" s="7">
        <v>0.61944444444444446</v>
      </c>
      <c r="C551" s="2" t="str">
        <f>"FES1162730239"</f>
        <v>FES1162730239</v>
      </c>
      <c r="D551" s="2" t="s">
        <v>19</v>
      </c>
      <c r="E551" s="2" t="s">
        <v>442</v>
      </c>
      <c r="F551" s="2" t="str">
        <f>"2170721622 "</f>
        <v xml:space="preserve">2170721622 </v>
      </c>
      <c r="G551" s="2" t="str">
        <f t="shared" si="17"/>
        <v>ON1</v>
      </c>
      <c r="H551" s="2" t="s">
        <v>21</v>
      </c>
      <c r="I551" s="2" t="s">
        <v>403</v>
      </c>
      <c r="J551" s="2" t="str">
        <f>""</f>
        <v/>
      </c>
      <c r="K551" s="2" t="str">
        <f>"PFES1162730239_0001"</f>
        <v>PFES1162730239_0001</v>
      </c>
      <c r="L551" s="2">
        <v>1</v>
      </c>
      <c r="M551" s="2">
        <v>1</v>
      </c>
    </row>
    <row r="552" spans="1:13">
      <c r="A552" s="6">
        <v>43838</v>
      </c>
      <c r="B552" s="7">
        <v>0.61944444444444446</v>
      </c>
      <c r="C552" s="2" t="str">
        <f>"FES1162730312"</f>
        <v>FES1162730312</v>
      </c>
      <c r="D552" s="2" t="s">
        <v>19</v>
      </c>
      <c r="E552" s="2" t="s">
        <v>68</v>
      </c>
      <c r="F552" s="2" t="str">
        <f>"2170721549 "</f>
        <v xml:space="preserve">2170721549 </v>
      </c>
      <c r="G552" s="2" t="str">
        <f t="shared" si="17"/>
        <v>ON1</v>
      </c>
      <c r="H552" s="2" t="s">
        <v>21</v>
      </c>
      <c r="I552" s="2" t="s">
        <v>69</v>
      </c>
      <c r="J552" s="2" t="str">
        <f>""</f>
        <v/>
      </c>
      <c r="K552" s="2" t="str">
        <f>"PFES1162730312_0001"</f>
        <v>PFES1162730312_0001</v>
      </c>
      <c r="L552" s="2">
        <v>1</v>
      </c>
      <c r="M552" s="2">
        <v>12</v>
      </c>
    </row>
    <row r="553" spans="1:13">
      <c r="A553" s="6">
        <v>43838</v>
      </c>
      <c r="B553" s="7">
        <v>0.61944444444444446</v>
      </c>
      <c r="C553" s="2" t="str">
        <f>"FES1162730144"</f>
        <v>FES1162730144</v>
      </c>
      <c r="D553" s="2" t="s">
        <v>19</v>
      </c>
      <c r="E553" s="2" t="s">
        <v>30</v>
      </c>
      <c r="F553" s="2" t="str">
        <f>"2170721283 "</f>
        <v xml:space="preserve">2170721283 </v>
      </c>
      <c r="G553" s="2" t="str">
        <f t="shared" si="17"/>
        <v>ON1</v>
      </c>
      <c r="H553" s="2" t="s">
        <v>21</v>
      </c>
      <c r="I553" s="2" t="s">
        <v>31</v>
      </c>
      <c r="J553" s="2" t="str">
        <f>""</f>
        <v/>
      </c>
      <c r="K553" s="2" t="str">
        <f>"PFES1162730144_0001"</f>
        <v>PFES1162730144_0001</v>
      </c>
      <c r="L553" s="2">
        <v>1</v>
      </c>
      <c r="M553" s="2">
        <v>1</v>
      </c>
    </row>
    <row r="554" spans="1:13">
      <c r="A554" s="6">
        <v>43838</v>
      </c>
      <c r="B554" s="7">
        <v>0.61875000000000002</v>
      </c>
      <c r="C554" s="2" t="str">
        <f>"FES1162730313"</f>
        <v>FES1162730313</v>
      </c>
      <c r="D554" s="2" t="s">
        <v>19</v>
      </c>
      <c r="E554" s="2" t="s">
        <v>306</v>
      </c>
      <c r="F554" s="2" t="str">
        <f>"2170721564 "</f>
        <v xml:space="preserve">2170721564 </v>
      </c>
      <c r="G554" s="2" t="str">
        <f t="shared" si="17"/>
        <v>ON1</v>
      </c>
      <c r="H554" s="2" t="s">
        <v>21</v>
      </c>
      <c r="I554" s="2" t="s">
        <v>307</v>
      </c>
      <c r="J554" s="2" t="str">
        <f>""</f>
        <v/>
      </c>
      <c r="K554" s="2" t="str">
        <f>"PFES1162730313_0001"</f>
        <v>PFES1162730313_0001</v>
      </c>
      <c r="L554" s="2">
        <v>1</v>
      </c>
      <c r="M554" s="2">
        <v>2</v>
      </c>
    </row>
    <row r="555" spans="1:13">
      <c r="A555" s="6">
        <v>43838</v>
      </c>
      <c r="B555" s="7">
        <v>0.61875000000000002</v>
      </c>
      <c r="C555" s="2" t="str">
        <f>"FES1162730238"</f>
        <v>FES1162730238</v>
      </c>
      <c r="D555" s="2" t="s">
        <v>19</v>
      </c>
      <c r="E555" s="2" t="s">
        <v>443</v>
      </c>
      <c r="F555" s="2" t="str">
        <f>"2170721618 "</f>
        <v xml:space="preserve">2170721618 </v>
      </c>
      <c r="G555" s="2" t="str">
        <f t="shared" si="17"/>
        <v>ON1</v>
      </c>
      <c r="H555" s="2" t="s">
        <v>21</v>
      </c>
      <c r="I555" s="2" t="s">
        <v>444</v>
      </c>
      <c r="J555" s="2" t="str">
        <f>""</f>
        <v/>
      </c>
      <c r="K555" s="2" t="str">
        <f>"PFES1162730238_0001"</f>
        <v>PFES1162730238_0001</v>
      </c>
      <c r="L555" s="2">
        <v>1</v>
      </c>
      <c r="M555" s="2">
        <v>2</v>
      </c>
    </row>
    <row r="556" spans="1:13">
      <c r="A556" s="6">
        <v>43838</v>
      </c>
      <c r="B556" s="7">
        <v>0.61875000000000002</v>
      </c>
      <c r="C556" s="2" t="str">
        <f>"FES1162730367"</f>
        <v>FES1162730367</v>
      </c>
      <c r="D556" s="2" t="s">
        <v>19</v>
      </c>
      <c r="E556" s="2" t="s">
        <v>445</v>
      </c>
      <c r="F556" s="2" t="str">
        <f>"2170722976 "</f>
        <v xml:space="preserve">2170722976 </v>
      </c>
      <c r="G556" s="2" t="str">
        <f t="shared" si="17"/>
        <v>ON1</v>
      </c>
      <c r="H556" s="2" t="s">
        <v>21</v>
      </c>
      <c r="I556" s="2" t="s">
        <v>277</v>
      </c>
      <c r="J556" s="2" t="str">
        <f>""</f>
        <v/>
      </c>
      <c r="K556" s="2" t="str">
        <f>"PFES1162730367_0001"</f>
        <v>PFES1162730367_0001</v>
      </c>
      <c r="L556" s="2">
        <v>1</v>
      </c>
      <c r="M556" s="2">
        <v>2</v>
      </c>
    </row>
    <row r="557" spans="1:13">
      <c r="A557" s="6">
        <v>43838</v>
      </c>
      <c r="B557" s="7">
        <v>0.61805555555555558</v>
      </c>
      <c r="C557" s="2" t="str">
        <f>"FES1162730258"</f>
        <v>FES1162730258</v>
      </c>
      <c r="D557" s="2" t="s">
        <v>19</v>
      </c>
      <c r="E557" s="2" t="s">
        <v>446</v>
      </c>
      <c r="F557" s="2" t="str">
        <f>"2170722944 "</f>
        <v xml:space="preserve">2170722944 </v>
      </c>
      <c r="G557" s="2" t="str">
        <f t="shared" si="17"/>
        <v>ON1</v>
      </c>
      <c r="H557" s="2" t="s">
        <v>21</v>
      </c>
      <c r="I557" s="2" t="s">
        <v>53</v>
      </c>
      <c r="J557" s="2" t="str">
        <f>""</f>
        <v/>
      </c>
      <c r="K557" s="2" t="str">
        <f>"PFES1162730258_0001"</f>
        <v>PFES1162730258_0001</v>
      </c>
      <c r="L557" s="2">
        <v>1</v>
      </c>
      <c r="M557" s="2">
        <v>1</v>
      </c>
    </row>
    <row r="558" spans="1:13">
      <c r="A558" s="6">
        <v>43838</v>
      </c>
      <c r="B558" s="7">
        <v>0.61805555555555558</v>
      </c>
      <c r="C558" s="2" t="str">
        <f>"FES1162730135"</f>
        <v>FES1162730135</v>
      </c>
      <c r="D558" s="2" t="s">
        <v>19</v>
      </c>
      <c r="E558" s="2" t="s">
        <v>352</v>
      </c>
      <c r="F558" s="2" t="str">
        <f>"2170722906 "</f>
        <v xml:space="preserve">2170722906 </v>
      </c>
      <c r="G558" s="2" t="str">
        <f t="shared" si="17"/>
        <v>ON1</v>
      </c>
      <c r="H558" s="2" t="s">
        <v>21</v>
      </c>
      <c r="I558" s="2" t="s">
        <v>114</v>
      </c>
      <c r="J558" s="2" t="str">
        <f>""</f>
        <v/>
      </c>
      <c r="K558" s="2" t="str">
        <f>"PFES1162730135_0001"</f>
        <v>PFES1162730135_0001</v>
      </c>
      <c r="L558" s="2">
        <v>2</v>
      </c>
      <c r="M558" s="2">
        <v>5</v>
      </c>
    </row>
    <row r="559" spans="1:13">
      <c r="A559" s="6">
        <v>43838</v>
      </c>
      <c r="B559" s="7">
        <v>0.61805555555555558</v>
      </c>
      <c r="C559" s="2" t="str">
        <f>"FES1162730135"</f>
        <v>FES1162730135</v>
      </c>
      <c r="D559" s="2" t="s">
        <v>19</v>
      </c>
      <c r="E559" s="2" t="s">
        <v>352</v>
      </c>
      <c r="F559" s="2" t="str">
        <f>"2170722906 "</f>
        <v xml:space="preserve">2170722906 </v>
      </c>
      <c r="G559" s="2" t="str">
        <f t="shared" si="17"/>
        <v>ON1</v>
      </c>
      <c r="H559" s="2" t="s">
        <v>21</v>
      </c>
      <c r="I559" s="2" t="s">
        <v>114</v>
      </c>
      <c r="J559" s="2"/>
      <c r="K559" s="2" t="str">
        <f>"PFES1162730135_0002"</f>
        <v>PFES1162730135_0002</v>
      </c>
      <c r="L559" s="2">
        <v>2</v>
      </c>
      <c r="M559" s="2">
        <v>5</v>
      </c>
    </row>
    <row r="560" spans="1:13">
      <c r="A560" s="6">
        <v>43838</v>
      </c>
      <c r="B560" s="7">
        <v>0.61805555555555558</v>
      </c>
      <c r="C560" s="2" t="str">
        <f>"FES1162730368"</f>
        <v>FES1162730368</v>
      </c>
      <c r="D560" s="2" t="s">
        <v>19</v>
      </c>
      <c r="E560" s="2" t="s">
        <v>447</v>
      </c>
      <c r="F560" s="2" t="str">
        <f>"2170722978 "</f>
        <v xml:space="preserve">2170722978 </v>
      </c>
      <c r="G560" s="2" t="str">
        <f t="shared" si="17"/>
        <v>ON1</v>
      </c>
      <c r="H560" s="2" t="s">
        <v>21</v>
      </c>
      <c r="I560" s="2" t="s">
        <v>448</v>
      </c>
      <c r="J560" s="2" t="str">
        <f>""</f>
        <v/>
      </c>
      <c r="K560" s="2" t="str">
        <f>"PFES1162730368_0001"</f>
        <v>PFES1162730368_0001</v>
      </c>
      <c r="L560" s="2">
        <v>1</v>
      </c>
      <c r="M560" s="2">
        <v>5</v>
      </c>
    </row>
    <row r="561" spans="1:13">
      <c r="A561" s="6">
        <v>43838</v>
      </c>
      <c r="B561" s="7">
        <v>0.61736111111111114</v>
      </c>
      <c r="C561" s="2" t="str">
        <f>"FES1162730274"</f>
        <v>FES1162730274</v>
      </c>
      <c r="D561" s="2" t="s">
        <v>19</v>
      </c>
      <c r="E561" s="2" t="s">
        <v>449</v>
      </c>
      <c r="F561" s="2" t="str">
        <f>"2170721097 "</f>
        <v xml:space="preserve">2170721097 </v>
      </c>
      <c r="G561" s="2" t="str">
        <f t="shared" si="17"/>
        <v>ON1</v>
      </c>
      <c r="H561" s="2" t="s">
        <v>21</v>
      </c>
      <c r="I561" s="2" t="s">
        <v>403</v>
      </c>
      <c r="J561" s="2" t="str">
        <f>""</f>
        <v/>
      </c>
      <c r="K561" s="2" t="str">
        <f>"PFES1162730274_0001"</f>
        <v>PFES1162730274_0001</v>
      </c>
      <c r="L561" s="2">
        <v>1</v>
      </c>
      <c r="M561" s="2">
        <v>1</v>
      </c>
    </row>
    <row r="562" spans="1:13">
      <c r="A562" s="6">
        <v>43838</v>
      </c>
      <c r="B562" s="7">
        <v>0.61736111111111114</v>
      </c>
      <c r="C562" s="2" t="str">
        <f>"FES1162730199"</f>
        <v>FES1162730199</v>
      </c>
      <c r="D562" s="2" t="s">
        <v>19</v>
      </c>
      <c r="E562" s="2" t="s">
        <v>352</v>
      </c>
      <c r="F562" s="2" t="str">
        <f>"2170722834 "</f>
        <v xml:space="preserve">2170722834 </v>
      </c>
      <c r="G562" s="2" t="str">
        <f t="shared" si="17"/>
        <v>ON1</v>
      </c>
      <c r="H562" s="2" t="s">
        <v>21</v>
      </c>
      <c r="I562" s="2" t="s">
        <v>114</v>
      </c>
      <c r="J562" s="2" t="str">
        <f>""</f>
        <v/>
      </c>
      <c r="K562" s="2" t="str">
        <f>"PFES1162730199_0001"</f>
        <v>PFES1162730199_0001</v>
      </c>
      <c r="L562" s="2">
        <v>1</v>
      </c>
      <c r="M562" s="2">
        <v>2</v>
      </c>
    </row>
    <row r="563" spans="1:13">
      <c r="A563" s="6">
        <v>43838</v>
      </c>
      <c r="B563" s="7">
        <v>0.61736111111111114</v>
      </c>
      <c r="C563" s="2" t="str">
        <f>"FES1162730175"</f>
        <v>FES1162730175</v>
      </c>
      <c r="D563" s="2" t="s">
        <v>19</v>
      </c>
      <c r="E563" s="2" t="s">
        <v>248</v>
      </c>
      <c r="F563" s="2" t="str">
        <f>"2170721664 "</f>
        <v xml:space="preserve">2170721664 </v>
      </c>
      <c r="G563" s="2" t="str">
        <f t="shared" si="17"/>
        <v>ON1</v>
      </c>
      <c r="H563" s="2" t="s">
        <v>21</v>
      </c>
      <c r="I563" s="2" t="s">
        <v>247</v>
      </c>
      <c r="J563" s="2" t="str">
        <f>""</f>
        <v/>
      </c>
      <c r="K563" s="2" t="str">
        <f>"PFES1162730175_0001"</f>
        <v>PFES1162730175_0001</v>
      </c>
      <c r="L563" s="2">
        <v>1</v>
      </c>
      <c r="M563" s="2">
        <v>1</v>
      </c>
    </row>
    <row r="564" spans="1:13">
      <c r="A564" s="6">
        <v>43838</v>
      </c>
      <c r="B564" s="7">
        <v>0.6166666666666667</v>
      </c>
      <c r="C564" s="2" t="str">
        <f>"FES1162730363"</f>
        <v>FES1162730363</v>
      </c>
      <c r="D564" s="2" t="s">
        <v>19</v>
      </c>
      <c r="E564" s="2" t="s">
        <v>450</v>
      </c>
      <c r="F564" s="2" t="str">
        <f>"2170722973 "</f>
        <v xml:space="preserve">2170722973 </v>
      </c>
      <c r="G564" s="2" t="str">
        <f t="shared" si="17"/>
        <v>ON1</v>
      </c>
      <c r="H564" s="2" t="s">
        <v>21</v>
      </c>
      <c r="I564" s="2" t="s">
        <v>451</v>
      </c>
      <c r="J564" s="2" t="str">
        <f>""</f>
        <v/>
      </c>
      <c r="K564" s="2" t="str">
        <f>"PFES1162730363_0001"</f>
        <v>PFES1162730363_0001</v>
      </c>
      <c r="L564" s="2">
        <v>1</v>
      </c>
      <c r="M564" s="2">
        <v>6</v>
      </c>
    </row>
    <row r="565" spans="1:13">
      <c r="A565" s="6">
        <v>43838</v>
      </c>
      <c r="B565" s="7">
        <v>0.6166666666666667</v>
      </c>
      <c r="C565" s="2" t="str">
        <f>"FES1162730173"</f>
        <v>FES1162730173</v>
      </c>
      <c r="D565" s="2" t="s">
        <v>19</v>
      </c>
      <c r="E565" s="2" t="s">
        <v>452</v>
      </c>
      <c r="F565" s="2" t="str">
        <f>"2170721661 "</f>
        <v xml:space="preserve">2170721661 </v>
      </c>
      <c r="G565" s="2" t="str">
        <f t="shared" si="17"/>
        <v>ON1</v>
      </c>
      <c r="H565" s="2" t="s">
        <v>21</v>
      </c>
      <c r="I565" s="2" t="s">
        <v>453</v>
      </c>
      <c r="J565" s="2" t="str">
        <f>""</f>
        <v/>
      </c>
      <c r="K565" s="2" t="str">
        <f>"PFES1162730173_0001"</f>
        <v>PFES1162730173_0001</v>
      </c>
      <c r="L565" s="2">
        <v>1</v>
      </c>
      <c r="M565" s="2">
        <v>1</v>
      </c>
    </row>
    <row r="566" spans="1:13">
      <c r="A566" s="6">
        <v>43838</v>
      </c>
      <c r="B566" s="7">
        <v>0.60763888888888895</v>
      </c>
      <c r="C566" s="2" t="str">
        <f>"FES1162730350"</f>
        <v>FES1162730350</v>
      </c>
      <c r="D566" s="2" t="s">
        <v>19</v>
      </c>
      <c r="E566" s="2" t="s">
        <v>454</v>
      </c>
      <c r="F566" s="2" t="str">
        <f>"2170722962 "</f>
        <v xml:space="preserve">2170722962 </v>
      </c>
      <c r="G566" s="2" t="str">
        <f t="shared" si="17"/>
        <v>ON1</v>
      </c>
      <c r="H566" s="2" t="s">
        <v>21</v>
      </c>
      <c r="I566" s="2" t="s">
        <v>114</v>
      </c>
      <c r="J566" s="2" t="str">
        <f>""</f>
        <v/>
      </c>
      <c r="K566" s="2" t="str">
        <f>"PFES1162730350_0001"</f>
        <v>PFES1162730350_0001</v>
      </c>
      <c r="L566" s="2">
        <v>1</v>
      </c>
      <c r="M566" s="2">
        <v>2</v>
      </c>
    </row>
    <row r="567" spans="1:13">
      <c r="A567" s="6">
        <v>43838</v>
      </c>
      <c r="B567" s="7">
        <v>0.60763888888888895</v>
      </c>
      <c r="C567" s="2" t="str">
        <f>"FES1162730143"</f>
        <v>FES1162730143</v>
      </c>
      <c r="D567" s="2" t="s">
        <v>19</v>
      </c>
      <c r="E567" s="2" t="s">
        <v>143</v>
      </c>
      <c r="F567" s="2" t="str">
        <f>"2170721072 "</f>
        <v xml:space="preserve">2170721072 </v>
      </c>
      <c r="G567" s="2" t="str">
        <f t="shared" si="17"/>
        <v>ON1</v>
      </c>
      <c r="H567" s="2" t="s">
        <v>21</v>
      </c>
      <c r="I567" s="2" t="s">
        <v>137</v>
      </c>
      <c r="J567" s="2" t="str">
        <f>""</f>
        <v/>
      </c>
      <c r="K567" s="2" t="str">
        <f>"PFES1162730143_0001"</f>
        <v>PFES1162730143_0001</v>
      </c>
      <c r="L567" s="2">
        <v>1</v>
      </c>
      <c r="M567" s="2">
        <v>2</v>
      </c>
    </row>
    <row r="568" spans="1:13">
      <c r="A568" s="6">
        <v>43838</v>
      </c>
      <c r="B568" s="7">
        <v>0.6069444444444444</v>
      </c>
      <c r="C568" s="2" t="str">
        <f>"FES1162730320"</f>
        <v>FES1162730320</v>
      </c>
      <c r="D568" s="2" t="s">
        <v>19</v>
      </c>
      <c r="E568" s="2" t="s">
        <v>74</v>
      </c>
      <c r="F568" s="2" t="str">
        <f>"2170721638 "</f>
        <v xml:space="preserve">2170721638 </v>
      </c>
      <c r="G568" s="2" t="str">
        <f t="shared" ref="G568:G631" si="18">"ON1"</f>
        <v>ON1</v>
      </c>
      <c r="H568" s="2" t="s">
        <v>21</v>
      </c>
      <c r="I568" s="2" t="s">
        <v>49</v>
      </c>
      <c r="J568" s="2" t="str">
        <f>""</f>
        <v/>
      </c>
      <c r="K568" s="2" t="str">
        <f>"PFES1162730320_0001"</f>
        <v>PFES1162730320_0001</v>
      </c>
      <c r="L568" s="2">
        <v>1</v>
      </c>
      <c r="M568" s="2">
        <v>3</v>
      </c>
    </row>
    <row r="569" spans="1:13">
      <c r="A569" s="6">
        <v>43838</v>
      </c>
      <c r="B569" s="7">
        <v>0.6069444444444444</v>
      </c>
      <c r="C569" s="2" t="str">
        <f>"FES1162730385"</f>
        <v>FES1162730385</v>
      </c>
      <c r="D569" s="2" t="s">
        <v>19</v>
      </c>
      <c r="E569" s="2" t="s">
        <v>244</v>
      </c>
      <c r="F569" s="2" t="str">
        <f>"2170723002 "</f>
        <v xml:space="preserve">2170723002 </v>
      </c>
      <c r="G569" s="2" t="str">
        <f t="shared" si="18"/>
        <v>ON1</v>
      </c>
      <c r="H569" s="2" t="s">
        <v>21</v>
      </c>
      <c r="I569" s="2" t="s">
        <v>36</v>
      </c>
      <c r="J569" s="2" t="str">
        <f>""</f>
        <v/>
      </c>
      <c r="K569" s="2" t="str">
        <f>"PFES1162730385_0001"</f>
        <v>PFES1162730385_0001</v>
      </c>
      <c r="L569" s="2">
        <v>1</v>
      </c>
      <c r="M569" s="2">
        <v>2</v>
      </c>
    </row>
    <row r="570" spans="1:13">
      <c r="A570" s="6">
        <v>43838</v>
      </c>
      <c r="B570" s="7">
        <v>0.60625000000000007</v>
      </c>
      <c r="C570" s="2" t="str">
        <f>"FES1162730365"</f>
        <v>FES1162730365</v>
      </c>
      <c r="D570" s="2" t="s">
        <v>19</v>
      </c>
      <c r="E570" s="2" t="s">
        <v>314</v>
      </c>
      <c r="F570" s="2" t="str">
        <f>"2170722971 "</f>
        <v xml:space="preserve">2170722971 </v>
      </c>
      <c r="G570" s="2" t="str">
        <f t="shared" si="18"/>
        <v>ON1</v>
      </c>
      <c r="H570" s="2" t="s">
        <v>21</v>
      </c>
      <c r="I570" s="2" t="s">
        <v>315</v>
      </c>
      <c r="J570" s="2" t="str">
        <f>""</f>
        <v/>
      </c>
      <c r="K570" s="2" t="str">
        <f>"PFES1162730365_0001"</f>
        <v>PFES1162730365_0001</v>
      </c>
      <c r="L570" s="2">
        <v>1</v>
      </c>
      <c r="M570" s="2">
        <v>2</v>
      </c>
    </row>
    <row r="571" spans="1:13">
      <c r="A571" s="6">
        <v>43838</v>
      </c>
      <c r="B571" s="7">
        <v>0.60625000000000007</v>
      </c>
      <c r="C571" s="2" t="str">
        <f>"FES1162730000"</f>
        <v>FES1162730000</v>
      </c>
      <c r="D571" s="2" t="s">
        <v>19</v>
      </c>
      <c r="E571" s="2" t="s">
        <v>101</v>
      </c>
      <c r="F571" s="2" t="str">
        <f>"2170721636 "</f>
        <v xml:space="preserve">2170721636 </v>
      </c>
      <c r="G571" s="2" t="str">
        <f t="shared" si="18"/>
        <v>ON1</v>
      </c>
      <c r="H571" s="2" t="s">
        <v>21</v>
      </c>
      <c r="I571" s="2" t="s">
        <v>102</v>
      </c>
      <c r="J571" s="2" t="str">
        <f>""</f>
        <v/>
      </c>
      <c r="K571" s="2" t="str">
        <f>"PFES1162730000_0001"</f>
        <v>PFES1162730000_0001</v>
      </c>
      <c r="L571" s="2">
        <v>1</v>
      </c>
      <c r="M571" s="2">
        <v>1</v>
      </c>
    </row>
    <row r="572" spans="1:13">
      <c r="A572" s="6">
        <v>43838</v>
      </c>
      <c r="B572" s="7">
        <v>0.60625000000000007</v>
      </c>
      <c r="C572" s="2" t="str">
        <f>"FES1162730254"</f>
        <v>FES1162730254</v>
      </c>
      <c r="D572" s="2" t="s">
        <v>19</v>
      </c>
      <c r="E572" s="2" t="s">
        <v>101</v>
      </c>
      <c r="F572" s="2" t="str">
        <f>"2170722940 "</f>
        <v xml:space="preserve">2170722940 </v>
      </c>
      <c r="G572" s="2" t="str">
        <f t="shared" si="18"/>
        <v>ON1</v>
      </c>
      <c r="H572" s="2" t="s">
        <v>21</v>
      </c>
      <c r="I572" s="2" t="s">
        <v>102</v>
      </c>
      <c r="J572" s="2" t="str">
        <f>""</f>
        <v/>
      </c>
      <c r="K572" s="2" t="str">
        <f>"PFES1162730254_0001"</f>
        <v>PFES1162730254_0001</v>
      </c>
      <c r="L572" s="2">
        <v>1</v>
      </c>
      <c r="M572" s="2">
        <v>2</v>
      </c>
    </row>
    <row r="573" spans="1:13">
      <c r="A573" s="6">
        <v>43838</v>
      </c>
      <c r="B573" s="7">
        <v>0.60555555555555551</v>
      </c>
      <c r="C573" s="2" t="str">
        <f>"FES1162730361"</f>
        <v>FES1162730361</v>
      </c>
      <c r="D573" s="2" t="s">
        <v>19</v>
      </c>
      <c r="E573" s="2" t="s">
        <v>178</v>
      </c>
      <c r="F573" s="2" t="str">
        <f>"2170722969 "</f>
        <v xml:space="preserve">2170722969 </v>
      </c>
      <c r="G573" s="2" t="str">
        <f t="shared" si="18"/>
        <v>ON1</v>
      </c>
      <c r="H573" s="2" t="s">
        <v>21</v>
      </c>
      <c r="I573" s="2" t="s">
        <v>179</v>
      </c>
      <c r="J573" s="2" t="str">
        <f>""</f>
        <v/>
      </c>
      <c r="K573" s="2" t="str">
        <f>"PFES1162730361_0001"</f>
        <v>PFES1162730361_0001</v>
      </c>
      <c r="L573" s="2">
        <v>1</v>
      </c>
      <c r="M573" s="2">
        <v>2</v>
      </c>
    </row>
    <row r="574" spans="1:13">
      <c r="A574" s="6">
        <v>43838</v>
      </c>
      <c r="B574" s="7">
        <v>0.60555555555555551</v>
      </c>
      <c r="C574" s="2" t="str">
        <f>"FES1162730277"</f>
        <v>FES1162730277</v>
      </c>
      <c r="D574" s="2" t="s">
        <v>19</v>
      </c>
      <c r="E574" s="2" t="s">
        <v>352</v>
      </c>
      <c r="F574" s="2" t="str">
        <f>"2170721136 "</f>
        <v xml:space="preserve">2170721136 </v>
      </c>
      <c r="G574" s="2" t="str">
        <f t="shared" si="18"/>
        <v>ON1</v>
      </c>
      <c r="H574" s="2" t="s">
        <v>21</v>
      </c>
      <c r="I574" s="2" t="s">
        <v>114</v>
      </c>
      <c r="J574" s="2" t="str">
        <f>""</f>
        <v/>
      </c>
      <c r="K574" s="2" t="str">
        <f>"PFES1162730277_0001"</f>
        <v>PFES1162730277_0001</v>
      </c>
      <c r="L574" s="2">
        <v>1</v>
      </c>
      <c r="M574" s="2">
        <v>3</v>
      </c>
    </row>
    <row r="575" spans="1:13">
      <c r="A575" s="6">
        <v>43838</v>
      </c>
      <c r="B575" s="7">
        <v>0.60555555555555551</v>
      </c>
      <c r="C575" s="2" t="str">
        <f>"FES1162730366"</f>
        <v>FES1162730366</v>
      </c>
      <c r="D575" s="2" t="s">
        <v>19</v>
      </c>
      <c r="E575" s="2" t="s">
        <v>314</v>
      </c>
      <c r="F575" s="2" t="str">
        <f>"2170722975 "</f>
        <v xml:space="preserve">2170722975 </v>
      </c>
      <c r="G575" s="2" t="str">
        <f t="shared" si="18"/>
        <v>ON1</v>
      </c>
      <c r="H575" s="2" t="s">
        <v>21</v>
      </c>
      <c r="I575" s="2" t="s">
        <v>315</v>
      </c>
      <c r="J575" s="2" t="str">
        <f>""</f>
        <v/>
      </c>
      <c r="K575" s="2" t="str">
        <f>"PFES1162730366_0001"</f>
        <v>PFES1162730366_0001</v>
      </c>
      <c r="L575" s="2">
        <v>1</v>
      </c>
      <c r="M575" s="2">
        <v>1</v>
      </c>
    </row>
    <row r="576" spans="1:13">
      <c r="A576" s="6">
        <v>43838</v>
      </c>
      <c r="B576" s="7">
        <v>0.60486111111111118</v>
      </c>
      <c r="C576" s="2" t="str">
        <f>"FES1162730145"</f>
        <v>FES1162730145</v>
      </c>
      <c r="D576" s="2" t="s">
        <v>19</v>
      </c>
      <c r="E576" s="2" t="s">
        <v>455</v>
      </c>
      <c r="F576" s="2" t="str">
        <f>"2170721906 "</f>
        <v xml:space="preserve">2170721906 </v>
      </c>
      <c r="G576" s="2" t="str">
        <f t="shared" si="18"/>
        <v>ON1</v>
      </c>
      <c r="H576" s="2" t="s">
        <v>21</v>
      </c>
      <c r="I576" s="2" t="s">
        <v>368</v>
      </c>
      <c r="J576" s="2" t="str">
        <f>""</f>
        <v/>
      </c>
      <c r="K576" s="2" t="str">
        <f>"PFES1162730145_0001"</f>
        <v>PFES1162730145_0001</v>
      </c>
      <c r="L576" s="2">
        <v>1</v>
      </c>
      <c r="M576" s="2">
        <v>1</v>
      </c>
    </row>
    <row r="577" spans="1:13">
      <c r="A577" s="6">
        <v>43838</v>
      </c>
      <c r="B577" s="7">
        <v>0.60486111111111118</v>
      </c>
      <c r="C577" s="2" t="str">
        <f>"FES1162730362"</f>
        <v>FES1162730362</v>
      </c>
      <c r="D577" s="2" t="s">
        <v>19</v>
      </c>
      <c r="E577" s="2" t="s">
        <v>314</v>
      </c>
      <c r="F577" s="2" t="str">
        <f>"2170722970 "</f>
        <v xml:space="preserve">2170722970 </v>
      </c>
      <c r="G577" s="2" t="str">
        <f t="shared" si="18"/>
        <v>ON1</v>
      </c>
      <c r="H577" s="2" t="s">
        <v>21</v>
      </c>
      <c r="I577" s="2" t="s">
        <v>315</v>
      </c>
      <c r="J577" s="2" t="str">
        <f>""</f>
        <v/>
      </c>
      <c r="K577" s="2" t="str">
        <f>"PFES1162730362_0001"</f>
        <v>PFES1162730362_0001</v>
      </c>
      <c r="L577" s="2">
        <v>1</v>
      </c>
      <c r="M577" s="2">
        <v>1</v>
      </c>
    </row>
    <row r="578" spans="1:13">
      <c r="A578" s="6">
        <v>43838</v>
      </c>
      <c r="B578" s="7">
        <v>0.60486111111111118</v>
      </c>
      <c r="C578" s="2" t="str">
        <f>"FES1162730139"</f>
        <v>FES1162730139</v>
      </c>
      <c r="D578" s="2" t="s">
        <v>19</v>
      </c>
      <c r="E578" s="2" t="s">
        <v>262</v>
      </c>
      <c r="F578" s="2" t="str">
        <f>"2170719843 "</f>
        <v xml:space="preserve">2170719843 </v>
      </c>
      <c r="G578" s="2" t="str">
        <f t="shared" si="18"/>
        <v>ON1</v>
      </c>
      <c r="H578" s="2" t="s">
        <v>21</v>
      </c>
      <c r="I578" s="2" t="s">
        <v>114</v>
      </c>
      <c r="J578" s="2" t="str">
        <f>""</f>
        <v/>
      </c>
      <c r="K578" s="2" t="str">
        <f>"PFES1162730139_0001"</f>
        <v>PFES1162730139_0001</v>
      </c>
      <c r="L578" s="2">
        <v>1</v>
      </c>
      <c r="M578" s="2">
        <v>3</v>
      </c>
    </row>
    <row r="579" spans="1:13">
      <c r="A579" s="6">
        <v>43838</v>
      </c>
      <c r="B579" s="7">
        <v>0.60416666666666663</v>
      </c>
      <c r="C579" s="2" t="str">
        <f>"FES1162730260"</f>
        <v>FES1162730260</v>
      </c>
      <c r="D579" s="2" t="s">
        <v>19</v>
      </c>
      <c r="E579" s="2" t="s">
        <v>199</v>
      </c>
      <c r="F579" s="2" t="str">
        <f>"2170718470 "</f>
        <v xml:space="preserve">2170718470 </v>
      </c>
      <c r="G579" s="2" t="str">
        <f t="shared" si="18"/>
        <v>ON1</v>
      </c>
      <c r="H579" s="2" t="s">
        <v>21</v>
      </c>
      <c r="I579" s="2" t="s">
        <v>200</v>
      </c>
      <c r="J579" s="2" t="str">
        <f>""</f>
        <v/>
      </c>
      <c r="K579" s="2" t="str">
        <f>"PFES1162730260_0001"</f>
        <v>PFES1162730260_0001</v>
      </c>
      <c r="L579" s="2">
        <v>1</v>
      </c>
      <c r="M579" s="2">
        <v>1</v>
      </c>
    </row>
    <row r="580" spans="1:13">
      <c r="A580" s="6">
        <v>43838</v>
      </c>
      <c r="B580" s="7">
        <v>0.60416666666666663</v>
      </c>
      <c r="C580" s="2" t="str">
        <f>"FES1162730345"</f>
        <v>FES1162730345</v>
      </c>
      <c r="D580" s="2" t="s">
        <v>19</v>
      </c>
      <c r="E580" s="2" t="s">
        <v>342</v>
      </c>
      <c r="F580" s="2" t="str">
        <f>"2170722955 "</f>
        <v xml:space="preserve">2170722955 </v>
      </c>
      <c r="G580" s="2" t="str">
        <f t="shared" si="18"/>
        <v>ON1</v>
      </c>
      <c r="H580" s="2" t="s">
        <v>21</v>
      </c>
      <c r="I580" s="2" t="s">
        <v>233</v>
      </c>
      <c r="J580" s="2" t="str">
        <f>""</f>
        <v/>
      </c>
      <c r="K580" s="2" t="str">
        <f>"PFES1162730345_0001"</f>
        <v>PFES1162730345_0001</v>
      </c>
      <c r="L580" s="2">
        <v>1</v>
      </c>
      <c r="M580" s="2">
        <v>1</v>
      </c>
    </row>
    <row r="581" spans="1:13">
      <c r="A581" s="6">
        <v>43838</v>
      </c>
      <c r="B581" s="7">
        <v>0.60347222222222219</v>
      </c>
      <c r="C581" s="2" t="str">
        <f>"FES1162730240"</f>
        <v>FES1162730240</v>
      </c>
      <c r="D581" s="2" t="s">
        <v>19</v>
      </c>
      <c r="E581" s="2" t="s">
        <v>456</v>
      </c>
      <c r="F581" s="2" t="str">
        <f>"2170721625 "</f>
        <v xml:space="preserve">2170721625 </v>
      </c>
      <c r="G581" s="2" t="str">
        <f t="shared" si="18"/>
        <v>ON1</v>
      </c>
      <c r="H581" s="2" t="s">
        <v>21</v>
      </c>
      <c r="I581" s="2" t="s">
        <v>344</v>
      </c>
      <c r="J581" s="2" t="str">
        <f>""</f>
        <v/>
      </c>
      <c r="K581" s="2" t="str">
        <f>"PFES1162730240_0001"</f>
        <v>PFES1162730240_0001</v>
      </c>
      <c r="L581" s="2">
        <v>1</v>
      </c>
      <c r="M581" s="2">
        <v>1</v>
      </c>
    </row>
    <row r="582" spans="1:13">
      <c r="A582" s="6">
        <v>43838</v>
      </c>
      <c r="B582" s="7">
        <v>0.60347222222222219</v>
      </c>
      <c r="C582" s="2" t="str">
        <f>"FES1162730284"</f>
        <v>FES1162730284</v>
      </c>
      <c r="D582" s="2" t="s">
        <v>19</v>
      </c>
      <c r="E582" s="2" t="s">
        <v>457</v>
      </c>
      <c r="F582" s="2" t="str">
        <f>"2170721204 "</f>
        <v xml:space="preserve">2170721204 </v>
      </c>
      <c r="G582" s="2" t="str">
        <f t="shared" si="18"/>
        <v>ON1</v>
      </c>
      <c r="H582" s="2" t="s">
        <v>21</v>
      </c>
      <c r="I582" s="2" t="s">
        <v>381</v>
      </c>
      <c r="J582" s="2" t="str">
        <f>""</f>
        <v/>
      </c>
      <c r="K582" s="2" t="str">
        <f>"PFES1162730284_0001"</f>
        <v>PFES1162730284_0001</v>
      </c>
      <c r="L582" s="2">
        <v>1</v>
      </c>
      <c r="M582" s="2">
        <v>1</v>
      </c>
    </row>
    <row r="583" spans="1:13">
      <c r="A583" s="6">
        <v>43838</v>
      </c>
      <c r="B583" s="7">
        <v>0.60277777777777775</v>
      </c>
      <c r="C583" s="2" t="str">
        <f>"FES1162730179"</f>
        <v>FES1162730179</v>
      </c>
      <c r="D583" s="2" t="s">
        <v>19</v>
      </c>
      <c r="E583" s="2" t="s">
        <v>142</v>
      </c>
      <c r="F583" s="2" t="str">
        <f>"2170721688 "</f>
        <v xml:space="preserve">2170721688 </v>
      </c>
      <c r="G583" s="2" t="str">
        <f t="shared" si="18"/>
        <v>ON1</v>
      </c>
      <c r="H583" s="2" t="s">
        <v>21</v>
      </c>
      <c r="I583" s="2" t="s">
        <v>123</v>
      </c>
      <c r="J583" s="2" t="str">
        <f>""</f>
        <v/>
      </c>
      <c r="K583" s="2" t="str">
        <f>"PFES1162730179_0001"</f>
        <v>PFES1162730179_0001</v>
      </c>
      <c r="L583" s="2">
        <v>1</v>
      </c>
      <c r="M583" s="2">
        <v>1</v>
      </c>
    </row>
    <row r="584" spans="1:13">
      <c r="A584" s="6">
        <v>43838</v>
      </c>
      <c r="B584" s="7">
        <v>0.60277777777777775</v>
      </c>
      <c r="C584" s="2" t="str">
        <f>"FES1162730263"</f>
        <v>FES1162730263</v>
      </c>
      <c r="D584" s="2" t="s">
        <v>19</v>
      </c>
      <c r="E584" s="2" t="s">
        <v>199</v>
      </c>
      <c r="F584" s="2" t="str">
        <f>"2170720119 "</f>
        <v xml:space="preserve">2170720119 </v>
      </c>
      <c r="G584" s="2" t="str">
        <f t="shared" si="18"/>
        <v>ON1</v>
      </c>
      <c r="H584" s="2" t="s">
        <v>21</v>
      </c>
      <c r="I584" s="2" t="s">
        <v>200</v>
      </c>
      <c r="J584" s="2" t="str">
        <f>""</f>
        <v/>
      </c>
      <c r="K584" s="2" t="str">
        <f>"PFES1162730263_0001"</f>
        <v>PFES1162730263_0001</v>
      </c>
      <c r="L584" s="2">
        <v>1</v>
      </c>
      <c r="M584" s="2">
        <v>1</v>
      </c>
    </row>
    <row r="585" spans="1:13">
      <c r="A585" s="6">
        <v>43838</v>
      </c>
      <c r="B585" s="7">
        <v>0.60277777777777775</v>
      </c>
      <c r="C585" s="2" t="str">
        <f>"FES1162730213"</f>
        <v>FES1162730213</v>
      </c>
      <c r="D585" s="2" t="s">
        <v>19</v>
      </c>
      <c r="E585" s="2" t="s">
        <v>201</v>
      </c>
      <c r="F585" s="2" t="str">
        <f>"2170722536 "</f>
        <v xml:space="preserve">2170722536 </v>
      </c>
      <c r="G585" s="2" t="str">
        <f t="shared" si="18"/>
        <v>ON1</v>
      </c>
      <c r="H585" s="2" t="s">
        <v>21</v>
      </c>
      <c r="I585" s="2" t="s">
        <v>202</v>
      </c>
      <c r="J585" s="2" t="str">
        <f>""</f>
        <v/>
      </c>
      <c r="K585" s="2" t="str">
        <f>"PFES1162730213_0001"</f>
        <v>PFES1162730213_0001</v>
      </c>
      <c r="L585" s="2">
        <v>1</v>
      </c>
      <c r="M585" s="2">
        <v>1</v>
      </c>
    </row>
    <row r="586" spans="1:13">
      <c r="A586" s="6">
        <v>43838</v>
      </c>
      <c r="B586" s="7">
        <v>0.6020833333333333</v>
      </c>
      <c r="C586" s="2" t="str">
        <f>"FES1162730230"</f>
        <v>FES1162730230</v>
      </c>
      <c r="D586" s="2" t="s">
        <v>19</v>
      </c>
      <c r="E586" s="2" t="s">
        <v>458</v>
      </c>
      <c r="F586" s="2" t="str">
        <f>"2170721438 "</f>
        <v xml:space="preserve">2170721438 </v>
      </c>
      <c r="G586" s="2" t="str">
        <f t="shared" si="18"/>
        <v>ON1</v>
      </c>
      <c r="H586" s="2" t="s">
        <v>21</v>
      </c>
      <c r="I586" s="2" t="s">
        <v>459</v>
      </c>
      <c r="J586" s="2" t="str">
        <f>""</f>
        <v/>
      </c>
      <c r="K586" s="2" t="str">
        <f>"PFES1162730230_0001"</f>
        <v>PFES1162730230_0001</v>
      </c>
      <c r="L586" s="2">
        <v>1</v>
      </c>
      <c r="M586" s="2">
        <v>1</v>
      </c>
    </row>
    <row r="587" spans="1:13">
      <c r="A587" s="6">
        <v>43838</v>
      </c>
      <c r="B587" s="7">
        <v>0.6020833333333333</v>
      </c>
      <c r="C587" s="2" t="str">
        <f>"FES1162730151"</f>
        <v>FES1162730151</v>
      </c>
      <c r="D587" s="2" t="s">
        <v>19</v>
      </c>
      <c r="E587" s="2" t="s">
        <v>126</v>
      </c>
      <c r="F587" s="2" t="str">
        <f>"2170722732 "</f>
        <v xml:space="preserve">2170722732 </v>
      </c>
      <c r="G587" s="2" t="str">
        <f t="shared" si="18"/>
        <v>ON1</v>
      </c>
      <c r="H587" s="2" t="s">
        <v>21</v>
      </c>
      <c r="I587" s="2" t="s">
        <v>127</v>
      </c>
      <c r="J587" s="2" t="str">
        <f>""</f>
        <v/>
      </c>
      <c r="K587" s="2" t="str">
        <f>"PFES1162730151_0001"</f>
        <v>PFES1162730151_0001</v>
      </c>
      <c r="L587" s="2">
        <v>1</v>
      </c>
      <c r="M587" s="2">
        <v>1</v>
      </c>
    </row>
    <row r="588" spans="1:13">
      <c r="A588" s="6">
        <v>43838</v>
      </c>
      <c r="B588" s="7">
        <v>0.6020833333333333</v>
      </c>
      <c r="C588" s="2" t="str">
        <f>"FES1162730300"</f>
        <v>FES1162730300</v>
      </c>
      <c r="D588" s="2" t="s">
        <v>19</v>
      </c>
      <c r="E588" s="2" t="s">
        <v>245</v>
      </c>
      <c r="F588" s="2" t="str">
        <f>"217021364 "</f>
        <v xml:space="preserve">217021364 </v>
      </c>
      <c r="G588" s="2" t="str">
        <f t="shared" si="18"/>
        <v>ON1</v>
      </c>
      <c r="H588" s="2" t="s">
        <v>21</v>
      </c>
      <c r="I588" s="2" t="s">
        <v>96</v>
      </c>
      <c r="J588" s="2" t="str">
        <f>""</f>
        <v/>
      </c>
      <c r="K588" s="2" t="str">
        <f>"PFES1162730300_0001"</f>
        <v>PFES1162730300_0001</v>
      </c>
      <c r="L588" s="2">
        <v>1</v>
      </c>
      <c r="M588" s="2">
        <v>1</v>
      </c>
    </row>
    <row r="589" spans="1:13">
      <c r="A589" s="6">
        <v>43838</v>
      </c>
      <c r="B589" s="7">
        <v>0.60138888888888886</v>
      </c>
      <c r="C589" s="2" t="str">
        <f>"FES1162730318"</f>
        <v>FES1162730318</v>
      </c>
      <c r="D589" s="2" t="s">
        <v>19</v>
      </c>
      <c r="E589" s="2" t="s">
        <v>248</v>
      </c>
      <c r="F589" s="2" t="str">
        <f>"2170721612 "</f>
        <v xml:space="preserve">2170721612 </v>
      </c>
      <c r="G589" s="2" t="str">
        <f t="shared" si="18"/>
        <v>ON1</v>
      </c>
      <c r="H589" s="2" t="s">
        <v>21</v>
      </c>
      <c r="I589" s="2" t="s">
        <v>247</v>
      </c>
      <c r="J589" s="2" t="str">
        <f>""</f>
        <v/>
      </c>
      <c r="K589" s="2" t="str">
        <f>"PFES1162730318_0001"</f>
        <v>PFES1162730318_0001</v>
      </c>
      <c r="L589" s="2">
        <v>1</v>
      </c>
      <c r="M589" s="2">
        <v>1</v>
      </c>
    </row>
    <row r="590" spans="1:13">
      <c r="A590" s="6">
        <v>43838</v>
      </c>
      <c r="B590" s="7">
        <v>0.60138888888888886</v>
      </c>
      <c r="C590" s="2" t="str">
        <f>"FES1162730140"</f>
        <v>FES1162730140</v>
      </c>
      <c r="D590" s="2" t="s">
        <v>19</v>
      </c>
      <c r="E590" s="2" t="s">
        <v>460</v>
      </c>
      <c r="F590" s="2" t="str">
        <f>"2170719924 "</f>
        <v xml:space="preserve">2170719924 </v>
      </c>
      <c r="G590" s="2" t="str">
        <f t="shared" si="18"/>
        <v>ON1</v>
      </c>
      <c r="H590" s="2" t="s">
        <v>21</v>
      </c>
      <c r="I590" s="2" t="s">
        <v>461</v>
      </c>
      <c r="J590" s="2" t="str">
        <f>""</f>
        <v/>
      </c>
      <c r="K590" s="2" t="str">
        <f>"PFES1162730140_0001"</f>
        <v>PFES1162730140_0001</v>
      </c>
      <c r="L590" s="2">
        <v>1</v>
      </c>
      <c r="M590" s="2">
        <v>1</v>
      </c>
    </row>
    <row r="591" spans="1:13">
      <c r="A591" s="6">
        <v>43838</v>
      </c>
      <c r="B591" s="7">
        <v>0.60138888888888886</v>
      </c>
      <c r="C591" s="2" t="str">
        <f>"FES1162730189"</f>
        <v>FES1162730189</v>
      </c>
      <c r="D591" s="2" t="s">
        <v>19</v>
      </c>
      <c r="E591" s="2" t="s">
        <v>74</v>
      </c>
      <c r="F591" s="2" t="str">
        <f>"2170721777 "</f>
        <v xml:space="preserve">2170721777 </v>
      </c>
      <c r="G591" s="2" t="str">
        <f t="shared" si="18"/>
        <v>ON1</v>
      </c>
      <c r="H591" s="2" t="s">
        <v>21</v>
      </c>
      <c r="I591" s="2" t="s">
        <v>49</v>
      </c>
      <c r="J591" s="2" t="str">
        <f>""</f>
        <v/>
      </c>
      <c r="K591" s="2" t="str">
        <f>"PFES1162730189_0001"</f>
        <v>PFES1162730189_0001</v>
      </c>
      <c r="L591" s="2">
        <v>1</v>
      </c>
      <c r="M591" s="2">
        <v>1</v>
      </c>
    </row>
    <row r="592" spans="1:13">
      <c r="A592" s="6">
        <v>43838</v>
      </c>
      <c r="B592" s="7">
        <v>0.59583333333333333</v>
      </c>
      <c r="C592" s="2" t="str">
        <f>"FES1162730309"</f>
        <v>FES1162730309</v>
      </c>
      <c r="D592" s="2" t="s">
        <v>19</v>
      </c>
      <c r="E592" s="2" t="s">
        <v>462</v>
      </c>
      <c r="F592" s="2" t="str">
        <f>"2170721494 "</f>
        <v xml:space="preserve">2170721494 </v>
      </c>
      <c r="G592" s="2" t="str">
        <f t="shared" si="18"/>
        <v>ON1</v>
      </c>
      <c r="H592" s="2" t="s">
        <v>21</v>
      </c>
      <c r="I592" s="2" t="s">
        <v>38</v>
      </c>
      <c r="J592" s="2" t="str">
        <f>""</f>
        <v/>
      </c>
      <c r="K592" s="2" t="str">
        <f>"PFES1162730309_0001"</f>
        <v>PFES1162730309_0001</v>
      </c>
      <c r="L592" s="2">
        <v>1</v>
      </c>
      <c r="M592" s="2">
        <v>1</v>
      </c>
    </row>
    <row r="593" spans="1:13">
      <c r="A593" s="6">
        <v>43838</v>
      </c>
      <c r="B593" s="7">
        <v>0.59513888888888888</v>
      </c>
      <c r="C593" s="2" t="str">
        <f>"FES1162730402"</f>
        <v>FES1162730402</v>
      </c>
      <c r="D593" s="2" t="s">
        <v>19</v>
      </c>
      <c r="E593" s="2" t="s">
        <v>306</v>
      </c>
      <c r="F593" s="2" t="str">
        <f>"2170723024 "</f>
        <v xml:space="preserve">2170723024 </v>
      </c>
      <c r="G593" s="2" t="str">
        <f t="shared" si="18"/>
        <v>ON1</v>
      </c>
      <c r="H593" s="2" t="s">
        <v>21</v>
      </c>
      <c r="I593" s="2" t="s">
        <v>307</v>
      </c>
      <c r="J593" s="2" t="str">
        <f>""</f>
        <v/>
      </c>
      <c r="K593" s="2" t="str">
        <f>"PFES1162730402_0001"</f>
        <v>PFES1162730402_0001</v>
      </c>
      <c r="L593" s="2">
        <v>1</v>
      </c>
      <c r="M593" s="2">
        <v>1</v>
      </c>
    </row>
    <row r="594" spans="1:13">
      <c r="A594" s="6">
        <v>43838</v>
      </c>
      <c r="B594" s="7">
        <v>0.59097222222222223</v>
      </c>
      <c r="C594" s="2" t="str">
        <f>"FES1162730297"</f>
        <v>FES1162730297</v>
      </c>
      <c r="D594" s="2" t="s">
        <v>19</v>
      </c>
      <c r="E594" s="2" t="s">
        <v>463</v>
      </c>
      <c r="F594" s="2" t="str">
        <f>"217072134 "</f>
        <v xml:space="preserve">217072134 </v>
      </c>
      <c r="G594" s="2" t="str">
        <f t="shared" si="18"/>
        <v>ON1</v>
      </c>
      <c r="H594" s="2" t="s">
        <v>21</v>
      </c>
      <c r="I594" s="2" t="s">
        <v>320</v>
      </c>
      <c r="J594" s="2" t="str">
        <f>""</f>
        <v/>
      </c>
      <c r="K594" s="2" t="str">
        <f>"PFES1162730297_0001"</f>
        <v>PFES1162730297_0001</v>
      </c>
      <c r="L594" s="2">
        <v>1</v>
      </c>
      <c r="M594" s="2">
        <v>5</v>
      </c>
    </row>
    <row r="595" spans="1:13">
      <c r="A595" s="6">
        <v>43838</v>
      </c>
      <c r="B595" s="7">
        <v>0.59027777777777779</v>
      </c>
      <c r="C595" s="2" t="str">
        <f>"FES1162730349"</f>
        <v>FES1162730349</v>
      </c>
      <c r="D595" s="2" t="s">
        <v>19</v>
      </c>
      <c r="E595" s="2" t="s">
        <v>180</v>
      </c>
      <c r="F595" s="2" t="str">
        <f>"2170722959 "</f>
        <v xml:space="preserve">2170722959 </v>
      </c>
      <c r="G595" s="2" t="str">
        <f t="shared" si="18"/>
        <v>ON1</v>
      </c>
      <c r="H595" s="2" t="s">
        <v>21</v>
      </c>
      <c r="I595" s="2" t="s">
        <v>28</v>
      </c>
      <c r="J595" s="2" t="str">
        <f>""</f>
        <v/>
      </c>
      <c r="K595" s="2" t="str">
        <f>"PFES1162730349_0001"</f>
        <v>PFES1162730349_0001</v>
      </c>
      <c r="L595" s="2">
        <v>1</v>
      </c>
      <c r="M595" s="2">
        <v>5</v>
      </c>
    </row>
    <row r="596" spans="1:13">
      <c r="A596" s="6">
        <v>43838</v>
      </c>
      <c r="B596" s="7">
        <v>0.59027777777777779</v>
      </c>
      <c r="C596" s="2" t="str">
        <f>"FES1162730287"</f>
        <v>FES1162730287</v>
      </c>
      <c r="D596" s="2" t="s">
        <v>19</v>
      </c>
      <c r="E596" s="2" t="s">
        <v>464</v>
      </c>
      <c r="F596" s="2" t="str">
        <f>"2170721226 "</f>
        <v xml:space="preserve">2170721226 </v>
      </c>
      <c r="G596" s="2" t="str">
        <f t="shared" si="18"/>
        <v>ON1</v>
      </c>
      <c r="H596" s="2" t="s">
        <v>21</v>
      </c>
      <c r="I596" s="2" t="s">
        <v>24</v>
      </c>
      <c r="J596" s="2" t="str">
        <f>""</f>
        <v/>
      </c>
      <c r="K596" s="2" t="str">
        <f>"PFES1162730287_0001"</f>
        <v>PFES1162730287_0001</v>
      </c>
      <c r="L596" s="2">
        <v>1</v>
      </c>
      <c r="M596" s="2">
        <v>3</v>
      </c>
    </row>
    <row r="597" spans="1:13">
      <c r="A597" s="6">
        <v>43838</v>
      </c>
      <c r="B597" s="7">
        <v>0.59027777777777779</v>
      </c>
      <c r="C597" s="2" t="str">
        <f>"FES1162730354"</f>
        <v>FES1162730354</v>
      </c>
      <c r="D597" s="2" t="s">
        <v>19</v>
      </c>
      <c r="E597" s="2" t="s">
        <v>314</v>
      </c>
      <c r="F597" s="2" t="str">
        <f>"2170722964 "</f>
        <v xml:space="preserve">2170722964 </v>
      </c>
      <c r="G597" s="2" t="str">
        <f t="shared" si="18"/>
        <v>ON1</v>
      </c>
      <c r="H597" s="2" t="s">
        <v>21</v>
      </c>
      <c r="I597" s="2" t="s">
        <v>315</v>
      </c>
      <c r="J597" s="2" t="str">
        <f>""</f>
        <v/>
      </c>
      <c r="K597" s="2" t="str">
        <f>"PFES1162730354_0001"</f>
        <v>PFES1162730354_0001</v>
      </c>
      <c r="L597" s="2">
        <v>1</v>
      </c>
      <c r="M597" s="2">
        <v>2</v>
      </c>
    </row>
    <row r="598" spans="1:13">
      <c r="A598" s="6">
        <v>43838</v>
      </c>
      <c r="B598" s="7">
        <v>0.58958333333333335</v>
      </c>
      <c r="C598" s="2" t="str">
        <f>"FES1162730246"</f>
        <v>FES1162730246</v>
      </c>
      <c r="D598" s="2" t="s">
        <v>19</v>
      </c>
      <c r="E598" s="2" t="s">
        <v>359</v>
      </c>
      <c r="F598" s="2" t="str">
        <f>"2170721977 "</f>
        <v xml:space="preserve">2170721977 </v>
      </c>
      <c r="G598" s="2" t="str">
        <f t="shared" si="18"/>
        <v>ON1</v>
      </c>
      <c r="H598" s="2" t="s">
        <v>21</v>
      </c>
      <c r="I598" s="2" t="s">
        <v>165</v>
      </c>
      <c r="J598" s="2" t="str">
        <f>""</f>
        <v/>
      </c>
      <c r="K598" s="2" t="str">
        <f>"PFES1162730246_0001"</f>
        <v>PFES1162730246_0001</v>
      </c>
      <c r="L598" s="2">
        <v>1</v>
      </c>
      <c r="M598" s="2">
        <v>5</v>
      </c>
    </row>
    <row r="599" spans="1:13">
      <c r="A599" s="6">
        <v>43838</v>
      </c>
      <c r="B599" s="7">
        <v>0.58958333333333335</v>
      </c>
      <c r="C599" s="2" t="str">
        <f>"FES1162730248"</f>
        <v>FES1162730248</v>
      </c>
      <c r="D599" s="2" t="s">
        <v>19</v>
      </c>
      <c r="E599" s="2" t="s">
        <v>142</v>
      </c>
      <c r="F599" s="2" t="str">
        <f>"2170722838 "</f>
        <v xml:space="preserve">2170722838 </v>
      </c>
      <c r="G599" s="2" t="str">
        <f t="shared" si="18"/>
        <v>ON1</v>
      </c>
      <c r="H599" s="2" t="s">
        <v>21</v>
      </c>
      <c r="I599" s="2" t="s">
        <v>123</v>
      </c>
      <c r="J599" s="2" t="str">
        <f>""</f>
        <v/>
      </c>
      <c r="K599" s="2" t="str">
        <f>"PFES1162730248_0001"</f>
        <v>PFES1162730248_0001</v>
      </c>
      <c r="L599" s="2">
        <v>1</v>
      </c>
      <c r="M599" s="2">
        <v>1</v>
      </c>
    </row>
    <row r="600" spans="1:13">
      <c r="A600" s="6">
        <v>43838</v>
      </c>
      <c r="B600" s="7">
        <v>0.58888888888888891</v>
      </c>
      <c r="C600" s="2" t="str">
        <f>"FES1162730212"</f>
        <v>FES1162730212</v>
      </c>
      <c r="D600" s="2" t="s">
        <v>19</v>
      </c>
      <c r="E600" s="2" t="s">
        <v>352</v>
      </c>
      <c r="F600" s="2" t="str">
        <f>"217072207 "</f>
        <v xml:space="preserve">217072207 </v>
      </c>
      <c r="G600" s="2" t="str">
        <f t="shared" si="18"/>
        <v>ON1</v>
      </c>
      <c r="H600" s="2" t="s">
        <v>21</v>
      </c>
      <c r="I600" s="2" t="s">
        <v>114</v>
      </c>
      <c r="J600" s="2" t="str">
        <f>""</f>
        <v/>
      </c>
      <c r="K600" s="2" t="str">
        <f>"PFES1162730212_0001"</f>
        <v>PFES1162730212_0001</v>
      </c>
      <c r="L600" s="2">
        <v>1</v>
      </c>
      <c r="M600" s="2">
        <v>1</v>
      </c>
    </row>
    <row r="601" spans="1:13">
      <c r="A601" s="6">
        <v>43838</v>
      </c>
      <c r="B601" s="7">
        <v>0.58888888888888891</v>
      </c>
      <c r="C601" s="2" t="str">
        <f>"FES1162729826"</f>
        <v>FES1162729826</v>
      </c>
      <c r="D601" s="2" t="s">
        <v>19</v>
      </c>
      <c r="E601" s="2" t="s">
        <v>101</v>
      </c>
      <c r="F601" s="2" t="str">
        <f>"2170720981 "</f>
        <v xml:space="preserve">2170720981 </v>
      </c>
      <c r="G601" s="2" t="str">
        <f t="shared" si="18"/>
        <v>ON1</v>
      </c>
      <c r="H601" s="2" t="s">
        <v>21</v>
      </c>
      <c r="I601" s="2" t="s">
        <v>102</v>
      </c>
      <c r="J601" s="2" t="str">
        <f>""</f>
        <v/>
      </c>
      <c r="K601" s="2" t="str">
        <f>"PFES1162729826_0001"</f>
        <v>PFES1162729826_0001</v>
      </c>
      <c r="L601" s="2">
        <v>1</v>
      </c>
      <c r="M601" s="2">
        <v>1</v>
      </c>
    </row>
    <row r="602" spans="1:13">
      <c r="A602" s="6">
        <v>43838</v>
      </c>
      <c r="B602" s="7">
        <v>0.58888888888888891</v>
      </c>
      <c r="C602" s="2" t="str">
        <f>"FES1162730252"</f>
        <v>FES1162730252</v>
      </c>
      <c r="D602" s="2" t="s">
        <v>19</v>
      </c>
      <c r="E602" s="2" t="s">
        <v>101</v>
      </c>
      <c r="F602" s="2" t="str">
        <f>"2170722938 "</f>
        <v xml:space="preserve">2170722938 </v>
      </c>
      <c r="G602" s="2" t="str">
        <f t="shared" si="18"/>
        <v>ON1</v>
      </c>
      <c r="H602" s="2" t="s">
        <v>21</v>
      </c>
      <c r="I602" s="2" t="s">
        <v>102</v>
      </c>
      <c r="J602" s="2" t="str">
        <f>""</f>
        <v/>
      </c>
      <c r="K602" s="2" t="str">
        <f>"PFES1162730252_0001"</f>
        <v>PFES1162730252_0001</v>
      </c>
      <c r="L602" s="2">
        <v>1</v>
      </c>
      <c r="M602" s="2">
        <v>1</v>
      </c>
    </row>
    <row r="603" spans="1:13">
      <c r="A603" s="6">
        <v>43838</v>
      </c>
      <c r="B603" s="7">
        <v>0.58819444444444446</v>
      </c>
      <c r="C603" s="2" t="str">
        <f>"FES1162730174"</f>
        <v>FES1162730174</v>
      </c>
      <c r="D603" s="2" t="s">
        <v>19</v>
      </c>
      <c r="E603" s="2" t="s">
        <v>465</v>
      </c>
      <c r="F603" s="2" t="str">
        <f>"2170721662 "</f>
        <v xml:space="preserve">2170721662 </v>
      </c>
      <c r="G603" s="2" t="str">
        <f t="shared" si="18"/>
        <v>ON1</v>
      </c>
      <c r="H603" s="2" t="s">
        <v>21</v>
      </c>
      <c r="I603" s="2" t="s">
        <v>466</v>
      </c>
      <c r="J603" s="2" t="str">
        <f>""</f>
        <v/>
      </c>
      <c r="K603" s="2" t="str">
        <f>"PFES1162730174_0001"</f>
        <v>PFES1162730174_0001</v>
      </c>
      <c r="L603" s="2">
        <v>1</v>
      </c>
      <c r="M603" s="2">
        <v>1</v>
      </c>
    </row>
    <row r="604" spans="1:13">
      <c r="A604" s="6">
        <v>43838</v>
      </c>
      <c r="B604" s="7">
        <v>0.58819444444444446</v>
      </c>
      <c r="C604" s="2" t="str">
        <f>"FES1162730255"</f>
        <v>FES1162730255</v>
      </c>
      <c r="D604" s="2" t="s">
        <v>19</v>
      </c>
      <c r="E604" s="2" t="s">
        <v>101</v>
      </c>
      <c r="F604" s="2" t="str">
        <f>"2170722941 "</f>
        <v xml:space="preserve">2170722941 </v>
      </c>
      <c r="G604" s="2" t="str">
        <f t="shared" si="18"/>
        <v>ON1</v>
      </c>
      <c r="H604" s="2" t="s">
        <v>21</v>
      </c>
      <c r="I604" s="2" t="s">
        <v>102</v>
      </c>
      <c r="J604" s="2" t="str">
        <f>""</f>
        <v/>
      </c>
      <c r="K604" s="2" t="str">
        <f>"PFES1162730255_0001"</f>
        <v>PFES1162730255_0001</v>
      </c>
      <c r="L604" s="2">
        <v>1</v>
      </c>
      <c r="M604" s="2">
        <v>1</v>
      </c>
    </row>
    <row r="605" spans="1:13">
      <c r="A605" s="6">
        <v>43838</v>
      </c>
      <c r="B605" s="7">
        <v>0.58819444444444446</v>
      </c>
      <c r="C605" s="2" t="str">
        <f>"FES1162730182"</f>
        <v>FES1162730182</v>
      </c>
      <c r="D605" s="2" t="s">
        <v>19</v>
      </c>
      <c r="E605" s="2" t="s">
        <v>437</v>
      </c>
      <c r="F605" s="2" t="str">
        <f>"2170721709 "</f>
        <v xml:space="preserve">2170721709 </v>
      </c>
      <c r="G605" s="2" t="str">
        <f t="shared" si="18"/>
        <v>ON1</v>
      </c>
      <c r="H605" s="2" t="s">
        <v>21</v>
      </c>
      <c r="I605" s="2" t="s">
        <v>438</v>
      </c>
      <c r="J605" s="2" t="str">
        <f>""</f>
        <v/>
      </c>
      <c r="K605" s="2" t="str">
        <f>"PFES1162730182_0001"</f>
        <v>PFES1162730182_0001</v>
      </c>
      <c r="L605" s="2">
        <v>1</v>
      </c>
      <c r="M605" s="2">
        <v>1</v>
      </c>
    </row>
    <row r="606" spans="1:13">
      <c r="A606" s="6">
        <v>43838</v>
      </c>
      <c r="B606" s="7">
        <v>0.58750000000000002</v>
      </c>
      <c r="C606" s="2" t="str">
        <f>"FES1162730293"</f>
        <v>FES1162730293</v>
      </c>
      <c r="D606" s="2" t="s">
        <v>19</v>
      </c>
      <c r="E606" s="2" t="s">
        <v>151</v>
      </c>
      <c r="F606" s="2" t="str">
        <f>"2170721309 "</f>
        <v xml:space="preserve">2170721309 </v>
      </c>
      <c r="G606" s="2" t="str">
        <f t="shared" si="18"/>
        <v>ON1</v>
      </c>
      <c r="H606" s="2" t="s">
        <v>21</v>
      </c>
      <c r="I606" s="2" t="s">
        <v>152</v>
      </c>
      <c r="J606" s="2" t="str">
        <f>""</f>
        <v/>
      </c>
      <c r="K606" s="2" t="str">
        <f>"PFES1162730293_0001"</f>
        <v>PFES1162730293_0001</v>
      </c>
      <c r="L606" s="2">
        <v>1</v>
      </c>
      <c r="M606" s="2">
        <v>1</v>
      </c>
    </row>
    <row r="607" spans="1:13">
      <c r="A607" s="6">
        <v>43838</v>
      </c>
      <c r="B607" s="7">
        <v>0.58750000000000002</v>
      </c>
      <c r="C607" s="2" t="str">
        <f>"FES1162730214"</f>
        <v>FES1162730214</v>
      </c>
      <c r="D607" s="2" t="s">
        <v>19</v>
      </c>
      <c r="E607" s="2" t="s">
        <v>467</v>
      </c>
      <c r="F607" s="2" t="str">
        <f>"2170722927 "</f>
        <v xml:space="preserve">2170722927 </v>
      </c>
      <c r="G607" s="2" t="str">
        <f t="shared" si="18"/>
        <v>ON1</v>
      </c>
      <c r="H607" s="2" t="s">
        <v>21</v>
      </c>
      <c r="I607" s="2" t="s">
        <v>468</v>
      </c>
      <c r="J607" s="2" t="str">
        <f>""</f>
        <v/>
      </c>
      <c r="K607" s="2" t="str">
        <f>"PFES1162730214_0001"</f>
        <v>PFES1162730214_0001</v>
      </c>
      <c r="L607" s="2">
        <v>1</v>
      </c>
      <c r="M607" s="2">
        <v>1</v>
      </c>
    </row>
    <row r="608" spans="1:13">
      <c r="A608" s="6">
        <v>43838</v>
      </c>
      <c r="B608" s="7">
        <v>0.58750000000000002</v>
      </c>
      <c r="C608" s="2" t="str">
        <f>"FES1162730304"</f>
        <v>FES1162730304</v>
      </c>
      <c r="D608" s="2" t="s">
        <v>19</v>
      </c>
      <c r="E608" s="2" t="s">
        <v>469</v>
      </c>
      <c r="F608" s="2" t="str">
        <f>"217071419 "</f>
        <v xml:space="preserve">217071419 </v>
      </c>
      <c r="G608" s="2" t="str">
        <f t="shared" si="18"/>
        <v>ON1</v>
      </c>
      <c r="H608" s="2" t="s">
        <v>21</v>
      </c>
      <c r="I608" s="2" t="s">
        <v>47</v>
      </c>
      <c r="J608" s="2" t="str">
        <f>""</f>
        <v/>
      </c>
      <c r="K608" s="2" t="str">
        <f>"PFES1162730304_0001"</f>
        <v>PFES1162730304_0001</v>
      </c>
      <c r="L608" s="2">
        <v>1</v>
      </c>
      <c r="M608" s="2">
        <v>1</v>
      </c>
    </row>
    <row r="609" spans="1:13">
      <c r="A609" s="6">
        <v>43838</v>
      </c>
      <c r="B609" s="7">
        <v>0.58680555555555558</v>
      </c>
      <c r="C609" s="2" t="str">
        <f>"FES1162730171"</f>
        <v>FES1162730171</v>
      </c>
      <c r="D609" s="2" t="s">
        <v>19</v>
      </c>
      <c r="E609" s="2" t="s">
        <v>151</v>
      </c>
      <c r="F609" s="2" t="str">
        <f>"2170721523 "</f>
        <v xml:space="preserve">2170721523 </v>
      </c>
      <c r="G609" s="2" t="str">
        <f t="shared" si="18"/>
        <v>ON1</v>
      </c>
      <c r="H609" s="2" t="s">
        <v>21</v>
      </c>
      <c r="I609" s="2" t="s">
        <v>152</v>
      </c>
      <c r="J609" s="2" t="str">
        <f>""</f>
        <v/>
      </c>
      <c r="K609" s="2" t="str">
        <f>"PFES1162730171_0001"</f>
        <v>PFES1162730171_0001</v>
      </c>
      <c r="L609" s="2">
        <v>1</v>
      </c>
      <c r="M609" s="2">
        <v>1</v>
      </c>
    </row>
    <row r="610" spans="1:13">
      <c r="A610" s="6">
        <v>43838</v>
      </c>
      <c r="B610" s="7">
        <v>0.58680555555555558</v>
      </c>
      <c r="C610" s="2" t="str">
        <f>"FES1162730302"</f>
        <v>FES1162730302</v>
      </c>
      <c r="D610" s="2" t="s">
        <v>19</v>
      </c>
      <c r="E610" s="2" t="s">
        <v>244</v>
      </c>
      <c r="F610" s="2" t="str">
        <f>"2170721394 "</f>
        <v xml:space="preserve">2170721394 </v>
      </c>
      <c r="G610" s="2" t="str">
        <f t="shared" si="18"/>
        <v>ON1</v>
      </c>
      <c r="H610" s="2" t="s">
        <v>21</v>
      </c>
      <c r="I610" s="2" t="s">
        <v>36</v>
      </c>
      <c r="J610" s="2" t="str">
        <f>""</f>
        <v/>
      </c>
      <c r="K610" s="2" t="str">
        <f>"PFES1162730302_0001"</f>
        <v>PFES1162730302_0001</v>
      </c>
      <c r="L610" s="2">
        <v>1</v>
      </c>
      <c r="M610" s="2">
        <v>1</v>
      </c>
    </row>
    <row r="611" spans="1:13">
      <c r="A611" s="6">
        <v>43838</v>
      </c>
      <c r="B611" s="7">
        <v>0.58124999999999993</v>
      </c>
      <c r="C611" s="2" t="str">
        <f>"FES1162730148"</f>
        <v>FES1162730148</v>
      </c>
      <c r="D611" s="2" t="s">
        <v>19</v>
      </c>
      <c r="E611" s="2" t="s">
        <v>470</v>
      </c>
      <c r="F611" s="2" t="str">
        <f>"2170722176 "</f>
        <v xml:space="preserve">2170722176 </v>
      </c>
      <c r="G611" s="2" t="str">
        <f t="shared" si="18"/>
        <v>ON1</v>
      </c>
      <c r="H611" s="2" t="s">
        <v>21</v>
      </c>
      <c r="I611" s="2" t="s">
        <v>471</v>
      </c>
      <c r="J611" s="2" t="str">
        <f>""</f>
        <v/>
      </c>
      <c r="K611" s="2" t="str">
        <f>"PFES1162730148_0001"</f>
        <v>PFES1162730148_0001</v>
      </c>
      <c r="L611" s="2">
        <v>1</v>
      </c>
      <c r="M611" s="2">
        <v>1</v>
      </c>
    </row>
    <row r="612" spans="1:13">
      <c r="A612" s="6">
        <v>43838</v>
      </c>
      <c r="B612" s="7">
        <v>0.58124999999999993</v>
      </c>
      <c r="C612" s="2" t="str">
        <f>"FES1162730170"</f>
        <v>FES1162730170</v>
      </c>
      <c r="D612" s="2" t="s">
        <v>19</v>
      </c>
      <c r="E612" s="2" t="s">
        <v>339</v>
      </c>
      <c r="F612" s="2" t="str">
        <f>"2170721466 "</f>
        <v xml:space="preserve">2170721466 </v>
      </c>
      <c r="G612" s="2" t="str">
        <f t="shared" si="18"/>
        <v>ON1</v>
      </c>
      <c r="H612" s="2" t="s">
        <v>21</v>
      </c>
      <c r="I612" s="2" t="s">
        <v>340</v>
      </c>
      <c r="J612" s="2" t="str">
        <f>""</f>
        <v/>
      </c>
      <c r="K612" s="2" t="str">
        <f>"PFES1162730170_0001"</f>
        <v>PFES1162730170_0001</v>
      </c>
      <c r="L612" s="2">
        <v>1</v>
      </c>
      <c r="M612" s="2">
        <v>1</v>
      </c>
    </row>
    <row r="613" spans="1:13">
      <c r="A613" s="6">
        <v>43838</v>
      </c>
      <c r="B613" s="7">
        <v>0.5805555555555556</v>
      </c>
      <c r="C613" s="2" t="str">
        <f>"FES1162730337"</f>
        <v>FES1162730337</v>
      </c>
      <c r="D613" s="2" t="s">
        <v>19</v>
      </c>
      <c r="E613" s="2" t="s">
        <v>472</v>
      </c>
      <c r="F613" s="2" t="str">
        <f>"2170722946 "</f>
        <v xml:space="preserve">2170722946 </v>
      </c>
      <c r="G613" s="2" t="str">
        <f t="shared" si="18"/>
        <v>ON1</v>
      </c>
      <c r="H613" s="2" t="s">
        <v>21</v>
      </c>
      <c r="I613" s="2" t="s">
        <v>85</v>
      </c>
      <c r="J613" s="2" t="str">
        <f>""</f>
        <v/>
      </c>
      <c r="K613" s="2" t="str">
        <f>"PFES1162730337_0001"</f>
        <v>PFES1162730337_0001</v>
      </c>
      <c r="L613" s="2">
        <v>1</v>
      </c>
      <c r="M613" s="2">
        <v>1</v>
      </c>
    </row>
    <row r="614" spans="1:13">
      <c r="A614" s="6">
        <v>43838</v>
      </c>
      <c r="B614" s="7">
        <v>0.5805555555555556</v>
      </c>
      <c r="C614" s="2" t="str">
        <f>"FES1162730233"</f>
        <v>FES1162730233</v>
      </c>
      <c r="D614" s="2" t="s">
        <v>19</v>
      </c>
      <c r="E614" s="2" t="s">
        <v>151</v>
      </c>
      <c r="F614" s="2" t="str">
        <f>"2170721523 "</f>
        <v xml:space="preserve">2170721523 </v>
      </c>
      <c r="G614" s="2" t="str">
        <f t="shared" si="18"/>
        <v>ON1</v>
      </c>
      <c r="H614" s="2" t="s">
        <v>21</v>
      </c>
      <c r="I614" s="2" t="s">
        <v>152</v>
      </c>
      <c r="J614" s="2" t="str">
        <f>""</f>
        <v/>
      </c>
      <c r="K614" s="2" t="str">
        <f>"PFES1162730233_0001"</f>
        <v>PFES1162730233_0001</v>
      </c>
      <c r="L614" s="2">
        <v>1</v>
      </c>
      <c r="M614" s="2">
        <v>1</v>
      </c>
    </row>
    <row r="615" spans="1:13">
      <c r="A615" s="6">
        <v>43838</v>
      </c>
      <c r="B615" s="7">
        <v>0.5805555555555556</v>
      </c>
      <c r="C615" s="2" t="str">
        <f>"FES1162730147"</f>
        <v>FES1162730147</v>
      </c>
      <c r="D615" s="2" t="s">
        <v>19</v>
      </c>
      <c r="E615" s="2" t="s">
        <v>470</v>
      </c>
      <c r="F615" s="2" t="str">
        <f>"2170722171 "</f>
        <v xml:space="preserve">2170722171 </v>
      </c>
      <c r="G615" s="2" t="str">
        <f t="shared" si="18"/>
        <v>ON1</v>
      </c>
      <c r="H615" s="2" t="s">
        <v>21</v>
      </c>
      <c r="I615" s="2" t="s">
        <v>471</v>
      </c>
      <c r="J615" s="2" t="str">
        <f>""</f>
        <v/>
      </c>
      <c r="K615" s="2" t="str">
        <f>"PFES1162730147_0001"</f>
        <v>PFES1162730147_0001</v>
      </c>
      <c r="L615" s="2">
        <v>1</v>
      </c>
      <c r="M615" s="2">
        <v>1</v>
      </c>
    </row>
    <row r="616" spans="1:13">
      <c r="A616" s="6">
        <v>43838</v>
      </c>
      <c r="B616" s="7">
        <v>0.57916666666666672</v>
      </c>
      <c r="C616" s="2" t="str">
        <f>"FES1162730294"</f>
        <v>FES1162730294</v>
      </c>
      <c r="D616" s="2" t="s">
        <v>19</v>
      </c>
      <c r="E616" s="2" t="s">
        <v>143</v>
      </c>
      <c r="F616" s="2" t="str">
        <f>"2170721332 "</f>
        <v xml:space="preserve">2170721332 </v>
      </c>
      <c r="G616" s="2" t="str">
        <f t="shared" si="18"/>
        <v>ON1</v>
      </c>
      <c r="H616" s="2" t="s">
        <v>21</v>
      </c>
      <c r="I616" s="2" t="s">
        <v>137</v>
      </c>
      <c r="J616" s="2" t="str">
        <f>""</f>
        <v/>
      </c>
      <c r="K616" s="2" t="str">
        <f>"PFES1162730294_0001"</f>
        <v>PFES1162730294_0001</v>
      </c>
      <c r="L616" s="2">
        <v>1</v>
      </c>
      <c r="M616" s="2">
        <v>1</v>
      </c>
    </row>
    <row r="617" spans="1:13">
      <c r="A617" s="6">
        <v>43838</v>
      </c>
      <c r="B617" s="7">
        <v>0.57916666666666672</v>
      </c>
      <c r="C617" s="2" t="str">
        <f>"FES1162730136"</f>
        <v>FES1162730136</v>
      </c>
      <c r="D617" s="2" t="s">
        <v>19</v>
      </c>
      <c r="E617" s="2" t="s">
        <v>134</v>
      </c>
      <c r="F617" s="2" t="str">
        <f>"2170722907 "</f>
        <v xml:space="preserve">2170722907 </v>
      </c>
      <c r="G617" s="2" t="str">
        <f t="shared" si="18"/>
        <v>ON1</v>
      </c>
      <c r="H617" s="2" t="s">
        <v>21</v>
      </c>
      <c r="I617" s="2" t="s">
        <v>135</v>
      </c>
      <c r="J617" s="2" t="str">
        <f>""</f>
        <v/>
      </c>
      <c r="K617" s="2" t="str">
        <f>"PFES1162730136_0001"</f>
        <v>PFES1162730136_0001</v>
      </c>
      <c r="L617" s="2">
        <v>1</v>
      </c>
      <c r="M617" s="2">
        <v>1</v>
      </c>
    </row>
    <row r="618" spans="1:13">
      <c r="A618" s="6">
        <v>43838</v>
      </c>
      <c r="B618" s="7">
        <v>0.57916666666666672</v>
      </c>
      <c r="C618" s="2" t="str">
        <f>"FES1162730253"</f>
        <v>FES1162730253</v>
      </c>
      <c r="D618" s="2" t="s">
        <v>19</v>
      </c>
      <c r="E618" s="2" t="s">
        <v>44</v>
      </c>
      <c r="F618" s="2" t="str">
        <f>"2170722939 "</f>
        <v xml:space="preserve">2170722939 </v>
      </c>
      <c r="G618" s="2" t="str">
        <f t="shared" si="18"/>
        <v>ON1</v>
      </c>
      <c r="H618" s="2" t="s">
        <v>21</v>
      </c>
      <c r="I618" s="2" t="s">
        <v>249</v>
      </c>
      <c r="J618" s="2" t="str">
        <f>""</f>
        <v/>
      </c>
      <c r="K618" s="2" t="str">
        <f>"PFES1162730253_0001"</f>
        <v>PFES1162730253_0001</v>
      </c>
      <c r="L618" s="2">
        <v>1</v>
      </c>
      <c r="M618" s="2">
        <v>1</v>
      </c>
    </row>
    <row r="619" spans="1:13">
      <c r="A619" s="6">
        <v>43838</v>
      </c>
      <c r="B619" s="7">
        <v>0.57847222222222217</v>
      </c>
      <c r="C619" s="2" t="str">
        <f>"FES1162730192"</f>
        <v>FES1162730192</v>
      </c>
      <c r="D619" s="2" t="s">
        <v>19</v>
      </c>
      <c r="E619" s="2" t="s">
        <v>252</v>
      </c>
      <c r="F619" s="2" t="str">
        <f>"2170721784 "</f>
        <v xml:space="preserve">2170721784 </v>
      </c>
      <c r="G619" s="2" t="str">
        <f t="shared" si="18"/>
        <v>ON1</v>
      </c>
      <c r="H619" s="2" t="s">
        <v>21</v>
      </c>
      <c r="I619" s="2" t="s">
        <v>253</v>
      </c>
      <c r="J619" s="2" t="str">
        <f>""</f>
        <v/>
      </c>
      <c r="K619" s="2" t="str">
        <f>"PFES1162730192_0001"</f>
        <v>PFES1162730192_0001</v>
      </c>
      <c r="L619" s="2">
        <v>1</v>
      </c>
      <c r="M619" s="2">
        <v>1</v>
      </c>
    </row>
    <row r="620" spans="1:13">
      <c r="A620" s="6">
        <v>43838</v>
      </c>
      <c r="B620" s="7">
        <v>0.57777777777777783</v>
      </c>
      <c r="C620" s="2" t="str">
        <f>"FES1162730286"</f>
        <v>FES1162730286</v>
      </c>
      <c r="D620" s="2" t="s">
        <v>19</v>
      </c>
      <c r="E620" s="2" t="s">
        <v>473</v>
      </c>
      <c r="F620" s="2" t="str">
        <f>"2170721223 "</f>
        <v xml:space="preserve">2170721223 </v>
      </c>
      <c r="G620" s="2" t="str">
        <f t="shared" si="18"/>
        <v>ON1</v>
      </c>
      <c r="H620" s="2" t="s">
        <v>21</v>
      </c>
      <c r="I620" s="2" t="s">
        <v>247</v>
      </c>
      <c r="J620" s="2" t="str">
        <f>""</f>
        <v/>
      </c>
      <c r="K620" s="2" t="str">
        <f>"PFES1162730286_0001"</f>
        <v>PFES1162730286_0001</v>
      </c>
      <c r="L620" s="2">
        <v>1</v>
      </c>
      <c r="M620" s="2">
        <v>1</v>
      </c>
    </row>
    <row r="621" spans="1:13">
      <c r="A621" s="6">
        <v>43838</v>
      </c>
      <c r="B621" s="7">
        <v>0.57777777777777783</v>
      </c>
      <c r="C621" s="2" t="str">
        <f>"FES1162730269"</f>
        <v>FES1162730269</v>
      </c>
      <c r="D621" s="2" t="s">
        <v>19</v>
      </c>
      <c r="E621" s="2" t="s">
        <v>82</v>
      </c>
      <c r="F621" s="2" t="str">
        <f>"2170721042 "</f>
        <v xml:space="preserve">2170721042 </v>
      </c>
      <c r="G621" s="2" t="str">
        <f t="shared" si="18"/>
        <v>ON1</v>
      </c>
      <c r="H621" s="2" t="s">
        <v>21</v>
      </c>
      <c r="I621" s="2" t="s">
        <v>83</v>
      </c>
      <c r="J621" s="2" t="str">
        <f>""</f>
        <v/>
      </c>
      <c r="K621" s="2" t="str">
        <f>"PFES1162730269_0001"</f>
        <v>PFES1162730269_0001</v>
      </c>
      <c r="L621" s="2">
        <v>1</v>
      </c>
      <c r="M621" s="2">
        <v>1</v>
      </c>
    </row>
    <row r="622" spans="1:13">
      <c r="A622" s="6">
        <v>43838</v>
      </c>
      <c r="B622" s="7">
        <v>0.57777777777777783</v>
      </c>
      <c r="C622" s="2" t="str">
        <f>"FES1162730325"</f>
        <v>FES1162730325</v>
      </c>
      <c r="D622" s="2" t="s">
        <v>19</v>
      </c>
      <c r="E622" s="2" t="s">
        <v>252</v>
      </c>
      <c r="F622" s="2" t="str">
        <f>"2170721780 "</f>
        <v xml:space="preserve">2170721780 </v>
      </c>
      <c r="G622" s="2" t="str">
        <f t="shared" si="18"/>
        <v>ON1</v>
      </c>
      <c r="H622" s="2" t="s">
        <v>21</v>
      </c>
      <c r="I622" s="2" t="s">
        <v>253</v>
      </c>
      <c r="J622" s="2" t="str">
        <f>""</f>
        <v/>
      </c>
      <c r="K622" s="2" t="str">
        <f>"PFES1162730325_0001"</f>
        <v>PFES1162730325_0001</v>
      </c>
      <c r="L622" s="2">
        <v>1</v>
      </c>
      <c r="M622" s="2">
        <v>1</v>
      </c>
    </row>
    <row r="623" spans="1:13">
      <c r="A623" s="6">
        <v>43838</v>
      </c>
      <c r="B623" s="7">
        <v>0.57777777777777783</v>
      </c>
      <c r="C623" s="2" t="str">
        <f>"FES1162730335"</f>
        <v>FES1162730335</v>
      </c>
      <c r="D623" s="2" t="s">
        <v>19</v>
      </c>
      <c r="E623" s="2" t="s">
        <v>286</v>
      </c>
      <c r="F623" s="2" t="str">
        <f>"2170722808 "</f>
        <v xml:space="preserve">2170722808 </v>
      </c>
      <c r="G623" s="2" t="str">
        <f t="shared" si="18"/>
        <v>ON1</v>
      </c>
      <c r="H623" s="2" t="s">
        <v>21</v>
      </c>
      <c r="I623" s="2" t="s">
        <v>85</v>
      </c>
      <c r="J623" s="2" t="str">
        <f>""</f>
        <v/>
      </c>
      <c r="K623" s="2" t="str">
        <f>"PFES1162730335_0001"</f>
        <v>PFES1162730335_0001</v>
      </c>
      <c r="L623" s="2">
        <v>1</v>
      </c>
      <c r="M623" s="2">
        <v>1</v>
      </c>
    </row>
    <row r="624" spans="1:13">
      <c r="A624" s="6">
        <v>43838</v>
      </c>
      <c r="B624" s="7">
        <v>0.57708333333333328</v>
      </c>
      <c r="C624" s="2" t="str">
        <f>"FES1162730314"</f>
        <v>FES1162730314</v>
      </c>
      <c r="D624" s="2" t="s">
        <v>19</v>
      </c>
      <c r="E624" s="2" t="s">
        <v>474</v>
      </c>
      <c r="F624" s="2" t="str">
        <f>"2170721576 "</f>
        <v xml:space="preserve">2170721576 </v>
      </c>
      <c r="G624" s="2" t="str">
        <f t="shared" si="18"/>
        <v>ON1</v>
      </c>
      <c r="H624" s="2" t="s">
        <v>21</v>
      </c>
      <c r="I624" s="2" t="s">
        <v>85</v>
      </c>
      <c r="J624" s="2" t="str">
        <f>""</f>
        <v/>
      </c>
      <c r="K624" s="2" t="str">
        <f>"PFES1162730314_0001"</f>
        <v>PFES1162730314_0001</v>
      </c>
      <c r="L624" s="2">
        <v>1</v>
      </c>
      <c r="M624" s="2">
        <v>3</v>
      </c>
    </row>
    <row r="625" spans="1:13">
      <c r="A625" s="6">
        <v>43838</v>
      </c>
      <c r="B625" s="7">
        <v>0.57708333333333328</v>
      </c>
      <c r="C625" s="2" t="str">
        <f>"FES1162730177"</f>
        <v>FES1162730177</v>
      </c>
      <c r="D625" s="2" t="s">
        <v>19</v>
      </c>
      <c r="E625" s="2" t="s">
        <v>151</v>
      </c>
      <c r="F625" s="2" t="str">
        <f>"2170721672 "</f>
        <v xml:space="preserve">2170721672 </v>
      </c>
      <c r="G625" s="2" t="str">
        <f t="shared" si="18"/>
        <v>ON1</v>
      </c>
      <c r="H625" s="2" t="s">
        <v>21</v>
      </c>
      <c r="I625" s="2" t="s">
        <v>152</v>
      </c>
      <c r="J625" s="2" t="str">
        <f>""</f>
        <v/>
      </c>
      <c r="K625" s="2" t="str">
        <f>"PFES1162730177_0001"</f>
        <v>PFES1162730177_0001</v>
      </c>
      <c r="L625" s="2">
        <v>1</v>
      </c>
      <c r="M625" s="2">
        <v>1</v>
      </c>
    </row>
    <row r="626" spans="1:13">
      <c r="A626" s="6">
        <v>43838</v>
      </c>
      <c r="B626" s="7">
        <v>0.57708333333333328</v>
      </c>
      <c r="C626" s="2" t="str">
        <f>"FES1162730146"</f>
        <v>FES1162730146</v>
      </c>
      <c r="D626" s="2" t="s">
        <v>19</v>
      </c>
      <c r="E626" s="2" t="s">
        <v>470</v>
      </c>
      <c r="F626" s="2" t="str">
        <f>"2170722031 "</f>
        <v xml:space="preserve">2170722031 </v>
      </c>
      <c r="G626" s="2" t="str">
        <f t="shared" si="18"/>
        <v>ON1</v>
      </c>
      <c r="H626" s="2" t="s">
        <v>21</v>
      </c>
      <c r="I626" s="2" t="s">
        <v>471</v>
      </c>
      <c r="J626" s="2" t="str">
        <f>""</f>
        <v/>
      </c>
      <c r="K626" s="2" t="str">
        <f>"PFES1162730146_0001"</f>
        <v>PFES1162730146_0001</v>
      </c>
      <c r="L626" s="2">
        <v>1</v>
      </c>
      <c r="M626" s="2">
        <v>2</v>
      </c>
    </row>
    <row r="627" spans="1:13">
      <c r="A627" s="6">
        <v>43838</v>
      </c>
      <c r="B627" s="7">
        <v>0.57638888888888895</v>
      </c>
      <c r="C627" s="2" t="str">
        <f>"FES1162730326"</f>
        <v>FES1162730326</v>
      </c>
      <c r="D627" s="2" t="s">
        <v>19</v>
      </c>
      <c r="E627" s="2" t="s">
        <v>142</v>
      </c>
      <c r="F627" s="2" t="str">
        <f>"2170721853 "</f>
        <v xml:space="preserve">2170721853 </v>
      </c>
      <c r="G627" s="2" t="str">
        <f t="shared" si="18"/>
        <v>ON1</v>
      </c>
      <c r="H627" s="2" t="s">
        <v>21</v>
      </c>
      <c r="I627" s="2" t="s">
        <v>123</v>
      </c>
      <c r="J627" s="2" t="str">
        <f>""</f>
        <v/>
      </c>
      <c r="K627" s="2" t="str">
        <f>"PFES1162730326_0001"</f>
        <v>PFES1162730326_0001</v>
      </c>
      <c r="L627" s="2">
        <v>1</v>
      </c>
      <c r="M627" s="2">
        <v>1</v>
      </c>
    </row>
    <row r="628" spans="1:13">
      <c r="A628" s="6">
        <v>43838</v>
      </c>
      <c r="B628" s="7">
        <v>0.57500000000000007</v>
      </c>
      <c r="C628" s="2" t="str">
        <f>"FES1162730191"</f>
        <v>FES1162730191</v>
      </c>
      <c r="D628" s="2" t="s">
        <v>19</v>
      </c>
      <c r="E628" s="2" t="s">
        <v>252</v>
      </c>
      <c r="F628" s="2" t="str">
        <f>"2170721780 "</f>
        <v xml:space="preserve">2170721780 </v>
      </c>
      <c r="G628" s="2" t="str">
        <f t="shared" si="18"/>
        <v>ON1</v>
      </c>
      <c r="H628" s="2" t="s">
        <v>21</v>
      </c>
      <c r="I628" s="2" t="s">
        <v>253</v>
      </c>
      <c r="J628" s="2" t="str">
        <f>""</f>
        <v/>
      </c>
      <c r="K628" s="2" t="str">
        <f>"PFES1162730191_0001"</f>
        <v>PFES1162730191_0001</v>
      </c>
      <c r="L628" s="2">
        <v>1</v>
      </c>
      <c r="M628" s="2">
        <v>1</v>
      </c>
    </row>
    <row r="629" spans="1:13">
      <c r="A629" s="6">
        <v>43838</v>
      </c>
      <c r="B629" s="7">
        <v>0.57430555555555551</v>
      </c>
      <c r="C629" s="2" t="str">
        <f>"FES1162730336"</f>
        <v>FES1162730336</v>
      </c>
      <c r="D629" s="2" t="s">
        <v>19</v>
      </c>
      <c r="E629" s="2" t="s">
        <v>142</v>
      </c>
      <c r="F629" s="2" t="str">
        <f>"2170722838 "</f>
        <v xml:space="preserve">2170722838 </v>
      </c>
      <c r="G629" s="2" t="str">
        <f t="shared" si="18"/>
        <v>ON1</v>
      </c>
      <c r="H629" s="2" t="s">
        <v>21</v>
      </c>
      <c r="I629" s="2" t="s">
        <v>123</v>
      </c>
      <c r="J629" s="2" t="str">
        <f>""</f>
        <v/>
      </c>
      <c r="K629" s="2" t="str">
        <f>"PFES1162730336_0001"</f>
        <v>PFES1162730336_0001</v>
      </c>
      <c r="L629" s="2">
        <v>1</v>
      </c>
      <c r="M629" s="2">
        <v>1</v>
      </c>
    </row>
    <row r="630" spans="1:13">
      <c r="A630" s="6">
        <v>43838</v>
      </c>
      <c r="B630" s="7">
        <v>0.57361111111111118</v>
      </c>
      <c r="C630" s="2" t="str">
        <f>"FES1162730187"</f>
        <v>FES1162730187</v>
      </c>
      <c r="D630" s="2" t="s">
        <v>19</v>
      </c>
      <c r="E630" s="2" t="s">
        <v>259</v>
      </c>
      <c r="F630" s="2" t="str">
        <f>"2170721772 "</f>
        <v xml:space="preserve">2170721772 </v>
      </c>
      <c r="G630" s="2" t="str">
        <f t="shared" si="18"/>
        <v>ON1</v>
      </c>
      <c r="H630" s="2" t="s">
        <v>21</v>
      </c>
      <c r="I630" s="2" t="s">
        <v>260</v>
      </c>
      <c r="J630" s="2" t="str">
        <f>""</f>
        <v/>
      </c>
      <c r="K630" s="2" t="str">
        <f>"PFES1162730187_0001"</f>
        <v>PFES1162730187_0001</v>
      </c>
      <c r="L630" s="2">
        <v>1</v>
      </c>
      <c r="M630" s="2">
        <v>1</v>
      </c>
    </row>
    <row r="631" spans="1:13">
      <c r="A631" s="6">
        <v>43838</v>
      </c>
      <c r="B631" s="7">
        <v>0.57152777777777775</v>
      </c>
      <c r="C631" s="2" t="str">
        <f>"FES1162730181"</f>
        <v>FES1162730181</v>
      </c>
      <c r="D631" s="2" t="s">
        <v>19</v>
      </c>
      <c r="E631" s="2" t="s">
        <v>475</v>
      </c>
      <c r="F631" s="2" t="str">
        <f>"2170721707 "</f>
        <v xml:space="preserve">2170721707 </v>
      </c>
      <c r="G631" s="2" t="str">
        <f t="shared" si="18"/>
        <v>ON1</v>
      </c>
      <c r="H631" s="2" t="s">
        <v>21</v>
      </c>
      <c r="I631" s="2" t="s">
        <v>476</v>
      </c>
      <c r="J631" s="2" t="str">
        <f>""</f>
        <v/>
      </c>
      <c r="K631" s="2" t="str">
        <f>"PFES1162730181_0001"</f>
        <v>PFES1162730181_0001</v>
      </c>
      <c r="L631" s="2">
        <v>1</v>
      </c>
      <c r="M631" s="2">
        <v>2</v>
      </c>
    </row>
    <row r="632" spans="1:13">
      <c r="A632" s="6">
        <v>43838</v>
      </c>
      <c r="B632" s="7">
        <v>0.57152777777777775</v>
      </c>
      <c r="C632" s="2" t="str">
        <f>"FES1162730158"</f>
        <v>FES1162730158</v>
      </c>
      <c r="D632" s="2" t="s">
        <v>19</v>
      </c>
      <c r="E632" s="2" t="s">
        <v>64</v>
      </c>
      <c r="F632" s="2" t="str">
        <f>"2170720671 "</f>
        <v xml:space="preserve">2170720671 </v>
      </c>
      <c r="G632" s="2" t="str">
        <f>"DBC"</f>
        <v>DBC</v>
      </c>
      <c r="H632" s="2" t="s">
        <v>21</v>
      </c>
      <c r="I632" s="2" t="s">
        <v>60</v>
      </c>
      <c r="J632" s="2" t="str">
        <f>""</f>
        <v/>
      </c>
      <c r="K632" s="2" t="str">
        <f>"PFES1162730158_0001"</f>
        <v>PFES1162730158_0001</v>
      </c>
      <c r="L632" s="2">
        <v>2</v>
      </c>
      <c r="M632" s="2">
        <v>21</v>
      </c>
    </row>
    <row r="633" spans="1:13">
      <c r="A633" s="6">
        <v>43838</v>
      </c>
      <c r="B633" s="7">
        <v>0.57152777777777775</v>
      </c>
      <c r="C633" s="2" t="str">
        <f>"FES1162730158"</f>
        <v>FES1162730158</v>
      </c>
      <c r="D633" s="2" t="s">
        <v>19</v>
      </c>
      <c r="E633" s="2" t="s">
        <v>64</v>
      </c>
      <c r="F633" s="2" t="str">
        <f>"2170720671 "</f>
        <v xml:space="preserve">2170720671 </v>
      </c>
      <c r="G633" s="2" t="str">
        <f>"DBC"</f>
        <v>DBC</v>
      </c>
      <c r="H633" s="2" t="s">
        <v>21</v>
      </c>
      <c r="I633" s="2" t="s">
        <v>60</v>
      </c>
      <c r="J633" s="2"/>
      <c r="K633" s="2" t="str">
        <f>"PFES1162730158_0002"</f>
        <v>PFES1162730158_0002</v>
      </c>
      <c r="L633" s="2">
        <v>2</v>
      </c>
      <c r="M633" s="2">
        <v>21</v>
      </c>
    </row>
    <row r="634" spans="1:13">
      <c r="A634" s="6">
        <v>43838</v>
      </c>
      <c r="B634" s="7">
        <v>0.56388888888888888</v>
      </c>
      <c r="C634" s="2" t="str">
        <f>"FES1162726148"</f>
        <v>FES1162726148</v>
      </c>
      <c r="D634" s="2" t="s">
        <v>19</v>
      </c>
      <c r="E634" s="2" t="s">
        <v>477</v>
      </c>
      <c r="F634" s="2" t="str">
        <f>"2170719292 "</f>
        <v xml:space="preserve">2170719292 </v>
      </c>
      <c r="G634" s="2" t="str">
        <f t="shared" ref="G634:G697" si="19">"ON1"</f>
        <v>ON1</v>
      </c>
      <c r="H634" s="2" t="s">
        <v>21</v>
      </c>
      <c r="I634" s="2" t="s">
        <v>200</v>
      </c>
      <c r="J634" s="2" t="str">
        <f>""</f>
        <v/>
      </c>
      <c r="K634" s="2" t="str">
        <f>"PFES1162726148_0001"</f>
        <v>PFES1162726148_0001</v>
      </c>
      <c r="L634" s="2">
        <v>1</v>
      </c>
      <c r="M634" s="2">
        <v>1</v>
      </c>
    </row>
    <row r="635" spans="1:13">
      <c r="A635" s="6">
        <v>43838</v>
      </c>
      <c r="B635" s="7">
        <v>0.56319444444444444</v>
      </c>
      <c r="C635" s="2" t="str">
        <f>"FES1162730328"</f>
        <v>FES1162730328</v>
      </c>
      <c r="D635" s="2" t="s">
        <v>19</v>
      </c>
      <c r="E635" s="2" t="s">
        <v>245</v>
      </c>
      <c r="F635" s="2" t="str">
        <f>"2170722043 "</f>
        <v xml:space="preserve">2170722043 </v>
      </c>
      <c r="G635" s="2" t="str">
        <f t="shared" si="19"/>
        <v>ON1</v>
      </c>
      <c r="H635" s="2" t="s">
        <v>21</v>
      </c>
      <c r="I635" s="2" t="s">
        <v>96</v>
      </c>
      <c r="J635" s="2" t="str">
        <f>""</f>
        <v/>
      </c>
      <c r="K635" s="2" t="str">
        <f>"PFES1162730328_0001"</f>
        <v>PFES1162730328_0001</v>
      </c>
      <c r="L635" s="2">
        <v>1</v>
      </c>
      <c r="M635" s="2">
        <v>1</v>
      </c>
    </row>
    <row r="636" spans="1:13">
      <c r="A636" s="6">
        <v>43838</v>
      </c>
      <c r="B636" s="7">
        <v>0.5625</v>
      </c>
      <c r="C636" s="2" t="str">
        <f>"FES1162730242"</f>
        <v>FES1162730242</v>
      </c>
      <c r="D636" s="2" t="s">
        <v>19</v>
      </c>
      <c r="E636" s="2" t="s">
        <v>134</v>
      </c>
      <c r="F636" s="2" t="str">
        <f>"2170721739 "</f>
        <v xml:space="preserve">2170721739 </v>
      </c>
      <c r="G636" s="2" t="str">
        <f t="shared" si="19"/>
        <v>ON1</v>
      </c>
      <c r="H636" s="2" t="s">
        <v>21</v>
      </c>
      <c r="I636" s="2" t="s">
        <v>135</v>
      </c>
      <c r="J636" s="2" t="str">
        <f>""</f>
        <v/>
      </c>
      <c r="K636" s="2" t="str">
        <f>"PFES1162730242_0001"</f>
        <v>PFES1162730242_0001</v>
      </c>
      <c r="L636" s="2">
        <v>1</v>
      </c>
      <c r="M636" s="2">
        <v>4</v>
      </c>
    </row>
    <row r="637" spans="1:13">
      <c r="A637" s="6">
        <v>43838</v>
      </c>
      <c r="B637" s="7">
        <v>0.5625</v>
      </c>
      <c r="C637" s="2" t="str">
        <f>"FES1162730186"</f>
        <v>FES1162730186</v>
      </c>
      <c r="D637" s="2" t="s">
        <v>19</v>
      </c>
      <c r="E637" s="2" t="s">
        <v>199</v>
      </c>
      <c r="F637" s="2" t="str">
        <f>"2170721771 "</f>
        <v xml:space="preserve">2170721771 </v>
      </c>
      <c r="G637" s="2" t="str">
        <f t="shared" si="19"/>
        <v>ON1</v>
      </c>
      <c r="H637" s="2" t="s">
        <v>21</v>
      </c>
      <c r="I637" s="2" t="s">
        <v>200</v>
      </c>
      <c r="J637" s="2" t="str">
        <f>""</f>
        <v/>
      </c>
      <c r="K637" s="2" t="str">
        <f>"PFES1162730186_0001"</f>
        <v>PFES1162730186_0001</v>
      </c>
      <c r="L637" s="2">
        <v>1</v>
      </c>
      <c r="M637" s="2">
        <v>1</v>
      </c>
    </row>
    <row r="638" spans="1:13">
      <c r="A638" s="6">
        <v>43838</v>
      </c>
      <c r="B638" s="7">
        <v>0.5625</v>
      </c>
      <c r="C638" s="2" t="str">
        <f>"FES1162730234"</f>
        <v>FES1162730234</v>
      </c>
      <c r="D638" s="2" t="s">
        <v>19</v>
      </c>
      <c r="E638" s="2" t="s">
        <v>68</v>
      </c>
      <c r="F638" s="2" t="str">
        <f>"2170721549 "</f>
        <v xml:space="preserve">2170721549 </v>
      </c>
      <c r="G638" s="2" t="str">
        <f t="shared" si="19"/>
        <v>ON1</v>
      </c>
      <c r="H638" s="2" t="s">
        <v>21</v>
      </c>
      <c r="I638" s="2" t="s">
        <v>69</v>
      </c>
      <c r="J638" s="2" t="str">
        <f>""</f>
        <v/>
      </c>
      <c r="K638" s="2" t="str">
        <f>"PFES1162730234_0001"</f>
        <v>PFES1162730234_0001</v>
      </c>
      <c r="L638" s="2">
        <v>1</v>
      </c>
      <c r="M638" s="2">
        <v>2</v>
      </c>
    </row>
    <row r="639" spans="1:13">
      <c r="A639" s="6">
        <v>43838</v>
      </c>
      <c r="B639" s="7">
        <v>0.56180555555555556</v>
      </c>
      <c r="C639" s="2" t="str">
        <f>"FES1162730118"</f>
        <v>FES1162730118</v>
      </c>
      <c r="D639" s="2" t="s">
        <v>19</v>
      </c>
      <c r="E639" s="2" t="s">
        <v>324</v>
      </c>
      <c r="F639" s="2" t="str">
        <f>"2170722890 "</f>
        <v xml:space="preserve">2170722890 </v>
      </c>
      <c r="G639" s="2" t="str">
        <f t="shared" si="19"/>
        <v>ON1</v>
      </c>
      <c r="H639" s="2" t="s">
        <v>21</v>
      </c>
      <c r="I639" s="2" t="s">
        <v>325</v>
      </c>
      <c r="J639" s="2" t="str">
        <f>""</f>
        <v/>
      </c>
      <c r="K639" s="2" t="str">
        <f>"PFES1162730118_0001"</f>
        <v>PFES1162730118_0001</v>
      </c>
      <c r="L639" s="2">
        <v>1</v>
      </c>
      <c r="M639" s="2">
        <v>3</v>
      </c>
    </row>
    <row r="640" spans="1:13">
      <c r="A640" s="6">
        <v>43838</v>
      </c>
      <c r="B640" s="7">
        <v>0.56180555555555556</v>
      </c>
      <c r="C640" s="2" t="str">
        <f>"FES1162730183"</f>
        <v>FES1162730183</v>
      </c>
      <c r="D640" s="2" t="s">
        <v>19</v>
      </c>
      <c r="E640" s="2" t="s">
        <v>74</v>
      </c>
      <c r="F640" s="2" t="str">
        <f>"2170721741 "</f>
        <v xml:space="preserve">2170721741 </v>
      </c>
      <c r="G640" s="2" t="str">
        <f t="shared" si="19"/>
        <v>ON1</v>
      </c>
      <c r="H640" s="2" t="s">
        <v>21</v>
      </c>
      <c r="I640" s="2" t="s">
        <v>49</v>
      </c>
      <c r="J640" s="2" t="str">
        <f>""</f>
        <v/>
      </c>
      <c r="K640" s="2" t="str">
        <f>"PFES1162730183_0001"</f>
        <v>PFES1162730183_0001</v>
      </c>
      <c r="L640" s="2">
        <v>1</v>
      </c>
      <c r="M640" s="2">
        <v>6</v>
      </c>
    </row>
    <row r="641" spans="1:13">
      <c r="A641" s="6">
        <v>43838</v>
      </c>
      <c r="B641" s="7">
        <v>0.56180555555555556</v>
      </c>
      <c r="C641" s="2" t="str">
        <f>"FES1162730201"</f>
        <v>FES1162730201</v>
      </c>
      <c r="D641" s="2" t="s">
        <v>19</v>
      </c>
      <c r="E641" s="2" t="s">
        <v>478</v>
      </c>
      <c r="F641" s="2" t="str">
        <f>"2170722924 "</f>
        <v xml:space="preserve">2170722924 </v>
      </c>
      <c r="G641" s="2" t="str">
        <f t="shared" si="19"/>
        <v>ON1</v>
      </c>
      <c r="H641" s="2" t="s">
        <v>21</v>
      </c>
      <c r="I641" s="2" t="s">
        <v>277</v>
      </c>
      <c r="J641" s="2" t="str">
        <f>""</f>
        <v/>
      </c>
      <c r="K641" s="2" t="str">
        <f>"PFES1162730201_0001"</f>
        <v>PFES1162730201_0001</v>
      </c>
      <c r="L641" s="2">
        <v>1</v>
      </c>
      <c r="M641" s="2">
        <v>1</v>
      </c>
    </row>
    <row r="642" spans="1:13">
      <c r="A642" s="6">
        <v>43838</v>
      </c>
      <c r="B642" s="7">
        <v>0.56111111111111112</v>
      </c>
      <c r="C642" s="2" t="str">
        <f>"FES1162730138"</f>
        <v>FES1162730138</v>
      </c>
      <c r="D642" s="2" t="s">
        <v>19</v>
      </c>
      <c r="E642" s="2" t="s">
        <v>64</v>
      </c>
      <c r="F642" s="2" t="str">
        <f>"217071965 "</f>
        <v xml:space="preserve">217071965 </v>
      </c>
      <c r="G642" s="2" t="str">
        <f t="shared" si="19"/>
        <v>ON1</v>
      </c>
      <c r="H642" s="2" t="s">
        <v>21</v>
      </c>
      <c r="I642" s="2" t="s">
        <v>60</v>
      </c>
      <c r="J642" s="2" t="str">
        <f>""</f>
        <v/>
      </c>
      <c r="K642" s="2" t="str">
        <f>"PFES1162730138_0001"</f>
        <v>PFES1162730138_0001</v>
      </c>
      <c r="L642" s="2">
        <v>1</v>
      </c>
      <c r="M642" s="2">
        <v>3</v>
      </c>
    </row>
    <row r="643" spans="1:13">
      <c r="A643" s="6">
        <v>43838</v>
      </c>
      <c r="B643" s="7">
        <v>0.56111111111111112</v>
      </c>
      <c r="C643" s="2" t="str">
        <f>"FES1162730172"</f>
        <v>FES1162730172</v>
      </c>
      <c r="D643" s="2" t="s">
        <v>19</v>
      </c>
      <c r="E643" s="2" t="s">
        <v>105</v>
      </c>
      <c r="F643" s="2" t="str">
        <f>"2170721649 "</f>
        <v xml:space="preserve">2170721649 </v>
      </c>
      <c r="G643" s="2" t="str">
        <f t="shared" si="19"/>
        <v>ON1</v>
      </c>
      <c r="H643" s="2" t="s">
        <v>21</v>
      </c>
      <c r="I643" s="2" t="s">
        <v>106</v>
      </c>
      <c r="J643" s="2" t="str">
        <f>""</f>
        <v/>
      </c>
      <c r="K643" s="2" t="str">
        <f>"PFES1162730172_0001"</f>
        <v>PFES1162730172_0001</v>
      </c>
      <c r="L643" s="2">
        <v>1</v>
      </c>
      <c r="M643" s="2">
        <v>1</v>
      </c>
    </row>
    <row r="644" spans="1:13">
      <c r="A644" s="6">
        <v>43838</v>
      </c>
      <c r="B644" s="7">
        <v>0.56111111111111112</v>
      </c>
      <c r="C644" s="2" t="str">
        <f>"FES1162730237"</f>
        <v>FES1162730237</v>
      </c>
      <c r="D644" s="2" t="s">
        <v>19</v>
      </c>
      <c r="E644" s="2" t="s">
        <v>218</v>
      </c>
      <c r="F644" s="2" t="str">
        <f>"2170721604 "</f>
        <v xml:space="preserve">2170721604 </v>
      </c>
      <c r="G644" s="2" t="str">
        <f t="shared" si="19"/>
        <v>ON1</v>
      </c>
      <c r="H644" s="2" t="s">
        <v>21</v>
      </c>
      <c r="I644" s="2" t="s">
        <v>49</v>
      </c>
      <c r="J644" s="2" t="str">
        <f>""</f>
        <v/>
      </c>
      <c r="K644" s="2" t="str">
        <f>"PFES1162730237_0001"</f>
        <v>PFES1162730237_0001</v>
      </c>
      <c r="L644" s="2">
        <v>1</v>
      </c>
      <c r="M644" s="2">
        <v>3</v>
      </c>
    </row>
    <row r="645" spans="1:13">
      <c r="A645" s="6">
        <v>43838</v>
      </c>
      <c r="B645" s="7">
        <v>0.56041666666666667</v>
      </c>
      <c r="C645" s="2" t="str">
        <f>"FES1162730321"</f>
        <v>FES1162730321</v>
      </c>
      <c r="D645" s="2" t="s">
        <v>19</v>
      </c>
      <c r="E645" s="2" t="s">
        <v>37</v>
      </c>
      <c r="F645" s="2" t="str">
        <f>"2170730321 "</f>
        <v xml:space="preserve">2170730321 </v>
      </c>
      <c r="G645" s="2" t="str">
        <f t="shared" si="19"/>
        <v>ON1</v>
      </c>
      <c r="H645" s="2" t="s">
        <v>21</v>
      </c>
      <c r="I645" s="2" t="s">
        <v>38</v>
      </c>
      <c r="J645" s="2" t="str">
        <f>""</f>
        <v/>
      </c>
      <c r="K645" s="2" t="str">
        <f>"PFES1162730321_0001"</f>
        <v>PFES1162730321_0001</v>
      </c>
      <c r="L645" s="2">
        <v>1</v>
      </c>
      <c r="M645" s="2">
        <v>2</v>
      </c>
    </row>
    <row r="646" spans="1:13">
      <c r="A646" s="6">
        <v>43838</v>
      </c>
      <c r="B646" s="7">
        <v>0.55972222222222223</v>
      </c>
      <c r="C646" s="2" t="str">
        <f>"FES1162730167"</f>
        <v>FES1162730167</v>
      </c>
      <c r="D646" s="2" t="s">
        <v>19</v>
      </c>
      <c r="E646" s="2" t="s">
        <v>281</v>
      </c>
      <c r="F646" s="2" t="str">
        <f>"2170720516 "</f>
        <v xml:space="preserve">2170720516 </v>
      </c>
      <c r="G646" s="2" t="str">
        <f t="shared" si="19"/>
        <v>ON1</v>
      </c>
      <c r="H646" s="2" t="s">
        <v>21</v>
      </c>
      <c r="I646" s="2" t="s">
        <v>202</v>
      </c>
      <c r="J646" s="2" t="str">
        <f>""</f>
        <v/>
      </c>
      <c r="K646" s="2" t="str">
        <f>"PFES1162730167_0001"</f>
        <v>PFES1162730167_0001</v>
      </c>
      <c r="L646" s="2">
        <v>1</v>
      </c>
      <c r="M646" s="2">
        <v>1</v>
      </c>
    </row>
    <row r="647" spans="1:13">
      <c r="A647" s="6">
        <v>43838</v>
      </c>
      <c r="B647" s="7">
        <v>0.55902777777777779</v>
      </c>
      <c r="C647" s="2" t="str">
        <f>"FES1162730203"</f>
        <v>FES1162730203</v>
      </c>
      <c r="D647" s="2" t="s">
        <v>19</v>
      </c>
      <c r="E647" s="2" t="s">
        <v>132</v>
      </c>
      <c r="F647" s="2" t="str">
        <f>"2170722926 "</f>
        <v xml:space="preserve">2170722926 </v>
      </c>
      <c r="G647" s="2" t="str">
        <f t="shared" si="19"/>
        <v>ON1</v>
      </c>
      <c r="H647" s="2" t="s">
        <v>21</v>
      </c>
      <c r="I647" s="2" t="s">
        <v>133</v>
      </c>
      <c r="J647" s="2" t="str">
        <f>""</f>
        <v/>
      </c>
      <c r="K647" s="2" t="str">
        <f>"PFES1162730203_0001"</f>
        <v>PFES1162730203_0001</v>
      </c>
      <c r="L647" s="2">
        <v>1</v>
      </c>
      <c r="M647" s="2">
        <v>1</v>
      </c>
    </row>
    <row r="648" spans="1:13">
      <c r="A648" s="6">
        <v>43838</v>
      </c>
      <c r="B648" s="7">
        <v>0.55833333333333335</v>
      </c>
      <c r="C648" s="2" t="str">
        <f>"FES1162730156"</f>
        <v>FES1162730156</v>
      </c>
      <c r="D648" s="2" t="s">
        <v>19</v>
      </c>
      <c r="E648" s="2" t="s">
        <v>68</v>
      </c>
      <c r="F648" s="2" t="str">
        <f>"2170722915 "</f>
        <v xml:space="preserve">2170722915 </v>
      </c>
      <c r="G648" s="2" t="str">
        <f t="shared" si="19"/>
        <v>ON1</v>
      </c>
      <c r="H648" s="2" t="s">
        <v>21</v>
      </c>
      <c r="I648" s="2" t="s">
        <v>69</v>
      </c>
      <c r="J648" s="2" t="str">
        <f>""</f>
        <v/>
      </c>
      <c r="K648" s="2" t="str">
        <f>"PFES1162730156_0001"</f>
        <v>PFES1162730156_0001</v>
      </c>
      <c r="L648" s="2">
        <v>1</v>
      </c>
      <c r="M648" s="2">
        <v>1</v>
      </c>
    </row>
    <row r="649" spans="1:13">
      <c r="A649" s="6">
        <v>43838</v>
      </c>
      <c r="B649" s="7">
        <v>0.55694444444444446</v>
      </c>
      <c r="C649" s="2" t="str">
        <f>"FES1162730359"</f>
        <v>FES1162730359</v>
      </c>
      <c r="D649" s="2" t="s">
        <v>19</v>
      </c>
      <c r="E649" s="2" t="s">
        <v>479</v>
      </c>
      <c r="F649" s="2" t="str">
        <f>"2170722967 "</f>
        <v xml:space="preserve">2170722967 </v>
      </c>
      <c r="G649" s="2" t="str">
        <f t="shared" si="19"/>
        <v>ON1</v>
      </c>
      <c r="H649" s="2" t="s">
        <v>21</v>
      </c>
      <c r="I649" s="2" t="s">
        <v>47</v>
      </c>
      <c r="J649" s="2" t="str">
        <f>""</f>
        <v/>
      </c>
      <c r="K649" s="2" t="str">
        <f>"PFES1162730359_0001"</f>
        <v>PFES1162730359_0001</v>
      </c>
      <c r="L649" s="2">
        <v>1</v>
      </c>
      <c r="M649" s="2">
        <v>1</v>
      </c>
    </row>
    <row r="650" spans="1:13">
      <c r="A650" s="6">
        <v>43838</v>
      </c>
      <c r="B650" s="7">
        <v>0.55555555555555558</v>
      </c>
      <c r="C650" s="2" t="str">
        <f>"FES1162730200"</f>
        <v>FES1162730200</v>
      </c>
      <c r="D650" s="2" t="s">
        <v>19</v>
      </c>
      <c r="E650" s="2" t="s">
        <v>480</v>
      </c>
      <c r="F650" s="2" t="str">
        <f>"2170722921 "</f>
        <v xml:space="preserve">2170722921 </v>
      </c>
      <c r="G650" s="2" t="str">
        <f t="shared" si="19"/>
        <v>ON1</v>
      </c>
      <c r="H650" s="2" t="s">
        <v>21</v>
      </c>
      <c r="I650" s="2" t="s">
        <v>481</v>
      </c>
      <c r="J650" s="2" t="str">
        <f>""</f>
        <v/>
      </c>
      <c r="K650" s="2" t="str">
        <f>"PFES1162730200_0001"</f>
        <v>PFES1162730200_0001</v>
      </c>
      <c r="L650" s="2">
        <v>1</v>
      </c>
      <c r="M650" s="2">
        <v>1</v>
      </c>
    </row>
    <row r="651" spans="1:13">
      <c r="A651" s="6">
        <v>43838</v>
      </c>
      <c r="B651" s="7">
        <v>0.55486111111111114</v>
      </c>
      <c r="C651" s="2" t="str">
        <f>"FES1162730137"</f>
        <v>FES1162730137</v>
      </c>
      <c r="D651" s="2" t="s">
        <v>19</v>
      </c>
      <c r="E651" s="2" t="s">
        <v>262</v>
      </c>
      <c r="F651" s="2" t="str">
        <f>"2170718600 "</f>
        <v xml:space="preserve">2170718600 </v>
      </c>
      <c r="G651" s="2" t="str">
        <f t="shared" si="19"/>
        <v>ON1</v>
      </c>
      <c r="H651" s="2" t="s">
        <v>21</v>
      </c>
      <c r="I651" s="2" t="s">
        <v>114</v>
      </c>
      <c r="J651" s="2" t="str">
        <f>""</f>
        <v/>
      </c>
      <c r="K651" s="2" t="str">
        <f>"PFES1162730137_0001"</f>
        <v>PFES1162730137_0001</v>
      </c>
      <c r="L651" s="2">
        <v>1</v>
      </c>
      <c r="M651" s="2">
        <v>1</v>
      </c>
    </row>
    <row r="652" spans="1:13">
      <c r="A652" s="6">
        <v>43838</v>
      </c>
      <c r="B652" s="7">
        <v>0.55138888888888882</v>
      </c>
      <c r="C652" s="2" t="str">
        <f>"FES1162729968"</f>
        <v>FES1162729968</v>
      </c>
      <c r="D652" s="2" t="s">
        <v>19</v>
      </c>
      <c r="E652" s="2" t="s">
        <v>245</v>
      </c>
      <c r="F652" s="2" t="str">
        <f>"2170721051 "</f>
        <v xml:space="preserve">2170721051 </v>
      </c>
      <c r="G652" s="2" t="str">
        <f t="shared" si="19"/>
        <v>ON1</v>
      </c>
      <c r="H652" s="2" t="s">
        <v>21</v>
      </c>
      <c r="I652" s="2" t="s">
        <v>96</v>
      </c>
      <c r="J652" s="2" t="str">
        <f>""</f>
        <v/>
      </c>
      <c r="K652" s="2" t="str">
        <f>"PFES1162729968_0001"</f>
        <v>PFES1162729968_0001</v>
      </c>
      <c r="L652" s="2">
        <v>1</v>
      </c>
      <c r="M652" s="2">
        <v>1</v>
      </c>
    </row>
    <row r="653" spans="1:13">
      <c r="A653" s="6">
        <v>43838</v>
      </c>
      <c r="B653" s="7">
        <v>0.53888888888888886</v>
      </c>
      <c r="C653" s="2" t="str">
        <f>"FES1162728705"</f>
        <v>FES1162728705</v>
      </c>
      <c r="D653" s="2" t="s">
        <v>19</v>
      </c>
      <c r="E653" s="2" t="s">
        <v>482</v>
      </c>
      <c r="F653" s="2" t="str">
        <f>"2170720062 "</f>
        <v xml:space="preserve">2170720062 </v>
      </c>
      <c r="G653" s="2" t="str">
        <f t="shared" si="19"/>
        <v>ON1</v>
      </c>
      <c r="H653" s="2" t="s">
        <v>21</v>
      </c>
      <c r="I653" s="2" t="s">
        <v>249</v>
      </c>
      <c r="J653" s="2" t="str">
        <f>""</f>
        <v/>
      </c>
      <c r="K653" s="2" t="str">
        <f>"PFES1162728705_0001"</f>
        <v>PFES1162728705_0001</v>
      </c>
      <c r="L653" s="2">
        <v>1</v>
      </c>
      <c r="M653" s="2">
        <v>1</v>
      </c>
    </row>
    <row r="654" spans="1:13">
      <c r="A654" s="6">
        <v>43838</v>
      </c>
      <c r="B654" s="7">
        <v>0.53819444444444442</v>
      </c>
      <c r="C654" s="2" t="str">
        <f>"FES1162730282"</f>
        <v>FES1162730282</v>
      </c>
      <c r="D654" s="2" t="s">
        <v>19</v>
      </c>
      <c r="E654" s="2" t="s">
        <v>59</v>
      </c>
      <c r="F654" s="2" t="str">
        <f>"2170721190 "</f>
        <v xml:space="preserve">2170721190 </v>
      </c>
      <c r="G654" s="2" t="str">
        <f t="shared" si="19"/>
        <v>ON1</v>
      </c>
      <c r="H654" s="2" t="s">
        <v>21</v>
      </c>
      <c r="I654" s="2" t="s">
        <v>60</v>
      </c>
      <c r="J654" s="2" t="str">
        <f>""</f>
        <v/>
      </c>
      <c r="K654" s="2" t="str">
        <f>"PFES1162730282_0001"</f>
        <v>PFES1162730282_0001</v>
      </c>
      <c r="L654" s="2">
        <v>1</v>
      </c>
      <c r="M654" s="2">
        <v>1</v>
      </c>
    </row>
    <row r="655" spans="1:13">
      <c r="A655" s="6">
        <v>43838</v>
      </c>
      <c r="B655" s="7">
        <v>0.53680555555555554</v>
      </c>
      <c r="C655" s="2" t="str">
        <f>"FES1162730340"</f>
        <v>FES1162730340</v>
      </c>
      <c r="D655" s="2" t="s">
        <v>19</v>
      </c>
      <c r="E655" s="2" t="s">
        <v>120</v>
      </c>
      <c r="F655" s="2" t="str">
        <f>"2170722950 "</f>
        <v xml:space="preserve">2170722950 </v>
      </c>
      <c r="G655" s="2" t="str">
        <f t="shared" si="19"/>
        <v>ON1</v>
      </c>
      <c r="H655" s="2" t="s">
        <v>21</v>
      </c>
      <c r="I655" s="2" t="s">
        <v>121</v>
      </c>
      <c r="J655" s="2" t="str">
        <f>""</f>
        <v/>
      </c>
      <c r="K655" s="2" t="str">
        <f>"PFES1162730340_0001"</f>
        <v>PFES1162730340_0001</v>
      </c>
      <c r="L655" s="2">
        <v>1</v>
      </c>
      <c r="M655" s="2">
        <v>1</v>
      </c>
    </row>
    <row r="656" spans="1:13">
      <c r="A656" s="6">
        <v>43838</v>
      </c>
      <c r="B656" s="7">
        <v>0.53680555555555554</v>
      </c>
      <c r="C656" s="2" t="str">
        <f>"FES1162729985"</f>
        <v>FES1162729985</v>
      </c>
      <c r="D656" s="2" t="s">
        <v>19</v>
      </c>
      <c r="E656" s="2" t="s">
        <v>483</v>
      </c>
      <c r="F656" s="2" t="str">
        <f>"2170721505 "</f>
        <v xml:space="preserve">2170721505 </v>
      </c>
      <c r="G656" s="2" t="str">
        <f t="shared" si="19"/>
        <v>ON1</v>
      </c>
      <c r="H656" s="2" t="s">
        <v>21</v>
      </c>
      <c r="I656" s="2" t="s">
        <v>484</v>
      </c>
      <c r="J656" s="2" t="str">
        <f>""</f>
        <v/>
      </c>
      <c r="K656" s="2" t="str">
        <f>"PFES1162729985_0001"</f>
        <v>PFES1162729985_0001</v>
      </c>
      <c r="L656" s="2">
        <v>1</v>
      </c>
      <c r="M656" s="2">
        <v>3</v>
      </c>
    </row>
    <row r="657" spans="1:13">
      <c r="A657" s="6">
        <v>43838</v>
      </c>
      <c r="B657" s="7">
        <v>0.53611111111111109</v>
      </c>
      <c r="C657" s="2" t="str">
        <f>"FES1162730334"</f>
        <v>FES1162730334</v>
      </c>
      <c r="D657" s="2" t="s">
        <v>19</v>
      </c>
      <c r="E657" s="2" t="s">
        <v>46</v>
      </c>
      <c r="F657" s="2" t="str">
        <f>"2170722546 "</f>
        <v xml:space="preserve">2170722546 </v>
      </c>
      <c r="G657" s="2" t="str">
        <f t="shared" si="19"/>
        <v>ON1</v>
      </c>
      <c r="H657" s="2" t="s">
        <v>21</v>
      </c>
      <c r="I657" s="2" t="s">
        <v>47</v>
      </c>
      <c r="J657" s="2" t="str">
        <f>""</f>
        <v/>
      </c>
      <c r="K657" s="2" t="str">
        <f>"PFES1162730334_0001"</f>
        <v>PFES1162730334_0001</v>
      </c>
      <c r="L657" s="2">
        <v>1</v>
      </c>
      <c r="M657" s="2">
        <v>1</v>
      </c>
    </row>
    <row r="658" spans="1:13">
      <c r="A658" s="6">
        <v>43838</v>
      </c>
      <c r="B658" s="7">
        <v>0.53541666666666665</v>
      </c>
      <c r="C658" s="2" t="str">
        <f>"FES1162730374"</f>
        <v>FES1162730374</v>
      </c>
      <c r="D658" s="2" t="s">
        <v>19</v>
      </c>
      <c r="E658" s="2" t="s">
        <v>64</v>
      </c>
      <c r="F658" s="2" t="str">
        <f>"2170722985 "</f>
        <v xml:space="preserve">2170722985 </v>
      </c>
      <c r="G658" s="2" t="str">
        <f t="shared" si="19"/>
        <v>ON1</v>
      </c>
      <c r="H658" s="2" t="s">
        <v>21</v>
      </c>
      <c r="I658" s="2" t="s">
        <v>60</v>
      </c>
      <c r="J658" s="2" t="str">
        <f>""</f>
        <v/>
      </c>
      <c r="K658" s="2" t="str">
        <f>"PFES1162730374_0001"</f>
        <v>PFES1162730374_0001</v>
      </c>
      <c r="L658" s="2">
        <v>1</v>
      </c>
      <c r="M658" s="2">
        <v>1</v>
      </c>
    </row>
    <row r="659" spans="1:13">
      <c r="A659" s="6">
        <v>43838</v>
      </c>
      <c r="B659" s="7">
        <v>0.53472222222222221</v>
      </c>
      <c r="C659" s="2" t="str">
        <f>"FES1162730211"</f>
        <v>FES1162730211</v>
      </c>
      <c r="D659" s="2" t="s">
        <v>19</v>
      </c>
      <c r="E659" s="2" t="s">
        <v>214</v>
      </c>
      <c r="F659" s="2" t="str">
        <f>"2170722121 "</f>
        <v xml:space="preserve">2170722121 </v>
      </c>
      <c r="G659" s="2" t="str">
        <f t="shared" si="19"/>
        <v>ON1</v>
      </c>
      <c r="H659" s="2" t="s">
        <v>21</v>
      </c>
      <c r="I659" s="2" t="s">
        <v>215</v>
      </c>
      <c r="J659" s="2" t="str">
        <f>""</f>
        <v/>
      </c>
      <c r="K659" s="2" t="str">
        <f>"PFES1162730211_0001"</f>
        <v>PFES1162730211_0001</v>
      </c>
      <c r="L659" s="2">
        <v>1</v>
      </c>
      <c r="M659" s="2">
        <v>1</v>
      </c>
    </row>
    <row r="660" spans="1:13">
      <c r="A660" s="6">
        <v>43838</v>
      </c>
      <c r="B660" s="7">
        <v>0.53333333333333333</v>
      </c>
      <c r="C660" s="2" t="str">
        <f>"FES1162730142"</f>
        <v>FES1162730142</v>
      </c>
      <c r="D660" s="2" t="s">
        <v>19</v>
      </c>
      <c r="E660" s="2" t="s">
        <v>64</v>
      </c>
      <c r="F660" s="2" t="str">
        <f>"2170720769 "</f>
        <v xml:space="preserve">2170720769 </v>
      </c>
      <c r="G660" s="2" t="str">
        <f t="shared" si="19"/>
        <v>ON1</v>
      </c>
      <c r="H660" s="2" t="s">
        <v>21</v>
      </c>
      <c r="I660" s="2" t="s">
        <v>60</v>
      </c>
      <c r="J660" s="2" t="str">
        <f>""</f>
        <v/>
      </c>
      <c r="K660" s="2" t="str">
        <f>"PFES1162730142_0001"</f>
        <v>PFES1162730142_0001</v>
      </c>
      <c r="L660" s="2">
        <v>1</v>
      </c>
      <c r="M660" s="2">
        <v>1</v>
      </c>
    </row>
    <row r="661" spans="1:13">
      <c r="A661" s="6">
        <v>43838</v>
      </c>
      <c r="B661" s="7">
        <v>0.53263888888888888</v>
      </c>
      <c r="C661" s="2" t="str">
        <f>"FES1162730245"</f>
        <v>FES1162730245</v>
      </c>
      <c r="D661" s="2" t="s">
        <v>19</v>
      </c>
      <c r="E661" s="2" t="s">
        <v>86</v>
      </c>
      <c r="F661" s="2" t="str">
        <f>"2170721912 "</f>
        <v xml:space="preserve">2170721912 </v>
      </c>
      <c r="G661" s="2" t="str">
        <f t="shared" si="19"/>
        <v>ON1</v>
      </c>
      <c r="H661" s="2" t="s">
        <v>21</v>
      </c>
      <c r="I661" s="2" t="s">
        <v>63</v>
      </c>
      <c r="J661" s="2" t="str">
        <f>""</f>
        <v/>
      </c>
      <c r="K661" s="2" t="str">
        <f>"PFES1162730245_0001"</f>
        <v>PFES1162730245_0001</v>
      </c>
      <c r="L661" s="2">
        <v>1</v>
      </c>
      <c r="M661" s="2">
        <v>1</v>
      </c>
    </row>
    <row r="662" spans="1:13">
      <c r="A662" s="6">
        <v>43838</v>
      </c>
      <c r="B662" s="7">
        <v>0.53194444444444444</v>
      </c>
      <c r="C662" s="2" t="str">
        <f>"FES1162730317"</f>
        <v>FES1162730317</v>
      </c>
      <c r="D662" s="2" t="s">
        <v>19</v>
      </c>
      <c r="E662" s="2" t="s">
        <v>485</v>
      </c>
      <c r="F662" s="2" t="str">
        <f>"2170721611 "</f>
        <v xml:space="preserve">2170721611 </v>
      </c>
      <c r="G662" s="2" t="str">
        <f t="shared" si="19"/>
        <v>ON1</v>
      </c>
      <c r="H662" s="2" t="s">
        <v>21</v>
      </c>
      <c r="I662" s="2" t="s">
        <v>47</v>
      </c>
      <c r="J662" s="2" t="str">
        <f>""</f>
        <v/>
      </c>
      <c r="K662" s="2" t="str">
        <f>"PFES1162730317_0001"</f>
        <v>PFES1162730317_0001</v>
      </c>
      <c r="L662" s="2">
        <v>1</v>
      </c>
      <c r="M662" s="2">
        <v>1</v>
      </c>
    </row>
    <row r="663" spans="1:13">
      <c r="A663" s="6">
        <v>43838</v>
      </c>
      <c r="B663" s="7">
        <v>0.53125</v>
      </c>
      <c r="C663" s="2" t="str">
        <f>"FES1162730033"</f>
        <v>FES1162730033</v>
      </c>
      <c r="D663" s="2" t="s">
        <v>19</v>
      </c>
      <c r="E663" s="2" t="s">
        <v>378</v>
      </c>
      <c r="F663" s="2" t="str">
        <f>"2170722013 "</f>
        <v xml:space="preserve">2170722013 </v>
      </c>
      <c r="G663" s="2" t="str">
        <f t="shared" si="19"/>
        <v>ON1</v>
      </c>
      <c r="H663" s="2" t="s">
        <v>21</v>
      </c>
      <c r="I663" s="2" t="s">
        <v>379</v>
      </c>
      <c r="J663" s="2" t="str">
        <f>""</f>
        <v/>
      </c>
      <c r="K663" s="2" t="str">
        <f>"PFES1162730033_0001"</f>
        <v>PFES1162730033_0001</v>
      </c>
      <c r="L663" s="2">
        <v>1</v>
      </c>
      <c r="M663" s="2">
        <v>6</v>
      </c>
    </row>
    <row r="664" spans="1:13">
      <c r="A664" s="6">
        <v>43838</v>
      </c>
      <c r="B664" s="7">
        <v>0.53125</v>
      </c>
      <c r="C664" s="2" t="str">
        <f>"FES1162730280"</f>
        <v>FES1162730280</v>
      </c>
      <c r="D664" s="2" t="s">
        <v>19</v>
      </c>
      <c r="E664" s="2" t="s">
        <v>132</v>
      </c>
      <c r="F664" s="2" t="str">
        <f>"2170721165 "</f>
        <v xml:space="preserve">2170721165 </v>
      </c>
      <c r="G664" s="2" t="str">
        <f t="shared" si="19"/>
        <v>ON1</v>
      </c>
      <c r="H664" s="2" t="s">
        <v>21</v>
      </c>
      <c r="I664" s="2" t="s">
        <v>133</v>
      </c>
      <c r="J664" s="2" t="str">
        <f>""</f>
        <v/>
      </c>
      <c r="K664" s="2" t="str">
        <f>"PFES1162730280_0001"</f>
        <v>PFES1162730280_0001</v>
      </c>
      <c r="L664" s="2">
        <v>1</v>
      </c>
      <c r="M664" s="2">
        <v>1</v>
      </c>
    </row>
    <row r="665" spans="1:13">
      <c r="A665" s="6">
        <v>43838</v>
      </c>
      <c r="B665" s="7">
        <v>0.53125</v>
      </c>
      <c r="C665" s="2" t="str">
        <f>"FES1162730102"</f>
        <v>FES1162730102</v>
      </c>
      <c r="D665" s="2" t="s">
        <v>19</v>
      </c>
      <c r="E665" s="2" t="s">
        <v>321</v>
      </c>
      <c r="F665" s="2" t="str">
        <f>"2170722869 "</f>
        <v xml:space="preserve">2170722869 </v>
      </c>
      <c r="G665" s="2" t="str">
        <f t="shared" si="19"/>
        <v>ON1</v>
      </c>
      <c r="H665" s="2" t="s">
        <v>21</v>
      </c>
      <c r="I665" s="2" t="s">
        <v>127</v>
      </c>
      <c r="J665" s="2" t="str">
        <f>""</f>
        <v/>
      </c>
      <c r="K665" s="2" t="str">
        <f>"PFES1162730102_0001"</f>
        <v>PFES1162730102_0001</v>
      </c>
      <c r="L665" s="2">
        <v>1</v>
      </c>
      <c r="M665" s="2">
        <v>6</v>
      </c>
    </row>
    <row r="666" spans="1:13">
      <c r="A666" s="6">
        <v>43838</v>
      </c>
      <c r="B666" s="7">
        <v>0.53055555555555556</v>
      </c>
      <c r="C666" s="2" t="str">
        <f>"FES1162730262"</f>
        <v>FES1162730262</v>
      </c>
      <c r="D666" s="2" t="s">
        <v>19</v>
      </c>
      <c r="E666" s="2" t="s">
        <v>218</v>
      </c>
      <c r="F666" s="2" t="str">
        <f>"2170719594 "</f>
        <v xml:space="preserve">2170719594 </v>
      </c>
      <c r="G666" s="2" t="str">
        <f t="shared" si="19"/>
        <v>ON1</v>
      </c>
      <c r="H666" s="2" t="s">
        <v>21</v>
      </c>
      <c r="I666" s="2" t="s">
        <v>49</v>
      </c>
      <c r="J666" s="2" t="str">
        <f>""</f>
        <v/>
      </c>
      <c r="K666" s="2" t="str">
        <f>"PFES1162730262_0001"</f>
        <v>PFES1162730262_0001</v>
      </c>
      <c r="L666" s="2">
        <v>1</v>
      </c>
      <c r="M666" s="2">
        <v>1</v>
      </c>
    </row>
    <row r="667" spans="1:13">
      <c r="A667" s="6">
        <v>43838</v>
      </c>
      <c r="B667" s="7">
        <v>0.53055555555555556</v>
      </c>
      <c r="C667" s="2" t="str">
        <f>"FES1162730285"</f>
        <v>FES1162730285</v>
      </c>
      <c r="D667" s="2" t="s">
        <v>19</v>
      </c>
      <c r="E667" s="2" t="s">
        <v>265</v>
      </c>
      <c r="F667" s="2" t="str">
        <f>"2170721221 "</f>
        <v xml:space="preserve">2170721221 </v>
      </c>
      <c r="G667" s="2" t="str">
        <f t="shared" si="19"/>
        <v>ON1</v>
      </c>
      <c r="H667" s="2" t="s">
        <v>21</v>
      </c>
      <c r="I667" s="2" t="s">
        <v>28</v>
      </c>
      <c r="J667" s="2" t="str">
        <f>""</f>
        <v/>
      </c>
      <c r="K667" s="2" t="str">
        <f>"PFES1162730285_0001"</f>
        <v>PFES1162730285_0001</v>
      </c>
      <c r="L667" s="2">
        <v>1</v>
      </c>
      <c r="M667" s="2">
        <v>2</v>
      </c>
    </row>
    <row r="668" spans="1:13">
      <c r="A668" s="6">
        <v>43838</v>
      </c>
      <c r="B668" s="7">
        <v>0.53055555555555556</v>
      </c>
      <c r="C668" s="2" t="str">
        <f>"FES1162723190"</f>
        <v>FES1162723190</v>
      </c>
      <c r="D668" s="2" t="s">
        <v>19</v>
      </c>
      <c r="E668" s="2" t="s">
        <v>486</v>
      </c>
      <c r="F668" s="2" t="str">
        <f>"2170712132 "</f>
        <v xml:space="preserve">2170712132 </v>
      </c>
      <c r="G668" s="2" t="str">
        <f t="shared" si="19"/>
        <v>ON1</v>
      </c>
      <c r="H668" s="2" t="s">
        <v>21</v>
      </c>
      <c r="I668" s="2" t="s">
        <v>119</v>
      </c>
      <c r="J668" s="2" t="str">
        <f>""</f>
        <v/>
      </c>
      <c r="K668" s="2" t="str">
        <f>"PFES1162723190_0001"</f>
        <v>PFES1162723190_0001</v>
      </c>
      <c r="L668" s="2">
        <v>1</v>
      </c>
      <c r="M668" s="2">
        <v>14</v>
      </c>
    </row>
    <row r="669" spans="1:13">
      <c r="A669" s="6">
        <v>43838</v>
      </c>
      <c r="B669" s="7">
        <v>0.52986111111111112</v>
      </c>
      <c r="C669" s="2" t="str">
        <f>"FES1162730085"</f>
        <v>FES1162730085</v>
      </c>
      <c r="D669" s="2" t="s">
        <v>19</v>
      </c>
      <c r="E669" s="2" t="s">
        <v>101</v>
      </c>
      <c r="F669" s="2" t="str">
        <f>"2170722849 "</f>
        <v xml:space="preserve">2170722849 </v>
      </c>
      <c r="G669" s="2" t="str">
        <f t="shared" si="19"/>
        <v>ON1</v>
      </c>
      <c r="H669" s="2" t="s">
        <v>21</v>
      </c>
      <c r="I669" s="2" t="s">
        <v>102</v>
      </c>
      <c r="J669" s="2" t="str">
        <f>""</f>
        <v/>
      </c>
      <c r="K669" s="2" t="str">
        <f>"PFES1162730085_0001"</f>
        <v>PFES1162730085_0001</v>
      </c>
      <c r="L669" s="2">
        <v>1</v>
      </c>
      <c r="M669" s="2">
        <v>1</v>
      </c>
    </row>
    <row r="670" spans="1:13">
      <c r="A670" s="6">
        <v>43838</v>
      </c>
      <c r="B670" s="7">
        <v>0.52986111111111112</v>
      </c>
      <c r="C670" s="2" t="str">
        <f>"FES1162730316"</f>
        <v>FES1162730316</v>
      </c>
      <c r="D670" s="2" t="s">
        <v>19</v>
      </c>
      <c r="E670" s="2" t="s">
        <v>487</v>
      </c>
      <c r="F670" s="2" t="str">
        <f>"2170721580 "</f>
        <v xml:space="preserve">2170721580 </v>
      </c>
      <c r="G670" s="2" t="str">
        <f t="shared" si="19"/>
        <v>ON1</v>
      </c>
      <c r="H670" s="2" t="s">
        <v>21</v>
      </c>
      <c r="I670" s="2" t="s">
        <v>488</v>
      </c>
      <c r="J670" s="2" t="str">
        <f>""</f>
        <v/>
      </c>
      <c r="K670" s="2" t="str">
        <f>"PFES1162730316_0001"</f>
        <v>PFES1162730316_0001</v>
      </c>
      <c r="L670" s="2">
        <v>1</v>
      </c>
      <c r="M670" s="2">
        <v>1</v>
      </c>
    </row>
    <row r="671" spans="1:13">
      <c r="A671" s="6">
        <v>43838</v>
      </c>
      <c r="B671" s="7">
        <v>0.52986111111111112</v>
      </c>
      <c r="C671" s="2" t="str">
        <f>"FES1162730002"</f>
        <v>FES1162730002</v>
      </c>
      <c r="D671" s="2" t="s">
        <v>19</v>
      </c>
      <c r="E671" s="2" t="s">
        <v>489</v>
      </c>
      <c r="F671" s="2" t="str">
        <f>"2170721691 "</f>
        <v xml:space="preserve">2170721691 </v>
      </c>
      <c r="G671" s="2" t="str">
        <f t="shared" si="19"/>
        <v>ON1</v>
      </c>
      <c r="H671" s="2" t="s">
        <v>21</v>
      </c>
      <c r="I671" s="2" t="s">
        <v>277</v>
      </c>
      <c r="J671" s="2" t="str">
        <f>""</f>
        <v/>
      </c>
      <c r="K671" s="2" t="str">
        <f>"PFES1162730002_0001"</f>
        <v>PFES1162730002_0001</v>
      </c>
      <c r="L671" s="2">
        <v>1</v>
      </c>
      <c r="M671" s="2">
        <v>3</v>
      </c>
    </row>
    <row r="672" spans="1:13">
      <c r="A672" s="6">
        <v>43838</v>
      </c>
      <c r="B672" s="7">
        <v>0.52638888888888891</v>
      </c>
      <c r="C672" s="2" t="str">
        <f>"FES1162730289"</f>
        <v>FES1162730289</v>
      </c>
      <c r="D672" s="2" t="s">
        <v>19</v>
      </c>
      <c r="E672" s="2" t="s">
        <v>118</v>
      </c>
      <c r="F672" s="2" t="str">
        <f>"2170721240 "</f>
        <v xml:space="preserve">2170721240 </v>
      </c>
      <c r="G672" s="2" t="str">
        <f t="shared" si="19"/>
        <v>ON1</v>
      </c>
      <c r="H672" s="2" t="s">
        <v>21</v>
      </c>
      <c r="I672" s="2" t="s">
        <v>119</v>
      </c>
      <c r="J672" s="2" t="str">
        <f>""</f>
        <v/>
      </c>
      <c r="K672" s="2" t="str">
        <f>"PFES1162730289_0001"</f>
        <v>PFES1162730289_0001</v>
      </c>
      <c r="L672" s="2">
        <v>1</v>
      </c>
      <c r="M672" s="2">
        <v>1</v>
      </c>
    </row>
    <row r="673" spans="1:13">
      <c r="A673" s="6">
        <v>43838</v>
      </c>
      <c r="B673" s="7">
        <v>0.52500000000000002</v>
      </c>
      <c r="C673" s="2" t="str">
        <f>"FES1162730228"</f>
        <v>FES1162730228</v>
      </c>
      <c r="D673" s="2" t="s">
        <v>19</v>
      </c>
      <c r="E673" s="2" t="s">
        <v>42</v>
      </c>
      <c r="F673" s="2" t="str">
        <f>"2170721019 "</f>
        <v xml:space="preserve">2170721019 </v>
      </c>
      <c r="G673" s="2" t="str">
        <f t="shared" si="19"/>
        <v>ON1</v>
      </c>
      <c r="H673" s="2" t="s">
        <v>21</v>
      </c>
      <c r="I673" s="2" t="s">
        <v>43</v>
      </c>
      <c r="J673" s="2" t="str">
        <f>""</f>
        <v/>
      </c>
      <c r="K673" s="2" t="str">
        <f>"PFES1162730228_0001"</f>
        <v>PFES1162730228_0001</v>
      </c>
      <c r="L673" s="2">
        <v>1</v>
      </c>
      <c r="M673" s="2">
        <v>1</v>
      </c>
    </row>
    <row r="674" spans="1:13">
      <c r="A674" s="6">
        <v>43838</v>
      </c>
      <c r="B674" s="7">
        <v>0.52430555555555558</v>
      </c>
      <c r="C674" s="2" t="str">
        <f>"FES1162730273"</f>
        <v>FES1162730273</v>
      </c>
      <c r="D674" s="2" t="s">
        <v>19</v>
      </c>
      <c r="E674" s="2" t="s">
        <v>30</v>
      </c>
      <c r="F674" s="2" t="str">
        <f>"2170721082 "</f>
        <v xml:space="preserve">2170721082 </v>
      </c>
      <c r="G674" s="2" t="str">
        <f t="shared" si="19"/>
        <v>ON1</v>
      </c>
      <c r="H674" s="2" t="s">
        <v>21</v>
      </c>
      <c r="I674" s="2" t="s">
        <v>31</v>
      </c>
      <c r="J674" s="2" t="str">
        <f>""</f>
        <v/>
      </c>
      <c r="K674" s="2" t="str">
        <f>"PFES1162730273_0001"</f>
        <v>PFES1162730273_0001</v>
      </c>
      <c r="L674" s="2">
        <v>1</v>
      </c>
      <c r="M674" s="2">
        <v>1</v>
      </c>
    </row>
    <row r="675" spans="1:13">
      <c r="A675" s="6">
        <v>43839</v>
      </c>
      <c r="B675" s="7">
        <v>0.68402777777777779</v>
      </c>
      <c r="C675" s="2" t="str">
        <f>"FES1162730584"</f>
        <v>FES1162730584</v>
      </c>
      <c r="D675" s="2" t="s">
        <v>19</v>
      </c>
      <c r="E675" s="2" t="s">
        <v>490</v>
      </c>
      <c r="F675" s="2" t="str">
        <f>"2170723210 "</f>
        <v xml:space="preserve">2170723210 </v>
      </c>
      <c r="G675" s="2" t="str">
        <f t="shared" si="19"/>
        <v>ON1</v>
      </c>
      <c r="H675" s="2" t="s">
        <v>21</v>
      </c>
      <c r="I675" s="2" t="s">
        <v>146</v>
      </c>
      <c r="J675" s="2" t="str">
        <f>""</f>
        <v/>
      </c>
      <c r="K675" s="2" t="str">
        <f>"PFES1162730584_0001"</f>
        <v>PFES1162730584_0001</v>
      </c>
      <c r="L675" s="2">
        <v>1</v>
      </c>
      <c r="M675" s="2">
        <v>1</v>
      </c>
    </row>
    <row r="676" spans="1:13">
      <c r="A676" s="6">
        <v>43839</v>
      </c>
      <c r="B676" s="7">
        <v>0.68333333333333324</v>
      </c>
      <c r="C676" s="2" t="str">
        <f>"FES1162730588"</f>
        <v>FES1162730588</v>
      </c>
      <c r="D676" s="2" t="s">
        <v>19</v>
      </c>
      <c r="E676" s="2" t="s">
        <v>491</v>
      </c>
      <c r="F676" s="2" t="str">
        <f>"2170723215 "</f>
        <v xml:space="preserve">2170723215 </v>
      </c>
      <c r="G676" s="2" t="str">
        <f t="shared" si="19"/>
        <v>ON1</v>
      </c>
      <c r="H676" s="2" t="s">
        <v>21</v>
      </c>
      <c r="I676" s="2" t="s">
        <v>47</v>
      </c>
      <c r="J676" s="2" t="str">
        <f>""</f>
        <v/>
      </c>
      <c r="K676" s="2" t="str">
        <f>"PFES1162730588_0001"</f>
        <v>PFES1162730588_0001</v>
      </c>
      <c r="L676" s="2">
        <v>1</v>
      </c>
      <c r="M676" s="2">
        <v>1</v>
      </c>
    </row>
    <row r="677" spans="1:13">
      <c r="A677" s="6">
        <v>43839</v>
      </c>
      <c r="B677" s="7">
        <v>0.68333333333333324</v>
      </c>
      <c r="C677" s="2" t="str">
        <f>"FES1162730579"</f>
        <v>FES1162730579</v>
      </c>
      <c r="D677" s="2" t="s">
        <v>19</v>
      </c>
      <c r="E677" s="2" t="s">
        <v>174</v>
      </c>
      <c r="F677" s="2" t="str">
        <f>"2170722747 "</f>
        <v xml:space="preserve">2170722747 </v>
      </c>
      <c r="G677" s="2" t="str">
        <f t="shared" si="19"/>
        <v>ON1</v>
      </c>
      <c r="H677" s="2" t="s">
        <v>21</v>
      </c>
      <c r="I677" s="2" t="s">
        <v>175</v>
      </c>
      <c r="J677" s="2" t="str">
        <f>""</f>
        <v/>
      </c>
      <c r="K677" s="2" t="str">
        <f>"PFES1162730579_0001"</f>
        <v>PFES1162730579_0001</v>
      </c>
      <c r="L677" s="2">
        <v>1</v>
      </c>
      <c r="M677" s="2">
        <v>4</v>
      </c>
    </row>
    <row r="678" spans="1:13">
      <c r="A678" s="6">
        <v>43839</v>
      </c>
      <c r="B678" s="7">
        <v>0.68263888888888891</v>
      </c>
      <c r="C678" s="2" t="str">
        <f>"FES1162730578"</f>
        <v>FES1162730578</v>
      </c>
      <c r="D678" s="2" t="s">
        <v>19</v>
      </c>
      <c r="E678" s="2" t="s">
        <v>144</v>
      </c>
      <c r="F678" s="2" t="str">
        <f>"21707227572 "</f>
        <v xml:space="preserve">21707227572 </v>
      </c>
      <c r="G678" s="2" t="str">
        <f t="shared" si="19"/>
        <v>ON1</v>
      </c>
      <c r="H678" s="2" t="s">
        <v>21</v>
      </c>
      <c r="I678" s="2" t="s">
        <v>34</v>
      </c>
      <c r="J678" s="2" t="str">
        <f>""</f>
        <v/>
      </c>
      <c r="K678" s="2" t="str">
        <f>"PFES1162730578_0001"</f>
        <v>PFES1162730578_0001</v>
      </c>
      <c r="L678" s="2">
        <v>1</v>
      </c>
      <c r="M678" s="2">
        <v>8</v>
      </c>
    </row>
    <row r="679" spans="1:13">
      <c r="A679" s="6">
        <v>43839</v>
      </c>
      <c r="B679" s="7">
        <v>0.68194444444444446</v>
      </c>
      <c r="C679" s="2" t="str">
        <f>"009935712049"</f>
        <v>009935712049</v>
      </c>
      <c r="D679" s="2" t="s">
        <v>19</v>
      </c>
      <c r="E679" s="2" t="s">
        <v>290</v>
      </c>
      <c r="F679" s="2" t="str">
        <f>"1162728242 "</f>
        <v xml:space="preserve">1162728242 </v>
      </c>
      <c r="G679" s="2" t="str">
        <f t="shared" si="19"/>
        <v>ON1</v>
      </c>
      <c r="H679" s="2" t="s">
        <v>21</v>
      </c>
      <c r="I679" s="2" t="s">
        <v>291</v>
      </c>
      <c r="J679" s="2" t="str">
        <f>"RESEND"</f>
        <v>RESEND</v>
      </c>
      <c r="K679" s="2" t="str">
        <f>"P009935712049_0001"</f>
        <v>P009935712049_0001</v>
      </c>
      <c r="L679" s="2">
        <v>1</v>
      </c>
      <c r="M679" s="2">
        <v>1</v>
      </c>
    </row>
    <row r="680" spans="1:13">
      <c r="A680" s="6">
        <v>43839</v>
      </c>
      <c r="B680" s="7">
        <v>0.67986111111111114</v>
      </c>
      <c r="C680" s="2" t="str">
        <f>"FES1162730562"</f>
        <v>FES1162730562</v>
      </c>
      <c r="D680" s="2" t="s">
        <v>19</v>
      </c>
      <c r="E680" s="2" t="s">
        <v>261</v>
      </c>
      <c r="F680" s="2" t="str">
        <f>"2170723192 "</f>
        <v xml:space="preserve">2170723192 </v>
      </c>
      <c r="G680" s="2" t="str">
        <f t="shared" si="19"/>
        <v>ON1</v>
      </c>
      <c r="H680" s="2" t="s">
        <v>21</v>
      </c>
      <c r="I680" s="2" t="s">
        <v>152</v>
      </c>
      <c r="J680" s="2" t="str">
        <f>""</f>
        <v/>
      </c>
      <c r="K680" s="2" t="str">
        <f>"PFES1162730562_0001"</f>
        <v>PFES1162730562_0001</v>
      </c>
      <c r="L680" s="2">
        <v>1</v>
      </c>
      <c r="M680" s="2">
        <v>1</v>
      </c>
    </row>
    <row r="681" spans="1:13">
      <c r="A681" s="6">
        <v>43839</v>
      </c>
      <c r="B681" s="7">
        <v>0.6791666666666667</v>
      </c>
      <c r="C681" s="2" t="str">
        <f>"FES1162730573"</f>
        <v>FES1162730573</v>
      </c>
      <c r="D681" s="2" t="s">
        <v>19</v>
      </c>
      <c r="E681" s="2" t="s">
        <v>492</v>
      </c>
      <c r="F681" s="2" t="str">
        <f>"2170723203 "</f>
        <v xml:space="preserve">2170723203 </v>
      </c>
      <c r="G681" s="2" t="str">
        <f t="shared" si="19"/>
        <v>ON1</v>
      </c>
      <c r="H681" s="2" t="s">
        <v>21</v>
      </c>
      <c r="I681" s="2" t="s">
        <v>253</v>
      </c>
      <c r="J681" s="2" t="str">
        <f>""</f>
        <v/>
      </c>
      <c r="K681" s="2" t="str">
        <f>"PFES1162730573_0001"</f>
        <v>PFES1162730573_0001</v>
      </c>
      <c r="L681" s="2">
        <v>1</v>
      </c>
      <c r="M681" s="2">
        <v>1</v>
      </c>
    </row>
    <row r="682" spans="1:13">
      <c r="A682" s="6">
        <v>43839</v>
      </c>
      <c r="B682" s="7">
        <v>0.67847222222222225</v>
      </c>
      <c r="C682" s="2" t="str">
        <f>"FES1162730571"</f>
        <v>FES1162730571</v>
      </c>
      <c r="D682" s="2" t="s">
        <v>19</v>
      </c>
      <c r="E682" s="2" t="s">
        <v>59</v>
      </c>
      <c r="F682" s="2" t="str">
        <f>"2170723198 "</f>
        <v xml:space="preserve">2170723198 </v>
      </c>
      <c r="G682" s="2" t="str">
        <f t="shared" si="19"/>
        <v>ON1</v>
      </c>
      <c r="H682" s="2" t="s">
        <v>21</v>
      </c>
      <c r="I682" s="2" t="s">
        <v>60</v>
      </c>
      <c r="J682" s="2" t="str">
        <f>""</f>
        <v/>
      </c>
      <c r="K682" s="2" t="str">
        <f>"PFES1162730571_0001"</f>
        <v>PFES1162730571_0001</v>
      </c>
      <c r="L682" s="2">
        <v>1</v>
      </c>
      <c r="M682" s="2">
        <v>1</v>
      </c>
    </row>
    <row r="683" spans="1:13">
      <c r="A683" s="6">
        <v>43839</v>
      </c>
      <c r="B683" s="7">
        <v>0.6777777777777777</v>
      </c>
      <c r="C683" s="2" t="str">
        <f>"FES1162730568"</f>
        <v>FES1162730568</v>
      </c>
      <c r="D683" s="2" t="s">
        <v>19</v>
      </c>
      <c r="E683" s="2" t="s">
        <v>493</v>
      </c>
      <c r="F683" s="2" t="str">
        <f>"2170723200 "</f>
        <v xml:space="preserve">2170723200 </v>
      </c>
      <c r="G683" s="2" t="str">
        <f t="shared" si="19"/>
        <v>ON1</v>
      </c>
      <c r="H683" s="2" t="s">
        <v>21</v>
      </c>
      <c r="I683" s="2" t="s">
        <v>49</v>
      </c>
      <c r="J683" s="2" t="str">
        <f>""</f>
        <v/>
      </c>
      <c r="K683" s="2" t="str">
        <f>"PFES1162730568_0001"</f>
        <v>PFES1162730568_0001</v>
      </c>
      <c r="L683" s="2">
        <v>1</v>
      </c>
      <c r="M683" s="2">
        <v>1</v>
      </c>
    </row>
    <row r="684" spans="1:13">
      <c r="A684" s="6">
        <v>43839</v>
      </c>
      <c r="B684" s="7">
        <v>0.67708333333333337</v>
      </c>
      <c r="C684" s="2" t="str">
        <f>"FES1162730511"</f>
        <v>FES1162730511</v>
      </c>
      <c r="D684" s="2" t="s">
        <v>19</v>
      </c>
      <c r="E684" s="2" t="s">
        <v>452</v>
      </c>
      <c r="F684" s="2" t="str">
        <f>"21707213130 "</f>
        <v xml:space="preserve">21707213130 </v>
      </c>
      <c r="G684" s="2" t="str">
        <f t="shared" si="19"/>
        <v>ON1</v>
      </c>
      <c r="H684" s="2" t="s">
        <v>21</v>
      </c>
      <c r="I684" s="2" t="s">
        <v>453</v>
      </c>
      <c r="J684" s="2" t="str">
        <f>""</f>
        <v/>
      </c>
      <c r="K684" s="2" t="str">
        <f>"PFES1162730511_0001"</f>
        <v>PFES1162730511_0001</v>
      </c>
      <c r="L684" s="2">
        <v>1</v>
      </c>
      <c r="M684" s="2">
        <v>1</v>
      </c>
    </row>
    <row r="685" spans="1:13">
      <c r="A685" s="6">
        <v>43839</v>
      </c>
      <c r="B685" s="7">
        <v>0.67708333333333337</v>
      </c>
      <c r="C685" s="2" t="str">
        <f>"FES1162730564"</f>
        <v>FES1162730564</v>
      </c>
      <c r="D685" s="2" t="s">
        <v>19</v>
      </c>
      <c r="E685" s="2" t="s">
        <v>494</v>
      </c>
      <c r="F685" s="2" t="str">
        <f>"2170723195 "</f>
        <v xml:space="preserve">2170723195 </v>
      </c>
      <c r="G685" s="2" t="str">
        <f t="shared" si="19"/>
        <v>ON1</v>
      </c>
      <c r="H685" s="2" t="s">
        <v>21</v>
      </c>
      <c r="I685" s="2" t="s">
        <v>247</v>
      </c>
      <c r="J685" s="2" t="str">
        <f>""</f>
        <v/>
      </c>
      <c r="K685" s="2" t="str">
        <f>"PFES1162730564_0001"</f>
        <v>PFES1162730564_0001</v>
      </c>
      <c r="L685" s="2">
        <v>1</v>
      </c>
      <c r="M685" s="2">
        <v>1</v>
      </c>
    </row>
    <row r="686" spans="1:13">
      <c r="A686" s="6">
        <v>43839</v>
      </c>
      <c r="B686" s="7">
        <v>0.67638888888888893</v>
      </c>
      <c r="C686" s="2" t="str">
        <f>"FES1162730551"</f>
        <v>FES1162730551</v>
      </c>
      <c r="D686" s="2" t="s">
        <v>19</v>
      </c>
      <c r="E686" s="2" t="s">
        <v>275</v>
      </c>
      <c r="F686" s="2" t="str">
        <f>"2170723178 "</f>
        <v xml:space="preserve">2170723178 </v>
      </c>
      <c r="G686" s="2" t="str">
        <f t="shared" si="19"/>
        <v>ON1</v>
      </c>
      <c r="H686" s="2" t="s">
        <v>21</v>
      </c>
      <c r="I686" s="2" t="s">
        <v>202</v>
      </c>
      <c r="J686" s="2" t="str">
        <f>""</f>
        <v/>
      </c>
      <c r="K686" s="2" t="str">
        <f>"PFES1162730551_0001"</f>
        <v>PFES1162730551_0001</v>
      </c>
      <c r="L686" s="2">
        <v>1</v>
      </c>
      <c r="M686" s="2">
        <v>1</v>
      </c>
    </row>
    <row r="687" spans="1:13">
      <c r="A687" s="6">
        <v>43839</v>
      </c>
      <c r="B687" s="7">
        <v>0.67638888888888893</v>
      </c>
      <c r="C687" s="2" t="str">
        <f>"FES1162730553"</f>
        <v>FES1162730553</v>
      </c>
      <c r="D687" s="2" t="s">
        <v>19</v>
      </c>
      <c r="E687" s="2" t="s">
        <v>153</v>
      </c>
      <c r="F687" s="2" t="str">
        <f>"2170723179 "</f>
        <v xml:space="preserve">2170723179 </v>
      </c>
      <c r="G687" s="2" t="str">
        <f t="shared" si="19"/>
        <v>ON1</v>
      </c>
      <c r="H687" s="2" t="s">
        <v>21</v>
      </c>
      <c r="I687" s="2" t="s">
        <v>146</v>
      </c>
      <c r="J687" s="2" t="str">
        <f>""</f>
        <v/>
      </c>
      <c r="K687" s="2" t="str">
        <f>"PFES1162730553_0001"</f>
        <v>PFES1162730553_0001</v>
      </c>
      <c r="L687" s="2">
        <v>1</v>
      </c>
      <c r="M687" s="2">
        <v>3</v>
      </c>
    </row>
    <row r="688" spans="1:13">
      <c r="A688" s="6">
        <v>43839</v>
      </c>
      <c r="B688" s="7">
        <v>0.67569444444444438</v>
      </c>
      <c r="C688" s="2" t="str">
        <f>"FES1162730563"</f>
        <v>FES1162730563</v>
      </c>
      <c r="D688" s="2" t="s">
        <v>19</v>
      </c>
      <c r="E688" s="2" t="s">
        <v>495</v>
      </c>
      <c r="F688" s="2" t="str">
        <f>"2170723194 "</f>
        <v xml:space="preserve">2170723194 </v>
      </c>
      <c r="G688" s="2" t="str">
        <f t="shared" si="19"/>
        <v>ON1</v>
      </c>
      <c r="H688" s="2" t="s">
        <v>21</v>
      </c>
      <c r="I688" s="2" t="s">
        <v>496</v>
      </c>
      <c r="J688" s="2" t="str">
        <f>""</f>
        <v/>
      </c>
      <c r="K688" s="2" t="str">
        <f>"PFES1162730563_0001"</f>
        <v>PFES1162730563_0001</v>
      </c>
      <c r="L688" s="2">
        <v>1</v>
      </c>
      <c r="M688" s="2">
        <v>2</v>
      </c>
    </row>
    <row r="689" spans="1:13">
      <c r="A689" s="6">
        <v>43839</v>
      </c>
      <c r="B689" s="7">
        <v>0.67569444444444438</v>
      </c>
      <c r="C689" s="2" t="str">
        <f>"FES1162730559"</f>
        <v>FES1162730559</v>
      </c>
      <c r="D689" s="2" t="s">
        <v>19</v>
      </c>
      <c r="E689" s="2" t="s">
        <v>147</v>
      </c>
      <c r="F689" s="2" t="str">
        <f>"2170722627 "</f>
        <v xml:space="preserve">2170722627 </v>
      </c>
      <c r="G689" s="2" t="str">
        <f t="shared" si="19"/>
        <v>ON1</v>
      </c>
      <c r="H689" s="2" t="s">
        <v>21</v>
      </c>
      <c r="I689" s="2" t="s">
        <v>148</v>
      </c>
      <c r="J689" s="2" t="str">
        <f>""</f>
        <v/>
      </c>
      <c r="K689" s="2" t="str">
        <f>"PFES1162730559_0001"</f>
        <v>PFES1162730559_0001</v>
      </c>
      <c r="L689" s="2">
        <v>1</v>
      </c>
      <c r="M689" s="2">
        <v>3</v>
      </c>
    </row>
    <row r="690" spans="1:13">
      <c r="A690" s="6">
        <v>43839</v>
      </c>
      <c r="B690" s="7">
        <v>0.67499999999999993</v>
      </c>
      <c r="C690" s="2" t="str">
        <f>"FES1162730558"</f>
        <v>FES1162730558</v>
      </c>
      <c r="D690" s="2" t="s">
        <v>19</v>
      </c>
      <c r="E690" s="2" t="s">
        <v>497</v>
      </c>
      <c r="F690" s="2" t="str">
        <f>"2170723186 "</f>
        <v xml:space="preserve">2170723186 </v>
      </c>
      <c r="G690" s="2" t="str">
        <f t="shared" si="19"/>
        <v>ON1</v>
      </c>
      <c r="H690" s="2" t="s">
        <v>21</v>
      </c>
      <c r="I690" s="2" t="s">
        <v>338</v>
      </c>
      <c r="J690" s="2" t="str">
        <f>""</f>
        <v/>
      </c>
      <c r="K690" s="2" t="str">
        <f>"PFES1162730558_0001"</f>
        <v>PFES1162730558_0001</v>
      </c>
      <c r="L690" s="2">
        <v>1</v>
      </c>
      <c r="M690" s="2">
        <v>1</v>
      </c>
    </row>
    <row r="691" spans="1:13">
      <c r="A691" s="6">
        <v>43839</v>
      </c>
      <c r="B691" s="7">
        <v>0.67499999999999993</v>
      </c>
      <c r="C691" s="2" t="str">
        <f>"FES1162730570"</f>
        <v>FES1162730570</v>
      </c>
      <c r="D691" s="2" t="s">
        <v>19</v>
      </c>
      <c r="E691" s="2" t="s">
        <v>434</v>
      </c>
      <c r="F691" s="2" t="str">
        <f>"2170723172 "</f>
        <v xml:space="preserve">2170723172 </v>
      </c>
      <c r="G691" s="2" t="str">
        <f t="shared" si="19"/>
        <v>ON1</v>
      </c>
      <c r="H691" s="2" t="s">
        <v>21</v>
      </c>
      <c r="I691" s="2" t="s">
        <v>344</v>
      </c>
      <c r="J691" s="2" t="str">
        <f>""</f>
        <v/>
      </c>
      <c r="K691" s="2" t="str">
        <f>"PFES1162730570_0001"</f>
        <v>PFES1162730570_0001</v>
      </c>
      <c r="L691" s="2">
        <v>1</v>
      </c>
      <c r="M691" s="2">
        <v>7</v>
      </c>
    </row>
    <row r="692" spans="1:13">
      <c r="A692" s="6">
        <v>43839</v>
      </c>
      <c r="B692" s="7">
        <v>0.6743055555555556</v>
      </c>
      <c r="C692" s="2" t="str">
        <f>"FES1162730545"</f>
        <v>FES1162730545</v>
      </c>
      <c r="D692" s="2" t="s">
        <v>19</v>
      </c>
      <c r="E692" s="2" t="s">
        <v>480</v>
      </c>
      <c r="F692" s="2" t="str">
        <f>"2170723168 "</f>
        <v xml:space="preserve">2170723168 </v>
      </c>
      <c r="G692" s="2" t="str">
        <f t="shared" si="19"/>
        <v>ON1</v>
      </c>
      <c r="H692" s="2" t="s">
        <v>21</v>
      </c>
      <c r="I692" s="2" t="s">
        <v>481</v>
      </c>
      <c r="J692" s="2" t="str">
        <f>""</f>
        <v/>
      </c>
      <c r="K692" s="2" t="str">
        <f>"PFES1162730545_0001"</f>
        <v>PFES1162730545_0001</v>
      </c>
      <c r="L692" s="2">
        <v>1</v>
      </c>
      <c r="M692" s="2">
        <v>5</v>
      </c>
    </row>
    <row r="693" spans="1:13">
      <c r="A693" s="6">
        <v>43839</v>
      </c>
      <c r="B693" s="7">
        <v>0.625</v>
      </c>
      <c r="C693" s="2" t="str">
        <f>"FES1162730539"</f>
        <v>FES1162730539</v>
      </c>
      <c r="D693" s="2" t="s">
        <v>19</v>
      </c>
      <c r="E693" s="2" t="s">
        <v>142</v>
      </c>
      <c r="F693" s="2" t="str">
        <f>"2170722519 "</f>
        <v xml:space="preserve">2170722519 </v>
      </c>
      <c r="G693" s="2" t="str">
        <f t="shared" si="19"/>
        <v>ON1</v>
      </c>
      <c r="H693" s="2" t="s">
        <v>21</v>
      </c>
      <c r="I693" s="2" t="s">
        <v>123</v>
      </c>
      <c r="J693" s="2" t="str">
        <f>""</f>
        <v/>
      </c>
      <c r="K693" s="2" t="str">
        <f>"PFES1162730539_0001"</f>
        <v>PFES1162730539_0001</v>
      </c>
      <c r="L693" s="2">
        <v>1</v>
      </c>
      <c r="M693" s="2">
        <v>11</v>
      </c>
    </row>
    <row r="694" spans="1:13">
      <c r="A694" s="6">
        <v>43839</v>
      </c>
      <c r="B694" s="7">
        <v>0.625</v>
      </c>
      <c r="C694" s="2" t="str">
        <f>"FES1162730536"</f>
        <v>FES1162730536</v>
      </c>
      <c r="D694" s="2" t="s">
        <v>19</v>
      </c>
      <c r="E694" s="2" t="s">
        <v>352</v>
      </c>
      <c r="F694" s="2" t="str">
        <f>"2170722906 "</f>
        <v xml:space="preserve">2170722906 </v>
      </c>
      <c r="G694" s="2" t="str">
        <f t="shared" si="19"/>
        <v>ON1</v>
      </c>
      <c r="H694" s="2" t="s">
        <v>21</v>
      </c>
      <c r="I694" s="2" t="s">
        <v>114</v>
      </c>
      <c r="J694" s="2" t="str">
        <f>""</f>
        <v/>
      </c>
      <c r="K694" s="2" t="str">
        <f>"PFES1162730536_0001"</f>
        <v>PFES1162730536_0001</v>
      </c>
      <c r="L694" s="2">
        <v>1</v>
      </c>
      <c r="M694" s="2">
        <v>9</v>
      </c>
    </row>
    <row r="695" spans="1:13">
      <c r="A695" s="6">
        <v>43839</v>
      </c>
      <c r="B695" s="7">
        <v>0.62430555555555556</v>
      </c>
      <c r="C695" s="2" t="str">
        <f>"FES1162730543"</f>
        <v>FES1162730543</v>
      </c>
      <c r="D695" s="2" t="s">
        <v>19</v>
      </c>
      <c r="E695" s="2" t="s">
        <v>33</v>
      </c>
      <c r="F695" s="2" t="str">
        <f>"2170723165 "</f>
        <v xml:space="preserve">2170723165 </v>
      </c>
      <c r="G695" s="2" t="str">
        <f t="shared" si="19"/>
        <v>ON1</v>
      </c>
      <c r="H695" s="2" t="s">
        <v>21</v>
      </c>
      <c r="I695" s="2" t="s">
        <v>34</v>
      </c>
      <c r="J695" s="2" t="str">
        <f>""</f>
        <v/>
      </c>
      <c r="K695" s="2" t="str">
        <f>"PFES1162730543_0001"</f>
        <v>PFES1162730543_0001</v>
      </c>
      <c r="L695" s="2">
        <v>1</v>
      </c>
      <c r="M695" s="2">
        <v>4</v>
      </c>
    </row>
    <row r="696" spans="1:13">
      <c r="A696" s="6">
        <v>43839</v>
      </c>
      <c r="B696" s="7">
        <v>0.62291666666666667</v>
      </c>
      <c r="C696" s="2" t="str">
        <f>"FES1162730560"</f>
        <v>FES1162730560</v>
      </c>
      <c r="D696" s="2" t="s">
        <v>19</v>
      </c>
      <c r="E696" s="2" t="s">
        <v>498</v>
      </c>
      <c r="F696" s="2" t="str">
        <f>"2170723188 "</f>
        <v xml:space="preserve">2170723188 </v>
      </c>
      <c r="G696" s="2" t="str">
        <f t="shared" si="19"/>
        <v>ON1</v>
      </c>
      <c r="H696" s="2" t="s">
        <v>21</v>
      </c>
      <c r="I696" s="2" t="s">
        <v>499</v>
      </c>
      <c r="J696" s="2" t="str">
        <f>""</f>
        <v/>
      </c>
      <c r="K696" s="2" t="str">
        <f>"PFES1162730560_0001"</f>
        <v>PFES1162730560_0001</v>
      </c>
      <c r="L696" s="2">
        <v>1</v>
      </c>
      <c r="M696" s="2">
        <v>3</v>
      </c>
    </row>
    <row r="697" spans="1:13">
      <c r="A697" s="6">
        <v>43839</v>
      </c>
      <c r="B697" s="7">
        <v>0.62222222222222223</v>
      </c>
      <c r="C697" s="2" t="str">
        <f>"FES1162730555"</f>
        <v>FES1162730555</v>
      </c>
      <c r="D697" s="2" t="s">
        <v>19</v>
      </c>
      <c r="E697" s="2" t="s">
        <v>224</v>
      </c>
      <c r="F697" s="2" t="str">
        <f>"2170723083 "</f>
        <v xml:space="preserve">2170723083 </v>
      </c>
      <c r="G697" s="2" t="str">
        <f t="shared" si="19"/>
        <v>ON1</v>
      </c>
      <c r="H697" s="2" t="s">
        <v>21</v>
      </c>
      <c r="I697" s="2" t="s">
        <v>500</v>
      </c>
      <c r="J697" s="2" t="str">
        <f>""</f>
        <v/>
      </c>
      <c r="K697" s="2" t="str">
        <f>"PFES1162730555_0001"</f>
        <v>PFES1162730555_0001</v>
      </c>
      <c r="L697" s="2">
        <v>1</v>
      </c>
      <c r="M697" s="2">
        <v>14</v>
      </c>
    </row>
    <row r="698" spans="1:13">
      <c r="A698" s="6">
        <v>43839</v>
      </c>
      <c r="B698" s="7">
        <v>0.61458333333333337</v>
      </c>
      <c r="C698" s="2" t="str">
        <f>"FES1162730556"</f>
        <v>FES1162730556</v>
      </c>
      <c r="D698" s="2" t="s">
        <v>19</v>
      </c>
      <c r="E698" s="2" t="s">
        <v>298</v>
      </c>
      <c r="F698" s="2" t="str">
        <f>"2170723182 "</f>
        <v xml:space="preserve">2170723182 </v>
      </c>
      <c r="G698" s="2" t="str">
        <f t="shared" ref="G698:G700" si="20">"ON1"</f>
        <v>ON1</v>
      </c>
      <c r="H698" s="2" t="s">
        <v>21</v>
      </c>
      <c r="I698" s="2" t="s">
        <v>299</v>
      </c>
      <c r="J698" s="2" t="str">
        <f>""</f>
        <v/>
      </c>
      <c r="K698" s="2" t="str">
        <f>"PFES1162730556_0001"</f>
        <v>PFES1162730556_0001</v>
      </c>
      <c r="L698" s="2">
        <v>1</v>
      </c>
      <c r="M698" s="2">
        <v>1</v>
      </c>
    </row>
    <row r="699" spans="1:13">
      <c r="A699" s="6">
        <v>43839</v>
      </c>
      <c r="B699" s="7">
        <v>0.6118055555555556</v>
      </c>
      <c r="C699" s="2" t="str">
        <f>"FES1162730531"</f>
        <v>FES1162730531</v>
      </c>
      <c r="D699" s="2" t="s">
        <v>19</v>
      </c>
      <c r="E699" s="2" t="s">
        <v>142</v>
      </c>
      <c r="F699" s="2" t="str">
        <f>"2170723156 "</f>
        <v xml:space="preserve">2170723156 </v>
      </c>
      <c r="G699" s="2" t="str">
        <f t="shared" si="20"/>
        <v>ON1</v>
      </c>
      <c r="H699" s="2" t="s">
        <v>21</v>
      </c>
      <c r="I699" s="2" t="s">
        <v>123</v>
      </c>
      <c r="J699" s="2" t="str">
        <f>""</f>
        <v/>
      </c>
      <c r="K699" s="2" t="str">
        <f>"PFES1162730531_0001"</f>
        <v>PFES1162730531_0001</v>
      </c>
      <c r="L699" s="2">
        <v>1</v>
      </c>
      <c r="M699" s="2">
        <v>1</v>
      </c>
    </row>
    <row r="700" spans="1:13">
      <c r="A700" s="6">
        <v>43839</v>
      </c>
      <c r="B700" s="7">
        <v>0.61111111111111105</v>
      </c>
      <c r="C700" s="2" t="str">
        <f>"FES1162730557"</f>
        <v>FES1162730557</v>
      </c>
      <c r="D700" s="2" t="s">
        <v>19</v>
      </c>
      <c r="E700" s="2" t="s">
        <v>132</v>
      </c>
      <c r="F700" s="2" t="str">
        <f>"2170723183 "</f>
        <v xml:space="preserve">2170723183 </v>
      </c>
      <c r="G700" s="2" t="str">
        <f t="shared" si="20"/>
        <v>ON1</v>
      </c>
      <c r="H700" s="2" t="s">
        <v>21</v>
      </c>
      <c r="I700" s="2" t="s">
        <v>133</v>
      </c>
      <c r="J700" s="2" t="str">
        <f>""</f>
        <v/>
      </c>
      <c r="K700" s="2" t="str">
        <f>"PFES1162730557_0001"</f>
        <v>PFES1162730557_0001</v>
      </c>
      <c r="L700" s="2">
        <v>1</v>
      </c>
      <c r="M700" s="2">
        <v>1</v>
      </c>
    </row>
    <row r="701" spans="1:13">
      <c r="A701" s="6">
        <v>43839</v>
      </c>
      <c r="B701" s="7">
        <v>0.61111111111111105</v>
      </c>
      <c r="C701" s="2" t="str">
        <f>"FES1162729741"</f>
        <v>FES1162729741</v>
      </c>
      <c r="D701" s="2" t="s">
        <v>19</v>
      </c>
      <c r="E701" s="2" t="s">
        <v>501</v>
      </c>
      <c r="F701" s="2" t="str">
        <f>"2170718847 "</f>
        <v xml:space="preserve">2170718847 </v>
      </c>
      <c r="G701" s="2" t="str">
        <f>"DBC"</f>
        <v>DBC</v>
      </c>
      <c r="H701" s="2" t="s">
        <v>21</v>
      </c>
      <c r="I701" s="2" t="s">
        <v>403</v>
      </c>
      <c r="J701" s="2" t="str">
        <f>""</f>
        <v/>
      </c>
      <c r="K701" s="2" t="str">
        <f>"PFES1162729741_0001"</f>
        <v>PFES1162729741_0001</v>
      </c>
      <c r="L701" s="2">
        <v>1</v>
      </c>
      <c r="M701" s="2">
        <v>21</v>
      </c>
    </row>
    <row r="702" spans="1:13">
      <c r="A702" s="6">
        <v>43839</v>
      </c>
      <c r="B702" s="7">
        <v>0.61111111111111105</v>
      </c>
      <c r="C702" s="2" t="str">
        <f>"FES1162730528"</f>
        <v>FES1162730528</v>
      </c>
      <c r="D702" s="2" t="s">
        <v>19</v>
      </c>
      <c r="E702" s="2" t="s">
        <v>142</v>
      </c>
      <c r="F702" s="2" t="str">
        <f>"2170723153 "</f>
        <v xml:space="preserve">2170723153 </v>
      </c>
      <c r="G702" s="2" t="str">
        <f>"ON1"</f>
        <v>ON1</v>
      </c>
      <c r="H702" s="2" t="s">
        <v>21</v>
      </c>
      <c r="I702" s="2" t="s">
        <v>123</v>
      </c>
      <c r="J702" s="2" t="str">
        <f>""</f>
        <v/>
      </c>
      <c r="K702" s="2" t="str">
        <f>"PFES1162730528_0001"</f>
        <v>PFES1162730528_0001</v>
      </c>
      <c r="L702" s="2">
        <v>1</v>
      </c>
      <c r="M702" s="2">
        <v>1</v>
      </c>
    </row>
    <row r="703" spans="1:13">
      <c r="A703" s="6">
        <v>43839</v>
      </c>
      <c r="B703" s="7">
        <v>0.61041666666666672</v>
      </c>
      <c r="C703" s="2" t="str">
        <f>"FES1162730149"</f>
        <v>FES1162730149</v>
      </c>
      <c r="D703" s="2" t="s">
        <v>19</v>
      </c>
      <c r="E703" s="2" t="s">
        <v>502</v>
      </c>
      <c r="F703" s="2" t="str">
        <f>"2170722511 "</f>
        <v xml:space="preserve">2170722511 </v>
      </c>
      <c r="G703" s="2" t="str">
        <f>"ON1"</f>
        <v>ON1</v>
      </c>
      <c r="H703" s="2" t="s">
        <v>21</v>
      </c>
      <c r="I703" s="2" t="s">
        <v>503</v>
      </c>
      <c r="J703" s="2" t="str">
        <f>""</f>
        <v/>
      </c>
      <c r="K703" s="2" t="str">
        <f>"PFES1162730149_0001"</f>
        <v>PFES1162730149_0001</v>
      </c>
      <c r="L703" s="2">
        <v>1</v>
      </c>
      <c r="M703" s="2">
        <v>2</v>
      </c>
    </row>
    <row r="704" spans="1:13">
      <c r="A704" s="6">
        <v>43839</v>
      </c>
      <c r="B704" s="7">
        <v>0.61041666666666672</v>
      </c>
      <c r="C704" s="2" t="str">
        <f>"FES1162730549"</f>
        <v>FES1162730549</v>
      </c>
      <c r="D704" s="2" t="s">
        <v>19</v>
      </c>
      <c r="E704" s="2" t="s">
        <v>504</v>
      </c>
      <c r="F704" s="2" t="str">
        <f>"2170723175 "</f>
        <v xml:space="preserve">2170723175 </v>
      </c>
      <c r="G704" s="2" t="str">
        <f>"ON1"</f>
        <v>ON1</v>
      </c>
      <c r="H704" s="2" t="s">
        <v>21</v>
      </c>
      <c r="I704" s="2" t="s">
        <v>133</v>
      </c>
      <c r="J704" s="2" t="str">
        <f>""</f>
        <v/>
      </c>
      <c r="K704" s="2" t="str">
        <f>"PFES1162730549_0001"</f>
        <v>PFES1162730549_0001</v>
      </c>
      <c r="L704" s="2">
        <v>1</v>
      </c>
      <c r="M704" s="2">
        <v>1</v>
      </c>
    </row>
    <row r="705" spans="1:13">
      <c r="A705" s="6">
        <v>43839</v>
      </c>
      <c r="B705" s="7">
        <v>0.61041666666666672</v>
      </c>
      <c r="C705" s="2" t="str">
        <f>"FES1162730537"</f>
        <v>FES1162730537</v>
      </c>
      <c r="D705" s="2" t="s">
        <v>19</v>
      </c>
      <c r="E705" s="2" t="s">
        <v>505</v>
      </c>
      <c r="F705" s="2" t="str">
        <f>"2170723159 "</f>
        <v xml:space="preserve">2170723159 </v>
      </c>
      <c r="G705" s="2" t="str">
        <f>"ON1"</f>
        <v>ON1</v>
      </c>
      <c r="H705" s="2" t="s">
        <v>21</v>
      </c>
      <c r="I705" s="2" t="s">
        <v>506</v>
      </c>
      <c r="J705" s="2" t="str">
        <f>""</f>
        <v/>
      </c>
      <c r="K705" s="2" t="str">
        <f>"PFES1162730537_0001"</f>
        <v>PFES1162730537_0001</v>
      </c>
      <c r="L705" s="2">
        <v>1</v>
      </c>
      <c r="M705" s="2">
        <v>1</v>
      </c>
    </row>
    <row r="706" spans="1:13">
      <c r="A706" s="6">
        <v>43839</v>
      </c>
      <c r="B706" s="7">
        <v>0.60972222222222217</v>
      </c>
      <c r="C706" s="2" t="str">
        <f>"FES1162730220"</f>
        <v>FES1162730220</v>
      </c>
      <c r="D706" s="2" t="s">
        <v>19</v>
      </c>
      <c r="E706" s="2" t="s">
        <v>501</v>
      </c>
      <c r="F706" s="2" t="str">
        <f>"2170718361 "</f>
        <v xml:space="preserve">2170718361 </v>
      </c>
      <c r="G706" s="2" t="str">
        <f>"DBC"</f>
        <v>DBC</v>
      </c>
      <c r="H706" s="2" t="s">
        <v>21</v>
      </c>
      <c r="I706" s="2" t="s">
        <v>403</v>
      </c>
      <c r="J706" s="2" t="str">
        <f>""</f>
        <v/>
      </c>
      <c r="K706" s="2" t="str">
        <f>"PFES1162730220_0001"</f>
        <v>PFES1162730220_0001</v>
      </c>
      <c r="L706" s="2">
        <v>1</v>
      </c>
      <c r="M706" s="2">
        <v>20</v>
      </c>
    </row>
    <row r="707" spans="1:13">
      <c r="A707" s="6">
        <v>43839</v>
      </c>
      <c r="B707" s="7">
        <v>0.60972222222222217</v>
      </c>
      <c r="C707" s="2" t="str">
        <f>"FES1162730540"</f>
        <v>FES1162730540</v>
      </c>
      <c r="D707" s="2" t="s">
        <v>19</v>
      </c>
      <c r="E707" s="2" t="s">
        <v>37</v>
      </c>
      <c r="F707" s="2" t="str">
        <f>"2170722539 "</f>
        <v xml:space="preserve">2170722539 </v>
      </c>
      <c r="G707" s="2" t="str">
        <f t="shared" ref="G707:G718" si="21">"ON1"</f>
        <v>ON1</v>
      </c>
      <c r="H707" s="2" t="s">
        <v>21</v>
      </c>
      <c r="I707" s="2" t="s">
        <v>38</v>
      </c>
      <c r="J707" s="2" t="str">
        <f>""</f>
        <v/>
      </c>
      <c r="K707" s="2" t="str">
        <f>"PFES1162730540_0001"</f>
        <v>PFES1162730540_0001</v>
      </c>
      <c r="L707" s="2">
        <v>1</v>
      </c>
      <c r="M707" s="2">
        <v>4</v>
      </c>
    </row>
    <row r="708" spans="1:13">
      <c r="A708" s="6">
        <v>43839</v>
      </c>
      <c r="B708" s="7">
        <v>0.60972222222222217</v>
      </c>
      <c r="C708" s="2" t="str">
        <f>"FES1162730517"</f>
        <v>FES1162730517</v>
      </c>
      <c r="D708" s="2" t="s">
        <v>19</v>
      </c>
      <c r="E708" s="2" t="s">
        <v>378</v>
      </c>
      <c r="F708" s="2" t="str">
        <f>"2170723137 "</f>
        <v xml:space="preserve">2170723137 </v>
      </c>
      <c r="G708" s="2" t="str">
        <f t="shared" si="21"/>
        <v>ON1</v>
      </c>
      <c r="H708" s="2" t="s">
        <v>21</v>
      </c>
      <c r="I708" s="2" t="s">
        <v>507</v>
      </c>
      <c r="J708" s="2" t="str">
        <f>""</f>
        <v/>
      </c>
      <c r="K708" s="2" t="str">
        <f>"PFES1162730517_0001"</f>
        <v>PFES1162730517_0001</v>
      </c>
      <c r="L708" s="2">
        <v>1</v>
      </c>
      <c r="M708" s="2">
        <v>1</v>
      </c>
    </row>
    <row r="709" spans="1:13">
      <c r="A709" s="6">
        <v>43839</v>
      </c>
      <c r="B709" s="7">
        <v>0.60902777777777783</v>
      </c>
      <c r="C709" s="2" t="str">
        <f>"FES1162730467"</f>
        <v>FES1162730467</v>
      </c>
      <c r="D709" s="2" t="s">
        <v>19</v>
      </c>
      <c r="E709" s="2" t="s">
        <v>508</v>
      </c>
      <c r="F709" s="2" t="str">
        <f>"2170723085 "</f>
        <v xml:space="preserve">2170723085 </v>
      </c>
      <c r="G709" s="2" t="str">
        <f t="shared" si="21"/>
        <v>ON1</v>
      </c>
      <c r="H709" s="2" t="s">
        <v>21</v>
      </c>
      <c r="I709" s="2" t="s">
        <v>509</v>
      </c>
      <c r="J709" s="2" t="str">
        <f>""</f>
        <v/>
      </c>
      <c r="K709" s="2" t="str">
        <f>"PFES1162730467_0001"</f>
        <v>PFES1162730467_0001</v>
      </c>
      <c r="L709" s="2">
        <v>1</v>
      </c>
      <c r="M709" s="2">
        <v>2</v>
      </c>
    </row>
    <row r="710" spans="1:13">
      <c r="A710" s="6">
        <v>43839</v>
      </c>
      <c r="B710" s="7">
        <v>0.60833333333333328</v>
      </c>
      <c r="C710" s="2" t="str">
        <f>"FES1162730552"</f>
        <v>FES1162730552</v>
      </c>
      <c r="D710" s="2" t="s">
        <v>19</v>
      </c>
      <c r="E710" s="2" t="s">
        <v>279</v>
      </c>
      <c r="F710" s="2" t="str">
        <f>"2170723180 "</f>
        <v xml:space="preserve">2170723180 </v>
      </c>
      <c r="G710" s="2" t="str">
        <f t="shared" si="21"/>
        <v>ON1</v>
      </c>
      <c r="H710" s="2" t="s">
        <v>21</v>
      </c>
      <c r="I710" s="2" t="s">
        <v>69</v>
      </c>
      <c r="J710" s="2" t="str">
        <f>""</f>
        <v/>
      </c>
      <c r="K710" s="2" t="str">
        <f>"PFES1162730552_0001"</f>
        <v>PFES1162730552_0001</v>
      </c>
      <c r="L710" s="2">
        <v>1</v>
      </c>
      <c r="M710" s="2">
        <v>1</v>
      </c>
    </row>
    <row r="711" spans="1:13">
      <c r="A711" s="6">
        <v>43839</v>
      </c>
      <c r="B711" s="7">
        <v>0.60833333333333328</v>
      </c>
      <c r="C711" s="2" t="str">
        <f>"FES1162730527"</f>
        <v>FES1162730527</v>
      </c>
      <c r="D711" s="2" t="s">
        <v>19</v>
      </c>
      <c r="E711" s="2" t="s">
        <v>101</v>
      </c>
      <c r="F711" s="2" t="str">
        <f>"2170723152 "</f>
        <v xml:space="preserve">2170723152 </v>
      </c>
      <c r="G711" s="2" t="str">
        <f t="shared" si="21"/>
        <v>ON1</v>
      </c>
      <c r="H711" s="2" t="s">
        <v>21</v>
      </c>
      <c r="I711" s="2" t="s">
        <v>102</v>
      </c>
      <c r="J711" s="2" t="str">
        <f>""</f>
        <v/>
      </c>
      <c r="K711" s="2" t="str">
        <f>"PFES1162730527_0001"</f>
        <v>PFES1162730527_0001</v>
      </c>
      <c r="L711" s="2">
        <v>1</v>
      </c>
      <c r="M711" s="2">
        <v>5</v>
      </c>
    </row>
    <row r="712" spans="1:13">
      <c r="A712" s="6">
        <v>43839</v>
      </c>
      <c r="B712" s="7">
        <v>0.60763888888888895</v>
      </c>
      <c r="C712" s="2" t="str">
        <f>"FES1162730550"</f>
        <v>FES1162730550</v>
      </c>
      <c r="D712" s="2" t="s">
        <v>19</v>
      </c>
      <c r="E712" s="2" t="s">
        <v>132</v>
      </c>
      <c r="F712" s="2" t="str">
        <f>"2170723177 "</f>
        <v xml:space="preserve">2170723177 </v>
      </c>
      <c r="G712" s="2" t="str">
        <f t="shared" si="21"/>
        <v>ON1</v>
      </c>
      <c r="H712" s="2" t="s">
        <v>21</v>
      </c>
      <c r="I712" s="2" t="s">
        <v>133</v>
      </c>
      <c r="J712" s="2" t="str">
        <f>""</f>
        <v/>
      </c>
      <c r="K712" s="2" t="str">
        <f>"PFES1162730550_0001"</f>
        <v>PFES1162730550_0001</v>
      </c>
      <c r="L712" s="2">
        <v>1</v>
      </c>
      <c r="M712" s="2">
        <v>1</v>
      </c>
    </row>
    <row r="713" spans="1:13">
      <c r="A713" s="6">
        <v>43839</v>
      </c>
      <c r="B713" s="7">
        <v>0.60625000000000007</v>
      </c>
      <c r="C713" s="2" t="str">
        <f>"FES1162730529"</f>
        <v>FES1162730529</v>
      </c>
      <c r="D713" s="2" t="s">
        <v>19</v>
      </c>
      <c r="E713" s="2" t="s">
        <v>101</v>
      </c>
      <c r="F713" s="2" t="str">
        <f>"2170723154 "</f>
        <v xml:space="preserve">2170723154 </v>
      </c>
      <c r="G713" s="2" t="str">
        <f t="shared" si="21"/>
        <v>ON1</v>
      </c>
      <c r="H713" s="2" t="s">
        <v>21</v>
      </c>
      <c r="I713" s="2" t="s">
        <v>102</v>
      </c>
      <c r="J713" s="2" t="str">
        <f>""</f>
        <v/>
      </c>
      <c r="K713" s="2" t="str">
        <f>"PFES1162730529_0001"</f>
        <v>PFES1162730529_0001</v>
      </c>
      <c r="L713" s="2">
        <v>1</v>
      </c>
      <c r="M713" s="2">
        <v>1</v>
      </c>
    </row>
    <row r="714" spans="1:13">
      <c r="A714" s="6">
        <v>43839</v>
      </c>
      <c r="B714" s="7">
        <v>0.60625000000000007</v>
      </c>
      <c r="C714" s="2" t="str">
        <f>"FES1162730518"</f>
        <v>FES1162730518</v>
      </c>
      <c r="D714" s="2" t="s">
        <v>19</v>
      </c>
      <c r="E714" s="2" t="s">
        <v>352</v>
      </c>
      <c r="F714" s="2" t="str">
        <f>"2170723138 "</f>
        <v xml:space="preserve">2170723138 </v>
      </c>
      <c r="G714" s="2" t="str">
        <f t="shared" si="21"/>
        <v>ON1</v>
      </c>
      <c r="H714" s="2" t="s">
        <v>21</v>
      </c>
      <c r="I714" s="2" t="s">
        <v>114</v>
      </c>
      <c r="J714" s="2" t="str">
        <f>""</f>
        <v/>
      </c>
      <c r="K714" s="2" t="str">
        <f>"PFES1162730518_0001"</f>
        <v>PFES1162730518_0001</v>
      </c>
      <c r="L714" s="2">
        <v>1</v>
      </c>
      <c r="M714" s="2">
        <v>1</v>
      </c>
    </row>
    <row r="715" spans="1:13">
      <c r="A715" s="6">
        <v>43839</v>
      </c>
      <c r="B715" s="7">
        <v>0.59097222222222223</v>
      </c>
      <c r="C715" s="2" t="str">
        <f>"FES1162730546"</f>
        <v>FES1162730546</v>
      </c>
      <c r="D715" s="2" t="s">
        <v>19</v>
      </c>
      <c r="E715" s="2" t="s">
        <v>510</v>
      </c>
      <c r="F715" s="2" t="str">
        <f>"2170723171 "</f>
        <v xml:space="preserve">2170723171 </v>
      </c>
      <c r="G715" s="2" t="str">
        <f t="shared" si="21"/>
        <v>ON1</v>
      </c>
      <c r="H715" s="2" t="s">
        <v>21</v>
      </c>
      <c r="I715" s="2" t="s">
        <v>511</v>
      </c>
      <c r="J715" s="2" t="str">
        <f>""</f>
        <v/>
      </c>
      <c r="K715" s="2" t="str">
        <f>"PFES1162730546_0001"</f>
        <v>PFES1162730546_0001</v>
      </c>
      <c r="L715" s="2">
        <v>1</v>
      </c>
      <c r="M715" s="2">
        <v>1</v>
      </c>
    </row>
    <row r="716" spans="1:13">
      <c r="A716" s="6">
        <v>43839</v>
      </c>
      <c r="B716" s="7">
        <v>0.58958333333333335</v>
      </c>
      <c r="C716" s="2" t="str">
        <f>"FES1162730548"</f>
        <v>FES1162730548</v>
      </c>
      <c r="D716" s="2" t="s">
        <v>19</v>
      </c>
      <c r="E716" s="2" t="s">
        <v>465</v>
      </c>
      <c r="F716" s="2" t="str">
        <f>"2170723174 "</f>
        <v xml:space="preserve">2170723174 </v>
      </c>
      <c r="G716" s="2" t="str">
        <f t="shared" si="21"/>
        <v>ON1</v>
      </c>
      <c r="H716" s="2" t="s">
        <v>21</v>
      </c>
      <c r="I716" s="2" t="s">
        <v>466</v>
      </c>
      <c r="J716" s="2" t="str">
        <f>""</f>
        <v/>
      </c>
      <c r="K716" s="2" t="str">
        <f>"PFES1162730548_0001"</f>
        <v>PFES1162730548_0001</v>
      </c>
      <c r="L716" s="2">
        <v>1</v>
      </c>
      <c r="M716" s="2">
        <v>1</v>
      </c>
    </row>
    <row r="717" spans="1:13">
      <c r="A717" s="6">
        <v>43839</v>
      </c>
      <c r="B717" s="7">
        <v>0.57500000000000007</v>
      </c>
      <c r="C717" s="2" t="str">
        <f>"FES1162730544"</f>
        <v>FES1162730544</v>
      </c>
      <c r="D717" s="2" t="s">
        <v>19</v>
      </c>
      <c r="E717" s="2" t="s">
        <v>426</v>
      </c>
      <c r="F717" s="2" t="str">
        <f>"2170723166 "</f>
        <v xml:space="preserve">2170723166 </v>
      </c>
      <c r="G717" s="2" t="str">
        <f t="shared" si="21"/>
        <v>ON1</v>
      </c>
      <c r="H717" s="2" t="s">
        <v>21</v>
      </c>
      <c r="I717" s="2" t="s">
        <v>26</v>
      </c>
      <c r="J717" s="2" t="str">
        <f>""</f>
        <v/>
      </c>
      <c r="K717" s="2" t="str">
        <f>"PFES1162730544_0001"</f>
        <v>PFES1162730544_0001</v>
      </c>
      <c r="L717" s="2">
        <v>1</v>
      </c>
      <c r="M717" s="2">
        <v>1</v>
      </c>
    </row>
    <row r="718" spans="1:13">
      <c r="A718" s="6">
        <v>43839</v>
      </c>
      <c r="B718" s="7">
        <v>0.57430555555555551</v>
      </c>
      <c r="C718" s="2" t="str">
        <f>"FES1162730542"</f>
        <v>FES1162730542</v>
      </c>
      <c r="D718" s="2" t="s">
        <v>19</v>
      </c>
      <c r="E718" s="2" t="s">
        <v>426</v>
      </c>
      <c r="F718" s="2" t="str">
        <f>"2170723164 "</f>
        <v xml:space="preserve">2170723164 </v>
      </c>
      <c r="G718" s="2" t="str">
        <f t="shared" si="21"/>
        <v>ON1</v>
      </c>
      <c r="H718" s="2" t="s">
        <v>21</v>
      </c>
      <c r="I718" s="2" t="s">
        <v>26</v>
      </c>
      <c r="J718" s="2" t="str">
        <f>""</f>
        <v/>
      </c>
      <c r="K718" s="2" t="str">
        <f>"PFES1162730542_0001"</f>
        <v>PFES1162730542_0001</v>
      </c>
      <c r="L718" s="2">
        <v>1</v>
      </c>
      <c r="M718" s="2">
        <v>1</v>
      </c>
    </row>
    <row r="719" spans="1:13">
      <c r="A719" s="6">
        <v>43839</v>
      </c>
      <c r="B719" s="7">
        <v>0.57361111111111118</v>
      </c>
      <c r="C719" s="2" t="str">
        <f>"FES1162730221"</f>
        <v>FES1162730221</v>
      </c>
      <c r="D719" s="2" t="s">
        <v>19</v>
      </c>
      <c r="E719" s="2" t="s">
        <v>259</v>
      </c>
      <c r="F719" s="2" t="str">
        <f>"2170718489 "</f>
        <v xml:space="preserve">2170718489 </v>
      </c>
      <c r="G719" s="2" t="str">
        <f>"DBC"</f>
        <v>DBC</v>
      </c>
      <c r="H719" s="2" t="s">
        <v>21</v>
      </c>
      <c r="I719" s="2" t="s">
        <v>260</v>
      </c>
      <c r="J719" s="2" t="str">
        <f>""</f>
        <v/>
      </c>
      <c r="K719" s="2" t="str">
        <f>"PFES1162730221_0001"</f>
        <v>PFES1162730221_0001</v>
      </c>
      <c r="L719" s="2">
        <v>1</v>
      </c>
      <c r="M719" s="2">
        <v>21</v>
      </c>
    </row>
    <row r="720" spans="1:13">
      <c r="A720" s="6">
        <v>43839</v>
      </c>
      <c r="B720" s="7">
        <v>0.57361111111111118</v>
      </c>
      <c r="C720" s="2" t="str">
        <f>"FES1162730541"</f>
        <v>FES1162730541</v>
      </c>
      <c r="D720" s="2" t="s">
        <v>19</v>
      </c>
      <c r="E720" s="2" t="s">
        <v>512</v>
      </c>
      <c r="F720" s="2" t="str">
        <f>"2170723161 "</f>
        <v xml:space="preserve">2170723161 </v>
      </c>
      <c r="G720" s="2" t="str">
        <f t="shared" ref="G720:G736" si="22">"ON1"</f>
        <v>ON1</v>
      </c>
      <c r="H720" s="2" t="s">
        <v>21</v>
      </c>
      <c r="I720" s="2" t="s">
        <v>513</v>
      </c>
      <c r="J720" s="2" t="str">
        <f>""</f>
        <v/>
      </c>
      <c r="K720" s="2" t="str">
        <f>"PFES1162730541_0001"</f>
        <v>PFES1162730541_0001</v>
      </c>
      <c r="L720" s="2">
        <v>1</v>
      </c>
      <c r="M720" s="2">
        <v>1</v>
      </c>
    </row>
    <row r="721" spans="1:13">
      <c r="A721" s="6">
        <v>43839</v>
      </c>
      <c r="B721" s="7">
        <v>0.57361111111111118</v>
      </c>
      <c r="C721" s="2" t="str">
        <f>"FES1162730535"</f>
        <v>FES1162730535</v>
      </c>
      <c r="D721" s="2" t="s">
        <v>19</v>
      </c>
      <c r="E721" s="2" t="s">
        <v>427</v>
      </c>
      <c r="F721" s="2" t="str">
        <f>"2170722876 "</f>
        <v xml:space="preserve">2170722876 </v>
      </c>
      <c r="G721" s="2" t="str">
        <f t="shared" si="22"/>
        <v>ON1</v>
      </c>
      <c r="H721" s="2" t="s">
        <v>21</v>
      </c>
      <c r="I721" s="2" t="s">
        <v>428</v>
      </c>
      <c r="J721" s="2" t="str">
        <f>""</f>
        <v/>
      </c>
      <c r="K721" s="2" t="str">
        <f>"PFES1162730535_0001"</f>
        <v>PFES1162730535_0001</v>
      </c>
      <c r="L721" s="2">
        <v>1</v>
      </c>
      <c r="M721" s="2">
        <v>2</v>
      </c>
    </row>
    <row r="722" spans="1:13">
      <c r="A722" s="6">
        <v>43839</v>
      </c>
      <c r="B722" s="7">
        <v>0.57291666666666663</v>
      </c>
      <c r="C722" s="2" t="str">
        <f>"FES1162730482"</f>
        <v>FES1162730482</v>
      </c>
      <c r="D722" s="2" t="s">
        <v>19</v>
      </c>
      <c r="E722" s="2" t="s">
        <v>151</v>
      </c>
      <c r="F722" s="2" t="str">
        <f>"2170719403 "</f>
        <v xml:space="preserve">2170719403 </v>
      </c>
      <c r="G722" s="2" t="str">
        <f t="shared" si="22"/>
        <v>ON1</v>
      </c>
      <c r="H722" s="2" t="s">
        <v>21</v>
      </c>
      <c r="I722" s="2" t="s">
        <v>152</v>
      </c>
      <c r="J722" s="2" t="str">
        <f>""</f>
        <v/>
      </c>
      <c r="K722" s="2" t="str">
        <f>"PFES1162730482_0001"</f>
        <v>PFES1162730482_0001</v>
      </c>
      <c r="L722" s="2">
        <v>1</v>
      </c>
      <c r="M722" s="2">
        <v>5</v>
      </c>
    </row>
    <row r="723" spans="1:13">
      <c r="A723" s="6">
        <v>43839</v>
      </c>
      <c r="B723" s="7">
        <v>0.57152777777777775</v>
      </c>
      <c r="C723" s="2" t="str">
        <f>"FES1162730521"</f>
        <v>FES1162730521</v>
      </c>
      <c r="D723" s="2" t="s">
        <v>19</v>
      </c>
      <c r="E723" s="2" t="s">
        <v>199</v>
      </c>
      <c r="F723" s="2" t="str">
        <f>"2170723142 "</f>
        <v xml:space="preserve">2170723142 </v>
      </c>
      <c r="G723" s="2" t="str">
        <f t="shared" si="22"/>
        <v>ON1</v>
      </c>
      <c r="H723" s="2" t="s">
        <v>21</v>
      </c>
      <c r="I723" s="2" t="s">
        <v>200</v>
      </c>
      <c r="J723" s="2" t="str">
        <f>""</f>
        <v/>
      </c>
      <c r="K723" s="2" t="str">
        <f>"PFES1162730521_0001"</f>
        <v>PFES1162730521_0001</v>
      </c>
      <c r="L723" s="2">
        <v>1</v>
      </c>
      <c r="M723" s="2">
        <v>1</v>
      </c>
    </row>
    <row r="724" spans="1:13">
      <c r="A724" s="6">
        <v>43839</v>
      </c>
      <c r="B724" s="7">
        <v>0.57152777777777775</v>
      </c>
      <c r="C724" s="2" t="str">
        <f>"FES1162730502"</f>
        <v>FES1162730502</v>
      </c>
      <c r="D724" s="2" t="s">
        <v>19</v>
      </c>
      <c r="E724" s="2" t="s">
        <v>44</v>
      </c>
      <c r="F724" s="2" t="str">
        <f>"21707253121 "</f>
        <v xml:space="preserve">21707253121 </v>
      </c>
      <c r="G724" s="2" t="str">
        <f t="shared" si="22"/>
        <v>ON1</v>
      </c>
      <c r="H724" s="2" t="s">
        <v>21</v>
      </c>
      <c r="I724" s="2" t="s">
        <v>249</v>
      </c>
      <c r="J724" s="2" t="str">
        <f>""</f>
        <v/>
      </c>
      <c r="K724" s="2" t="str">
        <f>"PFES1162730502_0001"</f>
        <v>PFES1162730502_0001</v>
      </c>
      <c r="L724" s="2">
        <v>1</v>
      </c>
      <c r="M724" s="2">
        <v>1</v>
      </c>
    </row>
    <row r="725" spans="1:13">
      <c r="A725" s="6">
        <v>43839</v>
      </c>
      <c r="B725" s="7">
        <v>0.5708333333333333</v>
      </c>
      <c r="C725" s="2" t="str">
        <f>"FES1162730516"</f>
        <v>FES1162730516</v>
      </c>
      <c r="D725" s="2" t="s">
        <v>19</v>
      </c>
      <c r="E725" s="2" t="s">
        <v>514</v>
      </c>
      <c r="F725" s="2" t="str">
        <f>"2170723135 "</f>
        <v xml:space="preserve">2170723135 </v>
      </c>
      <c r="G725" s="2" t="str">
        <f t="shared" si="22"/>
        <v>ON1</v>
      </c>
      <c r="H725" s="2" t="s">
        <v>21</v>
      </c>
      <c r="I725" s="2" t="s">
        <v>515</v>
      </c>
      <c r="J725" s="2" t="str">
        <f>""</f>
        <v/>
      </c>
      <c r="K725" s="2" t="str">
        <f>"PFES1162730516_0001"</f>
        <v>PFES1162730516_0001</v>
      </c>
      <c r="L725" s="2">
        <v>1</v>
      </c>
      <c r="M725" s="2">
        <v>1</v>
      </c>
    </row>
    <row r="726" spans="1:13">
      <c r="A726" s="6">
        <v>43839</v>
      </c>
      <c r="B726" s="7">
        <v>0.57013888888888886</v>
      </c>
      <c r="C726" s="2" t="str">
        <f>"FES1162730533"</f>
        <v>FES1162730533</v>
      </c>
      <c r="D726" s="2" t="s">
        <v>19</v>
      </c>
      <c r="E726" s="2" t="s">
        <v>132</v>
      </c>
      <c r="F726" s="2" t="str">
        <f>"2170723158 "</f>
        <v xml:space="preserve">2170723158 </v>
      </c>
      <c r="G726" s="2" t="str">
        <f t="shared" si="22"/>
        <v>ON1</v>
      </c>
      <c r="H726" s="2" t="s">
        <v>21</v>
      </c>
      <c r="I726" s="2" t="s">
        <v>133</v>
      </c>
      <c r="J726" s="2" t="str">
        <f>""</f>
        <v/>
      </c>
      <c r="K726" s="2" t="str">
        <f>"PFES1162730533_0001"</f>
        <v>PFES1162730533_0001</v>
      </c>
      <c r="L726" s="2">
        <v>1</v>
      </c>
      <c r="M726" s="2">
        <v>1</v>
      </c>
    </row>
    <row r="727" spans="1:13">
      <c r="A727" s="6">
        <v>43839</v>
      </c>
      <c r="B727" s="7">
        <v>0.56944444444444442</v>
      </c>
      <c r="C727" s="2" t="str">
        <f>"FES1162730514"</f>
        <v>FES1162730514</v>
      </c>
      <c r="D727" s="2" t="s">
        <v>19</v>
      </c>
      <c r="E727" s="2" t="s">
        <v>516</v>
      </c>
      <c r="F727" s="2" t="str">
        <f>"2170722357 "</f>
        <v xml:space="preserve">2170722357 </v>
      </c>
      <c r="G727" s="2" t="str">
        <f t="shared" si="22"/>
        <v>ON1</v>
      </c>
      <c r="H727" s="2" t="s">
        <v>21</v>
      </c>
      <c r="I727" s="2" t="s">
        <v>517</v>
      </c>
      <c r="J727" s="2" t="str">
        <f>""</f>
        <v/>
      </c>
      <c r="K727" s="2" t="str">
        <f>"PFES1162730514_0001"</f>
        <v>PFES1162730514_0001</v>
      </c>
      <c r="L727" s="2">
        <v>1</v>
      </c>
      <c r="M727" s="2">
        <v>1</v>
      </c>
    </row>
    <row r="728" spans="1:13">
      <c r="A728" s="6">
        <v>43839</v>
      </c>
      <c r="B728" s="7">
        <v>0.56874999999999998</v>
      </c>
      <c r="C728" s="2" t="str">
        <f>"FES1162730494"</f>
        <v>FES1162730494</v>
      </c>
      <c r="D728" s="2" t="s">
        <v>19</v>
      </c>
      <c r="E728" s="2" t="s">
        <v>518</v>
      </c>
      <c r="F728" s="2" t="str">
        <f>"2170723113 "</f>
        <v xml:space="preserve">2170723113 </v>
      </c>
      <c r="G728" s="2" t="str">
        <f t="shared" si="22"/>
        <v>ON1</v>
      </c>
      <c r="H728" s="2" t="s">
        <v>21</v>
      </c>
      <c r="I728" s="2" t="s">
        <v>519</v>
      </c>
      <c r="J728" s="2" t="str">
        <f>""</f>
        <v/>
      </c>
      <c r="K728" s="2" t="str">
        <f>"PFES1162730494_0001"</f>
        <v>PFES1162730494_0001</v>
      </c>
      <c r="L728" s="2">
        <v>1</v>
      </c>
      <c r="M728" s="2">
        <v>1</v>
      </c>
    </row>
    <row r="729" spans="1:13">
      <c r="A729" s="6">
        <v>43839</v>
      </c>
      <c r="B729" s="7">
        <v>0.56805555555555554</v>
      </c>
      <c r="C729" s="2" t="str">
        <f>"FES1162730355"</f>
        <v>FES1162730355</v>
      </c>
      <c r="D729" s="2" t="s">
        <v>19</v>
      </c>
      <c r="E729" s="2" t="s">
        <v>147</v>
      </c>
      <c r="F729" s="2" t="str">
        <f>"2170719891 "</f>
        <v xml:space="preserve">2170719891 </v>
      </c>
      <c r="G729" s="2" t="str">
        <f t="shared" si="22"/>
        <v>ON1</v>
      </c>
      <c r="H729" s="2" t="s">
        <v>21</v>
      </c>
      <c r="I729" s="2" t="s">
        <v>148</v>
      </c>
      <c r="J729" s="2" t="str">
        <f>""</f>
        <v/>
      </c>
      <c r="K729" s="2" t="str">
        <f>"PFES1162730355_0001"</f>
        <v>PFES1162730355_0001</v>
      </c>
      <c r="L729" s="2">
        <v>1</v>
      </c>
      <c r="M729" s="2">
        <v>1</v>
      </c>
    </row>
    <row r="730" spans="1:13">
      <c r="A730" s="6">
        <v>43839</v>
      </c>
      <c r="B730" s="7">
        <v>0.56736111111111109</v>
      </c>
      <c r="C730" s="2" t="str">
        <f>"FES1162730478"</f>
        <v>FES1162730478</v>
      </c>
      <c r="D730" s="2" t="s">
        <v>19</v>
      </c>
      <c r="E730" s="2" t="s">
        <v>101</v>
      </c>
      <c r="F730" s="2" t="str">
        <f>"2170723095 "</f>
        <v xml:space="preserve">2170723095 </v>
      </c>
      <c r="G730" s="2" t="str">
        <f t="shared" si="22"/>
        <v>ON1</v>
      </c>
      <c r="H730" s="2" t="s">
        <v>21</v>
      </c>
      <c r="I730" s="2" t="s">
        <v>102</v>
      </c>
      <c r="J730" s="2" t="str">
        <f>""</f>
        <v/>
      </c>
      <c r="K730" s="2" t="str">
        <f>"PFES1162730478_0001"</f>
        <v>PFES1162730478_0001</v>
      </c>
      <c r="L730" s="2">
        <v>1</v>
      </c>
      <c r="M730" s="2">
        <v>1</v>
      </c>
    </row>
    <row r="731" spans="1:13">
      <c r="A731" s="6">
        <v>43839</v>
      </c>
      <c r="B731" s="7">
        <v>0.56666666666666665</v>
      </c>
      <c r="C731" s="2" t="str">
        <f>"FES1162730515"</f>
        <v>FES1162730515</v>
      </c>
      <c r="D731" s="2" t="s">
        <v>19</v>
      </c>
      <c r="E731" s="2" t="s">
        <v>520</v>
      </c>
      <c r="F731" s="2" t="str">
        <f>"2170723134 "</f>
        <v xml:space="preserve">2170723134 </v>
      </c>
      <c r="G731" s="2" t="str">
        <f t="shared" si="22"/>
        <v>ON1</v>
      </c>
      <c r="H731" s="2" t="s">
        <v>21</v>
      </c>
      <c r="I731" s="2" t="s">
        <v>521</v>
      </c>
      <c r="J731" s="2" t="str">
        <f>""</f>
        <v/>
      </c>
      <c r="K731" s="2" t="str">
        <f>"PFES1162730515_0001"</f>
        <v>PFES1162730515_0001</v>
      </c>
      <c r="L731" s="2">
        <v>1</v>
      </c>
      <c r="M731" s="2">
        <v>1</v>
      </c>
    </row>
    <row r="732" spans="1:13">
      <c r="A732" s="6">
        <v>43839</v>
      </c>
      <c r="B732" s="7">
        <v>0.56527777777777777</v>
      </c>
      <c r="C732" s="2" t="str">
        <f>"FES11692730495"</f>
        <v>FES11692730495</v>
      </c>
      <c r="D732" s="2" t="s">
        <v>19</v>
      </c>
      <c r="E732" s="2" t="s">
        <v>367</v>
      </c>
      <c r="F732" s="2" t="str">
        <f>"2170723076 "</f>
        <v xml:space="preserve">2170723076 </v>
      </c>
      <c r="G732" s="2" t="str">
        <f t="shared" si="22"/>
        <v>ON1</v>
      </c>
      <c r="H732" s="2" t="s">
        <v>21</v>
      </c>
      <c r="I732" s="2" t="s">
        <v>368</v>
      </c>
      <c r="J732" s="2" t="str">
        <f>""</f>
        <v/>
      </c>
      <c r="K732" s="2" t="str">
        <f>"PFES11692730495_0001"</f>
        <v>PFES11692730495_0001</v>
      </c>
      <c r="L732" s="2">
        <v>1</v>
      </c>
      <c r="M732" s="2">
        <v>1</v>
      </c>
    </row>
    <row r="733" spans="1:13">
      <c r="A733" s="6">
        <v>43839</v>
      </c>
      <c r="B733" s="7">
        <v>0.5625</v>
      </c>
      <c r="C733" s="2" t="str">
        <f>"FES1162730456"</f>
        <v>FES1162730456</v>
      </c>
      <c r="D733" s="2" t="s">
        <v>19</v>
      </c>
      <c r="E733" s="2" t="s">
        <v>262</v>
      </c>
      <c r="F733" s="2" t="str">
        <f>"2170720946 "</f>
        <v xml:space="preserve">2170720946 </v>
      </c>
      <c r="G733" s="2" t="str">
        <f t="shared" si="22"/>
        <v>ON1</v>
      </c>
      <c r="H733" s="2" t="s">
        <v>21</v>
      </c>
      <c r="I733" s="2" t="s">
        <v>114</v>
      </c>
      <c r="J733" s="2" t="str">
        <f>""</f>
        <v/>
      </c>
      <c r="K733" s="2" t="str">
        <f>"PFES1162730456_0001"</f>
        <v>PFES1162730456_0001</v>
      </c>
      <c r="L733" s="2">
        <v>1</v>
      </c>
      <c r="M733" s="2">
        <v>1</v>
      </c>
    </row>
    <row r="734" spans="1:13">
      <c r="A734" s="6">
        <v>43839</v>
      </c>
      <c r="B734" s="7">
        <v>0.56111111111111112</v>
      </c>
      <c r="C734" s="2" t="str">
        <f>"FES1162730523"</f>
        <v>FES1162730523</v>
      </c>
      <c r="D734" s="2" t="s">
        <v>19</v>
      </c>
      <c r="E734" s="2" t="s">
        <v>522</v>
      </c>
      <c r="F734" s="2" t="str">
        <f>"2170723125 "</f>
        <v xml:space="preserve">2170723125 </v>
      </c>
      <c r="G734" s="2" t="str">
        <f t="shared" si="22"/>
        <v>ON1</v>
      </c>
      <c r="H734" s="2" t="s">
        <v>21</v>
      </c>
      <c r="I734" s="2" t="s">
        <v>193</v>
      </c>
      <c r="J734" s="2" t="str">
        <f>""</f>
        <v/>
      </c>
      <c r="K734" s="2" t="str">
        <f>"PFES1162730523_0001"</f>
        <v>PFES1162730523_0001</v>
      </c>
      <c r="L734" s="2">
        <v>1</v>
      </c>
      <c r="M734" s="2">
        <v>1</v>
      </c>
    </row>
    <row r="735" spans="1:13">
      <c r="A735" s="6">
        <v>43839</v>
      </c>
      <c r="B735" s="7">
        <v>0.55069444444444449</v>
      </c>
      <c r="C735" s="2" t="str">
        <f>"FES1162730532"</f>
        <v>FES1162730532</v>
      </c>
      <c r="D735" s="2" t="s">
        <v>19</v>
      </c>
      <c r="E735" s="2" t="s">
        <v>218</v>
      </c>
      <c r="F735" s="2" t="str">
        <f>"2170723157 "</f>
        <v xml:space="preserve">2170723157 </v>
      </c>
      <c r="G735" s="2" t="str">
        <f t="shared" si="22"/>
        <v>ON1</v>
      </c>
      <c r="H735" s="2" t="s">
        <v>21</v>
      </c>
      <c r="I735" s="2" t="s">
        <v>49</v>
      </c>
      <c r="J735" s="2" t="str">
        <f>""</f>
        <v/>
      </c>
      <c r="K735" s="2" t="str">
        <f>"PFES1162730532_0001"</f>
        <v>PFES1162730532_0001</v>
      </c>
      <c r="L735" s="2">
        <v>1</v>
      </c>
      <c r="M735" s="2">
        <v>2</v>
      </c>
    </row>
    <row r="736" spans="1:13">
      <c r="A736" s="6">
        <v>43839</v>
      </c>
      <c r="B736" s="7">
        <v>0.54999999999999993</v>
      </c>
      <c r="C736" s="2" t="str">
        <f>"FES1162730503"</f>
        <v>FES1162730503</v>
      </c>
      <c r="D736" s="2" t="s">
        <v>19</v>
      </c>
      <c r="E736" s="2" t="s">
        <v>293</v>
      </c>
      <c r="F736" s="2" t="str">
        <f>"2170723122 "</f>
        <v xml:space="preserve">2170723122 </v>
      </c>
      <c r="G736" s="2" t="str">
        <f t="shared" si="22"/>
        <v>ON1</v>
      </c>
      <c r="H736" s="2" t="s">
        <v>21</v>
      </c>
      <c r="I736" s="2" t="s">
        <v>294</v>
      </c>
      <c r="J736" s="2" t="str">
        <f>""</f>
        <v/>
      </c>
      <c r="K736" s="2" t="str">
        <f>"PFES1162730503_0001"</f>
        <v>PFES1162730503_0001</v>
      </c>
      <c r="L736" s="2">
        <v>1</v>
      </c>
      <c r="M736" s="2">
        <v>3</v>
      </c>
    </row>
    <row r="737" spans="1:13">
      <c r="A737" s="6">
        <v>43839</v>
      </c>
      <c r="B737" s="7">
        <v>0.54999999999999993</v>
      </c>
      <c r="C737" s="2" t="str">
        <f>"FES1162730244"</f>
        <v>FES1162730244</v>
      </c>
      <c r="D737" s="2" t="s">
        <v>19</v>
      </c>
      <c r="E737" s="2" t="s">
        <v>292</v>
      </c>
      <c r="F737" s="2" t="str">
        <f>"2170721773 "</f>
        <v xml:space="preserve">2170721773 </v>
      </c>
      <c r="G737" s="2" t="str">
        <f>"DBC"</f>
        <v>DBC</v>
      </c>
      <c r="H737" s="2" t="s">
        <v>21</v>
      </c>
      <c r="I737" s="2" t="s">
        <v>288</v>
      </c>
      <c r="J737" s="2" t="str">
        <f>""</f>
        <v/>
      </c>
      <c r="K737" s="2" t="str">
        <f>"PFES1162730244_0001"</f>
        <v>PFES1162730244_0001</v>
      </c>
      <c r="L737" s="2">
        <v>1</v>
      </c>
      <c r="M737" s="2">
        <v>20</v>
      </c>
    </row>
    <row r="738" spans="1:13">
      <c r="A738" s="6">
        <v>43839</v>
      </c>
      <c r="B738" s="7">
        <v>0.5493055555555556</v>
      </c>
      <c r="C738" s="2" t="str">
        <f>"FES1162730500"</f>
        <v>FES1162730500</v>
      </c>
      <c r="D738" s="2" t="s">
        <v>19</v>
      </c>
      <c r="E738" s="2" t="s">
        <v>295</v>
      </c>
      <c r="F738" s="2" t="str">
        <f>"2170723115 "</f>
        <v xml:space="preserve">2170723115 </v>
      </c>
      <c r="G738" s="2" t="str">
        <f t="shared" ref="G738:G755" si="23">"ON1"</f>
        <v>ON1</v>
      </c>
      <c r="H738" s="2" t="s">
        <v>21</v>
      </c>
      <c r="I738" s="2" t="s">
        <v>296</v>
      </c>
      <c r="J738" s="2" t="str">
        <f>""</f>
        <v/>
      </c>
      <c r="K738" s="2" t="str">
        <f>"PFES1162730500_0001"</f>
        <v>PFES1162730500_0001</v>
      </c>
      <c r="L738" s="2">
        <v>1</v>
      </c>
      <c r="M738" s="2">
        <v>4</v>
      </c>
    </row>
    <row r="739" spans="1:13">
      <c r="A739" s="6">
        <v>43839</v>
      </c>
      <c r="B739" s="7">
        <v>0.5493055555555556</v>
      </c>
      <c r="C739" s="2" t="str">
        <f>"FES1162730459"</f>
        <v>FES1162730459</v>
      </c>
      <c r="D739" s="2" t="s">
        <v>19</v>
      </c>
      <c r="E739" s="2" t="s">
        <v>523</v>
      </c>
      <c r="F739" s="2" t="str">
        <f>"2170721694 "</f>
        <v xml:space="preserve">2170721694 </v>
      </c>
      <c r="G739" s="2" t="str">
        <f t="shared" si="23"/>
        <v>ON1</v>
      </c>
      <c r="H739" s="2" t="s">
        <v>21</v>
      </c>
      <c r="I739" s="2" t="s">
        <v>98</v>
      </c>
      <c r="J739" s="2" t="str">
        <f>""</f>
        <v/>
      </c>
      <c r="K739" s="2" t="str">
        <f>"PFES1162730459_0001"</f>
        <v>PFES1162730459_0001</v>
      </c>
      <c r="L739" s="2">
        <v>1</v>
      </c>
      <c r="M739" s="2">
        <v>2</v>
      </c>
    </row>
    <row r="740" spans="1:13">
      <c r="A740" s="6">
        <v>43839</v>
      </c>
      <c r="B740" s="7">
        <v>0.54861111111111105</v>
      </c>
      <c r="C740" s="2" t="str">
        <f>"FES1162730473"</f>
        <v>FES1162730473</v>
      </c>
      <c r="D740" s="2" t="s">
        <v>19</v>
      </c>
      <c r="E740" s="2" t="s">
        <v>524</v>
      </c>
      <c r="F740" s="2" t="str">
        <f>"2170723086 "</f>
        <v xml:space="preserve">2170723086 </v>
      </c>
      <c r="G740" s="2" t="str">
        <f t="shared" si="23"/>
        <v>ON1</v>
      </c>
      <c r="H740" s="2" t="s">
        <v>21</v>
      </c>
      <c r="I740" s="2" t="s">
        <v>525</v>
      </c>
      <c r="J740" s="2" t="str">
        <f>""</f>
        <v/>
      </c>
      <c r="K740" s="2" t="str">
        <f>"PFES1162730473_0001"</f>
        <v>PFES1162730473_0001</v>
      </c>
      <c r="L740" s="2">
        <v>1</v>
      </c>
      <c r="M740" s="2">
        <v>7</v>
      </c>
    </row>
    <row r="741" spans="1:13">
      <c r="A741" s="6">
        <v>43839</v>
      </c>
      <c r="B741" s="7">
        <v>0.54861111111111105</v>
      </c>
      <c r="C741" s="2" t="str">
        <f>"FES1162730431"</f>
        <v>FES1162730431</v>
      </c>
      <c r="D741" s="2" t="s">
        <v>19</v>
      </c>
      <c r="E741" s="2" t="s">
        <v>526</v>
      </c>
      <c r="F741" s="2" t="str">
        <f>"2170723502 "</f>
        <v xml:space="preserve">2170723502 </v>
      </c>
      <c r="G741" s="2" t="str">
        <f t="shared" si="23"/>
        <v>ON1</v>
      </c>
      <c r="H741" s="2" t="s">
        <v>21</v>
      </c>
      <c r="I741" s="2" t="s">
        <v>139</v>
      </c>
      <c r="J741" s="2" t="str">
        <f>""</f>
        <v/>
      </c>
      <c r="K741" s="2" t="str">
        <f>"PFES1162730431_0001"</f>
        <v>PFES1162730431_0001</v>
      </c>
      <c r="L741" s="2">
        <v>1</v>
      </c>
      <c r="M741" s="2">
        <v>3</v>
      </c>
    </row>
    <row r="742" spans="1:13">
      <c r="A742" s="6">
        <v>43839</v>
      </c>
      <c r="B742" s="7">
        <v>0.54791666666666672</v>
      </c>
      <c r="C742" s="2" t="str">
        <f>"FES1162730464"</f>
        <v>FES1162730464</v>
      </c>
      <c r="D742" s="2" t="s">
        <v>19</v>
      </c>
      <c r="E742" s="2" t="s">
        <v>147</v>
      </c>
      <c r="F742" s="2" t="str">
        <f>"2170722762 "</f>
        <v xml:space="preserve">2170722762 </v>
      </c>
      <c r="G742" s="2" t="str">
        <f t="shared" si="23"/>
        <v>ON1</v>
      </c>
      <c r="H742" s="2" t="s">
        <v>21</v>
      </c>
      <c r="I742" s="2" t="s">
        <v>148</v>
      </c>
      <c r="J742" s="2" t="str">
        <f>""</f>
        <v/>
      </c>
      <c r="K742" s="2" t="str">
        <f>"PFES1162730464_0001"</f>
        <v>PFES1162730464_0001</v>
      </c>
      <c r="L742" s="2">
        <v>1</v>
      </c>
      <c r="M742" s="2">
        <v>10</v>
      </c>
    </row>
    <row r="743" spans="1:13">
      <c r="A743" s="6">
        <v>43839</v>
      </c>
      <c r="B743" s="7">
        <v>0.53402777777777777</v>
      </c>
      <c r="C743" s="2" t="str">
        <f>"FES1162730424"</f>
        <v>FES1162730424</v>
      </c>
      <c r="D743" s="2" t="s">
        <v>19</v>
      </c>
      <c r="E743" s="2" t="s">
        <v>134</v>
      </c>
      <c r="F743" s="2" t="str">
        <f>"2170723043 "</f>
        <v xml:space="preserve">2170723043 </v>
      </c>
      <c r="G743" s="2" t="str">
        <f t="shared" si="23"/>
        <v>ON1</v>
      </c>
      <c r="H743" s="2" t="s">
        <v>21</v>
      </c>
      <c r="I743" s="2" t="s">
        <v>135</v>
      </c>
      <c r="J743" s="2" t="str">
        <f>""</f>
        <v/>
      </c>
      <c r="K743" s="2" t="str">
        <f>"PFES1162730424_0001"</f>
        <v>PFES1162730424_0001</v>
      </c>
      <c r="L743" s="2">
        <v>1</v>
      </c>
      <c r="M743" s="2">
        <v>1</v>
      </c>
    </row>
    <row r="744" spans="1:13">
      <c r="A744" s="6">
        <v>43839</v>
      </c>
      <c r="B744" s="7">
        <v>0.53333333333333333</v>
      </c>
      <c r="C744" s="2" t="str">
        <f>"FES1162730358"</f>
        <v>FES1162730358</v>
      </c>
      <c r="D744" s="2" t="s">
        <v>19</v>
      </c>
      <c r="E744" s="2" t="s">
        <v>147</v>
      </c>
      <c r="F744" s="2" t="str">
        <f>"2170722500 "</f>
        <v xml:space="preserve">2170722500 </v>
      </c>
      <c r="G744" s="2" t="str">
        <f t="shared" si="23"/>
        <v>ON1</v>
      </c>
      <c r="H744" s="2" t="s">
        <v>21</v>
      </c>
      <c r="I744" s="2" t="s">
        <v>148</v>
      </c>
      <c r="J744" s="2" t="str">
        <f>""</f>
        <v/>
      </c>
      <c r="K744" s="2" t="str">
        <f>"PFES1162730358_0001"</f>
        <v>PFES1162730358_0001</v>
      </c>
      <c r="L744" s="2">
        <v>1</v>
      </c>
      <c r="M744" s="2">
        <v>1</v>
      </c>
    </row>
    <row r="745" spans="1:13">
      <c r="A745" s="6">
        <v>43839</v>
      </c>
      <c r="B745" s="7">
        <v>0.53263888888888888</v>
      </c>
      <c r="C745" s="2" t="str">
        <f>"FES1162730474"</f>
        <v>FES1162730474</v>
      </c>
      <c r="D745" s="2" t="s">
        <v>19</v>
      </c>
      <c r="E745" s="2" t="s">
        <v>527</v>
      </c>
      <c r="F745" s="2" t="str">
        <f>"2170723091 "</f>
        <v xml:space="preserve">2170723091 </v>
      </c>
      <c r="G745" s="2" t="str">
        <f t="shared" si="23"/>
        <v>ON1</v>
      </c>
      <c r="H745" s="2" t="s">
        <v>21</v>
      </c>
      <c r="I745" s="2" t="s">
        <v>528</v>
      </c>
      <c r="J745" s="2" t="str">
        <f>""</f>
        <v/>
      </c>
      <c r="K745" s="2" t="str">
        <f>"PFES1162730474_0001"</f>
        <v>PFES1162730474_0001</v>
      </c>
      <c r="L745" s="2">
        <v>1</v>
      </c>
      <c r="M745" s="2">
        <v>1</v>
      </c>
    </row>
    <row r="746" spans="1:13">
      <c r="A746" s="6">
        <v>43839</v>
      </c>
      <c r="B746" s="7">
        <v>0.53194444444444444</v>
      </c>
      <c r="C746" s="2" t="str">
        <f>"009935712113"</f>
        <v>009935712113</v>
      </c>
      <c r="D746" s="2" t="s">
        <v>19</v>
      </c>
      <c r="E746" s="2" t="s">
        <v>101</v>
      </c>
      <c r="F746" s="2" t="str">
        <f>"1162729249 "</f>
        <v xml:space="preserve">1162729249 </v>
      </c>
      <c r="G746" s="2" t="str">
        <f t="shared" si="23"/>
        <v>ON1</v>
      </c>
      <c r="H746" s="2" t="s">
        <v>21</v>
      </c>
      <c r="I746" s="2" t="s">
        <v>102</v>
      </c>
      <c r="J746" s="2" t="str">
        <f>""</f>
        <v/>
      </c>
      <c r="K746" s="2" t="str">
        <f>"P009935712113_0001"</f>
        <v>P009935712113_0001</v>
      </c>
      <c r="L746" s="2">
        <v>1</v>
      </c>
      <c r="M746" s="2">
        <v>1</v>
      </c>
    </row>
    <row r="747" spans="1:13">
      <c r="A747" s="6">
        <v>43839</v>
      </c>
      <c r="B747" s="7">
        <v>0.52986111111111112</v>
      </c>
      <c r="C747" s="2" t="str">
        <f>"FES1162730476"</f>
        <v>FES1162730476</v>
      </c>
      <c r="D747" s="2" t="s">
        <v>19</v>
      </c>
      <c r="E747" s="2" t="s">
        <v>68</v>
      </c>
      <c r="F747" s="2" t="str">
        <f>"2170723093 "</f>
        <v xml:space="preserve">2170723093 </v>
      </c>
      <c r="G747" s="2" t="str">
        <f t="shared" si="23"/>
        <v>ON1</v>
      </c>
      <c r="H747" s="2" t="s">
        <v>21</v>
      </c>
      <c r="I747" s="2" t="s">
        <v>69</v>
      </c>
      <c r="J747" s="2" t="str">
        <f>""</f>
        <v/>
      </c>
      <c r="K747" s="2" t="str">
        <f>"PFES1162730476_0001"</f>
        <v>PFES1162730476_0001</v>
      </c>
      <c r="L747" s="2">
        <v>1</v>
      </c>
      <c r="M747" s="2">
        <v>1</v>
      </c>
    </row>
    <row r="748" spans="1:13">
      <c r="A748" s="6">
        <v>43839</v>
      </c>
      <c r="B748" s="7">
        <v>0.52916666666666667</v>
      </c>
      <c r="C748" s="2" t="str">
        <f>"FES1162730455"</f>
        <v>FES1162730455</v>
      </c>
      <c r="D748" s="2" t="s">
        <v>19</v>
      </c>
      <c r="E748" s="2" t="s">
        <v>64</v>
      </c>
      <c r="F748" s="2" t="str">
        <f>"2170720325 "</f>
        <v xml:space="preserve">2170720325 </v>
      </c>
      <c r="G748" s="2" t="str">
        <f t="shared" si="23"/>
        <v>ON1</v>
      </c>
      <c r="H748" s="2" t="s">
        <v>21</v>
      </c>
      <c r="I748" s="2" t="s">
        <v>60</v>
      </c>
      <c r="J748" s="2" t="str">
        <f>""</f>
        <v/>
      </c>
      <c r="K748" s="2" t="str">
        <f>"PFES1162730455_0001"</f>
        <v>PFES1162730455_0001</v>
      </c>
      <c r="L748" s="2">
        <v>1</v>
      </c>
      <c r="M748" s="2">
        <v>1</v>
      </c>
    </row>
    <row r="749" spans="1:13">
      <c r="A749" s="6">
        <v>43839</v>
      </c>
      <c r="B749" s="7">
        <v>0.52847222222222223</v>
      </c>
      <c r="C749" s="2" t="str">
        <f>"FES1162730466"</f>
        <v>FES1162730466</v>
      </c>
      <c r="D749" s="2" t="s">
        <v>19</v>
      </c>
      <c r="E749" s="2" t="s">
        <v>529</v>
      </c>
      <c r="F749" s="2" t="str">
        <f>"2170722952 "</f>
        <v xml:space="preserve">2170722952 </v>
      </c>
      <c r="G749" s="2" t="str">
        <f t="shared" si="23"/>
        <v>ON1</v>
      </c>
      <c r="H749" s="2" t="s">
        <v>21</v>
      </c>
      <c r="I749" s="2" t="s">
        <v>36</v>
      </c>
      <c r="J749" s="2" t="str">
        <f>""</f>
        <v/>
      </c>
      <c r="K749" s="2" t="str">
        <f>"PFES1162730466_0001"</f>
        <v>PFES1162730466_0001</v>
      </c>
      <c r="L749" s="2">
        <v>1</v>
      </c>
      <c r="M749" s="2">
        <v>1</v>
      </c>
    </row>
    <row r="750" spans="1:13">
      <c r="A750" s="6">
        <v>43839</v>
      </c>
      <c r="B750" s="7">
        <v>0.52777777777777779</v>
      </c>
      <c r="C750" s="2" t="str">
        <f>"FES1162730409"</f>
        <v>FES1162730409</v>
      </c>
      <c r="D750" s="2" t="s">
        <v>19</v>
      </c>
      <c r="E750" s="2" t="s">
        <v>447</v>
      </c>
      <c r="F750" s="2" t="str">
        <f>"2170723033 "</f>
        <v xml:space="preserve">2170723033 </v>
      </c>
      <c r="G750" s="2" t="str">
        <f t="shared" si="23"/>
        <v>ON1</v>
      </c>
      <c r="H750" s="2" t="s">
        <v>21</v>
      </c>
      <c r="I750" s="2" t="s">
        <v>448</v>
      </c>
      <c r="J750" s="2" t="str">
        <f>""</f>
        <v/>
      </c>
      <c r="K750" s="2" t="str">
        <f>"PFES1162730409_0001"</f>
        <v>PFES1162730409_0001</v>
      </c>
      <c r="L750" s="2">
        <v>1</v>
      </c>
      <c r="M750" s="2">
        <v>1</v>
      </c>
    </row>
    <row r="751" spans="1:13">
      <c r="A751" s="6">
        <v>43839</v>
      </c>
      <c r="B751" s="7">
        <v>0.52708333333333335</v>
      </c>
      <c r="C751" s="2" t="str">
        <f>"FES1162730416"</f>
        <v>FES1162730416</v>
      </c>
      <c r="D751" s="2" t="s">
        <v>19</v>
      </c>
      <c r="E751" s="2" t="s">
        <v>242</v>
      </c>
      <c r="F751" s="2" t="str">
        <f>"2170723034 "</f>
        <v xml:space="preserve">2170723034 </v>
      </c>
      <c r="G751" s="2" t="str">
        <f t="shared" si="23"/>
        <v>ON1</v>
      </c>
      <c r="H751" s="2" t="s">
        <v>21</v>
      </c>
      <c r="I751" s="2" t="s">
        <v>85</v>
      </c>
      <c r="J751" s="2" t="str">
        <f>""</f>
        <v/>
      </c>
      <c r="K751" s="2" t="str">
        <f>"PFES1162730416_0001"</f>
        <v>PFES1162730416_0001</v>
      </c>
      <c r="L751" s="2">
        <v>1</v>
      </c>
      <c r="M751" s="2">
        <v>1</v>
      </c>
    </row>
    <row r="752" spans="1:13">
      <c r="A752" s="6">
        <v>43839</v>
      </c>
      <c r="B752" s="7">
        <v>0.52638888888888891</v>
      </c>
      <c r="C752" s="2" t="str">
        <f>"FES1162730457"</f>
        <v>FES1162730457</v>
      </c>
      <c r="D752" s="2" t="s">
        <v>19</v>
      </c>
      <c r="E752" s="2" t="s">
        <v>141</v>
      </c>
      <c r="F752" s="2" t="str">
        <f>"2170721121 "</f>
        <v xml:space="preserve">2170721121 </v>
      </c>
      <c r="G752" s="2" t="str">
        <f t="shared" si="23"/>
        <v>ON1</v>
      </c>
      <c r="H752" s="2" t="s">
        <v>21</v>
      </c>
      <c r="I752" s="2" t="s">
        <v>90</v>
      </c>
      <c r="J752" s="2" t="str">
        <f>""</f>
        <v/>
      </c>
      <c r="K752" s="2" t="str">
        <f>"PFES1162730457_0001"</f>
        <v>PFES1162730457_0001</v>
      </c>
      <c r="L752" s="2">
        <v>1</v>
      </c>
      <c r="M752" s="2">
        <v>1</v>
      </c>
    </row>
    <row r="753" spans="1:13">
      <c r="A753" s="6">
        <v>43839</v>
      </c>
      <c r="B753" s="7">
        <v>0.52569444444444446</v>
      </c>
      <c r="C753" s="2" t="str">
        <f>"FES1162730209"</f>
        <v>FES1162730209</v>
      </c>
      <c r="D753" s="2" t="s">
        <v>19</v>
      </c>
      <c r="E753" s="2" t="s">
        <v>194</v>
      </c>
      <c r="F753" s="2" t="str">
        <f>"2170720874 "</f>
        <v xml:space="preserve">2170720874 </v>
      </c>
      <c r="G753" s="2" t="str">
        <f t="shared" si="23"/>
        <v>ON1</v>
      </c>
      <c r="H753" s="2" t="s">
        <v>21</v>
      </c>
      <c r="I753" s="2" t="s">
        <v>85</v>
      </c>
      <c r="J753" s="2" t="str">
        <f>""</f>
        <v/>
      </c>
      <c r="K753" s="2" t="str">
        <f>"PFES1162730209_0001"</f>
        <v>PFES1162730209_0001</v>
      </c>
      <c r="L753" s="2">
        <v>1</v>
      </c>
      <c r="M753" s="2">
        <v>1</v>
      </c>
    </row>
    <row r="754" spans="1:13">
      <c r="A754" s="6">
        <v>43839</v>
      </c>
      <c r="B754" s="7">
        <v>0.52500000000000002</v>
      </c>
      <c r="C754" s="2" t="str">
        <f>"FES1162730468"</f>
        <v>FES1162730468</v>
      </c>
      <c r="D754" s="2" t="s">
        <v>19</v>
      </c>
      <c r="E754" s="2" t="s">
        <v>530</v>
      </c>
      <c r="F754" s="2" t="str">
        <f>"2170723087 "</f>
        <v xml:space="preserve">2170723087 </v>
      </c>
      <c r="G754" s="2" t="str">
        <f t="shared" si="23"/>
        <v>ON1</v>
      </c>
      <c r="H754" s="2" t="s">
        <v>21</v>
      </c>
      <c r="I754" s="2" t="s">
        <v>531</v>
      </c>
      <c r="J754" s="2" t="str">
        <f>""</f>
        <v/>
      </c>
      <c r="K754" s="2" t="str">
        <f>"PFES1162730468_0001"</f>
        <v>PFES1162730468_0001</v>
      </c>
      <c r="L754" s="2">
        <v>1</v>
      </c>
      <c r="M754" s="2">
        <v>5</v>
      </c>
    </row>
    <row r="755" spans="1:13">
      <c r="A755" s="6">
        <v>43839</v>
      </c>
      <c r="B755" s="7">
        <v>0.52500000000000002</v>
      </c>
      <c r="C755" s="2" t="str">
        <f>"FES1162730449"</f>
        <v>FES1162730449</v>
      </c>
      <c r="D755" s="2" t="s">
        <v>19</v>
      </c>
      <c r="E755" s="2" t="s">
        <v>532</v>
      </c>
      <c r="F755" s="2" t="str">
        <f>"2170723071 "</f>
        <v xml:space="preserve">2170723071 </v>
      </c>
      <c r="G755" s="2" t="str">
        <f t="shared" si="23"/>
        <v>ON1</v>
      </c>
      <c r="H755" s="2" t="s">
        <v>21</v>
      </c>
      <c r="I755" s="2" t="s">
        <v>533</v>
      </c>
      <c r="J755" s="2" t="str">
        <f>""</f>
        <v/>
      </c>
      <c r="K755" s="2" t="str">
        <f>"PFES1162730449_0001"</f>
        <v>PFES1162730449_0001</v>
      </c>
      <c r="L755" s="2">
        <v>1</v>
      </c>
      <c r="M755" s="2">
        <v>1</v>
      </c>
    </row>
    <row r="756" spans="1:13">
      <c r="A756" s="6">
        <v>43839</v>
      </c>
      <c r="B756" s="7">
        <v>0.52430555555555558</v>
      </c>
      <c r="C756" s="2" t="str">
        <f>"FES1162730389"</f>
        <v>FES1162730389</v>
      </c>
      <c r="D756" s="2" t="s">
        <v>19</v>
      </c>
      <c r="E756" s="2" t="s">
        <v>534</v>
      </c>
      <c r="F756" s="2" t="str">
        <f>"2170723008 "</f>
        <v xml:space="preserve">2170723008 </v>
      </c>
      <c r="G756" s="2" t="str">
        <f>"DBC"</f>
        <v>DBC</v>
      </c>
      <c r="H756" s="2" t="s">
        <v>21</v>
      </c>
      <c r="I756" s="2" t="s">
        <v>135</v>
      </c>
      <c r="J756" s="2" t="str">
        <f>""</f>
        <v/>
      </c>
      <c r="K756" s="2" t="str">
        <f>"PFES1162730389_0001"</f>
        <v>PFES1162730389_0001</v>
      </c>
      <c r="L756" s="2">
        <v>1</v>
      </c>
      <c r="M756" s="2">
        <v>23</v>
      </c>
    </row>
    <row r="757" spans="1:13">
      <c r="A757" s="6">
        <v>43839</v>
      </c>
      <c r="B757" s="7">
        <v>0.52430555555555558</v>
      </c>
      <c r="C757" s="2" t="str">
        <f>"FES1162730475"</f>
        <v>FES1162730475</v>
      </c>
      <c r="D757" s="2" t="s">
        <v>19</v>
      </c>
      <c r="E757" s="2" t="s">
        <v>535</v>
      </c>
      <c r="F757" s="2" t="str">
        <f>"2170723092 "</f>
        <v xml:space="preserve">2170723092 </v>
      </c>
      <c r="G757" s="2" t="str">
        <f t="shared" ref="G757:G820" si="24">"ON1"</f>
        <v>ON1</v>
      </c>
      <c r="H757" s="2" t="s">
        <v>21</v>
      </c>
      <c r="I757" s="2" t="s">
        <v>536</v>
      </c>
      <c r="J757" s="2" t="str">
        <f>""</f>
        <v/>
      </c>
      <c r="K757" s="2" t="str">
        <f>"PFES1162730475_0001"</f>
        <v>PFES1162730475_0001</v>
      </c>
      <c r="L757" s="2">
        <v>1</v>
      </c>
      <c r="M757" s="2">
        <v>2</v>
      </c>
    </row>
    <row r="758" spans="1:13">
      <c r="A758" s="6">
        <v>43839</v>
      </c>
      <c r="B758" s="7">
        <v>0.52430555555555558</v>
      </c>
      <c r="C758" s="2" t="str">
        <f>"FES1162730268"</f>
        <v>FES1162730268</v>
      </c>
      <c r="D758" s="2" t="s">
        <v>19</v>
      </c>
      <c r="E758" s="2" t="s">
        <v>286</v>
      </c>
      <c r="F758" s="2" t="str">
        <f>"2170721030 "</f>
        <v xml:space="preserve">2170721030 </v>
      </c>
      <c r="G758" s="2" t="str">
        <f t="shared" si="24"/>
        <v>ON1</v>
      </c>
      <c r="H758" s="2" t="s">
        <v>21</v>
      </c>
      <c r="I758" s="2" t="s">
        <v>85</v>
      </c>
      <c r="J758" s="2" t="str">
        <f>""</f>
        <v/>
      </c>
      <c r="K758" s="2" t="str">
        <f>"PFES1162730268_0001"</f>
        <v>PFES1162730268_0001</v>
      </c>
      <c r="L758" s="2">
        <v>1</v>
      </c>
      <c r="M758" s="2">
        <v>1</v>
      </c>
    </row>
    <row r="759" spans="1:13">
      <c r="A759" s="6">
        <v>43839</v>
      </c>
      <c r="B759" s="7">
        <v>0.52361111111111114</v>
      </c>
      <c r="C759" s="2" t="str">
        <f>"FES1162730483"</f>
        <v>FES1162730483</v>
      </c>
      <c r="D759" s="2" t="s">
        <v>19</v>
      </c>
      <c r="E759" s="2" t="s">
        <v>54</v>
      </c>
      <c r="F759" s="2" t="str">
        <f>"2170723100 "</f>
        <v xml:space="preserve">2170723100 </v>
      </c>
      <c r="G759" s="2" t="str">
        <f t="shared" si="24"/>
        <v>ON1</v>
      </c>
      <c r="H759" s="2" t="s">
        <v>21</v>
      </c>
      <c r="I759" s="2" t="s">
        <v>31</v>
      </c>
      <c r="J759" s="2" t="str">
        <f>""</f>
        <v/>
      </c>
      <c r="K759" s="2" t="str">
        <f>"PFES1162730483_0001"</f>
        <v>PFES1162730483_0001</v>
      </c>
      <c r="L759" s="2">
        <v>1</v>
      </c>
      <c r="M759" s="2">
        <v>1</v>
      </c>
    </row>
    <row r="760" spans="1:13">
      <c r="A760" s="6">
        <v>43839</v>
      </c>
      <c r="B760" s="7">
        <v>0.52361111111111114</v>
      </c>
      <c r="C760" s="2" t="str">
        <f>"FES1162730470"</f>
        <v>FES1162730470</v>
      </c>
      <c r="D760" s="2" t="s">
        <v>19</v>
      </c>
      <c r="E760" s="2" t="s">
        <v>310</v>
      </c>
      <c r="F760" s="2" t="str">
        <f>"2170723089 "</f>
        <v xml:space="preserve">2170723089 </v>
      </c>
      <c r="G760" s="2" t="str">
        <f t="shared" si="24"/>
        <v>ON1</v>
      </c>
      <c r="H760" s="2" t="s">
        <v>21</v>
      </c>
      <c r="I760" s="2" t="s">
        <v>311</v>
      </c>
      <c r="J760" s="2" t="str">
        <f>""</f>
        <v/>
      </c>
      <c r="K760" s="2" t="str">
        <f>"PFES1162730470_0001"</f>
        <v>PFES1162730470_0001</v>
      </c>
      <c r="L760" s="2">
        <v>1</v>
      </c>
      <c r="M760" s="2">
        <v>1</v>
      </c>
    </row>
    <row r="761" spans="1:13">
      <c r="A761" s="6">
        <v>43839</v>
      </c>
      <c r="B761" s="7">
        <v>0.5229166666666667</v>
      </c>
      <c r="C761" s="2" t="str">
        <f>"FES1162730404"</f>
        <v>FES1162730404</v>
      </c>
      <c r="D761" s="2" t="s">
        <v>19</v>
      </c>
      <c r="E761" s="2" t="s">
        <v>82</v>
      </c>
      <c r="F761" s="2" t="str">
        <f>"2170723025 "</f>
        <v xml:space="preserve">2170723025 </v>
      </c>
      <c r="G761" s="2" t="str">
        <f t="shared" si="24"/>
        <v>ON1</v>
      </c>
      <c r="H761" s="2" t="s">
        <v>21</v>
      </c>
      <c r="I761" s="2" t="s">
        <v>83</v>
      </c>
      <c r="J761" s="2" t="str">
        <f>""</f>
        <v/>
      </c>
      <c r="K761" s="2" t="str">
        <f>"PFES1162730404_0001"</f>
        <v>PFES1162730404_0001</v>
      </c>
      <c r="L761" s="2">
        <v>1</v>
      </c>
      <c r="M761" s="2">
        <v>3</v>
      </c>
    </row>
    <row r="762" spans="1:13">
      <c r="A762" s="6">
        <v>43839</v>
      </c>
      <c r="B762" s="7">
        <v>0.5229166666666667</v>
      </c>
      <c r="C762" s="2" t="str">
        <f>"FES1162730462"</f>
        <v>FES1162730462</v>
      </c>
      <c r="D762" s="2" t="s">
        <v>19</v>
      </c>
      <c r="E762" s="2" t="s">
        <v>29</v>
      </c>
      <c r="F762" s="2" t="str">
        <f>"2170722726 "</f>
        <v xml:space="preserve">2170722726 </v>
      </c>
      <c r="G762" s="2" t="str">
        <f t="shared" si="24"/>
        <v>ON1</v>
      </c>
      <c r="H762" s="2" t="s">
        <v>21</v>
      </c>
      <c r="I762" s="2" t="s">
        <v>22</v>
      </c>
      <c r="J762" s="2" t="str">
        <f>""</f>
        <v/>
      </c>
      <c r="K762" s="2" t="str">
        <f>"PFES1162730462_0001"</f>
        <v>PFES1162730462_0001</v>
      </c>
      <c r="L762" s="2">
        <v>1</v>
      </c>
      <c r="M762" s="2">
        <v>1</v>
      </c>
    </row>
    <row r="763" spans="1:13">
      <c r="A763" s="6">
        <v>43839</v>
      </c>
      <c r="B763" s="7">
        <v>0.5229166666666667</v>
      </c>
      <c r="C763" s="2" t="str">
        <f>"FES1162730352"</f>
        <v>FES1162730352</v>
      </c>
      <c r="D763" s="2" t="s">
        <v>19</v>
      </c>
      <c r="E763" s="2" t="s">
        <v>147</v>
      </c>
      <c r="F763" s="2" t="str">
        <f>"2170722758 "</f>
        <v xml:space="preserve">2170722758 </v>
      </c>
      <c r="G763" s="2" t="str">
        <f t="shared" si="24"/>
        <v>ON1</v>
      </c>
      <c r="H763" s="2" t="s">
        <v>21</v>
      </c>
      <c r="I763" s="2" t="s">
        <v>148</v>
      </c>
      <c r="J763" s="2" t="str">
        <f>""</f>
        <v/>
      </c>
      <c r="K763" s="2" t="str">
        <f>"PFES1162730352_0001"</f>
        <v>PFES1162730352_0001</v>
      </c>
      <c r="L763" s="2">
        <v>1</v>
      </c>
      <c r="M763" s="2">
        <v>11</v>
      </c>
    </row>
    <row r="764" spans="1:13">
      <c r="A764" s="6">
        <v>43839</v>
      </c>
      <c r="B764" s="7">
        <v>0.52222222222222225</v>
      </c>
      <c r="C764" s="2" t="str">
        <f>"FES1162730380"</f>
        <v>FES1162730380</v>
      </c>
      <c r="D764" s="2" t="s">
        <v>19</v>
      </c>
      <c r="E764" s="2" t="s">
        <v>147</v>
      </c>
      <c r="F764" s="2" t="str">
        <f>"2170722623 "</f>
        <v xml:space="preserve">2170722623 </v>
      </c>
      <c r="G764" s="2" t="str">
        <f t="shared" si="24"/>
        <v>ON1</v>
      </c>
      <c r="H764" s="2" t="s">
        <v>21</v>
      </c>
      <c r="I764" s="2" t="s">
        <v>148</v>
      </c>
      <c r="J764" s="2" t="str">
        <f>""</f>
        <v/>
      </c>
      <c r="K764" s="2" t="str">
        <f>"PFES1162730380_0001"</f>
        <v>PFES1162730380_0001</v>
      </c>
      <c r="L764" s="2">
        <v>1</v>
      </c>
      <c r="M764" s="2">
        <v>3</v>
      </c>
    </row>
    <row r="765" spans="1:13">
      <c r="A765" s="6">
        <v>43839</v>
      </c>
      <c r="B765" s="7">
        <v>0.52222222222222225</v>
      </c>
      <c r="C765" s="2" t="str">
        <f>"FES1162730421"</f>
        <v>FES1162730421</v>
      </c>
      <c r="D765" s="2" t="s">
        <v>19</v>
      </c>
      <c r="E765" s="2" t="s">
        <v>33</v>
      </c>
      <c r="F765" s="2" t="str">
        <f>"2170718500 "</f>
        <v xml:space="preserve">2170718500 </v>
      </c>
      <c r="G765" s="2" t="str">
        <f t="shared" si="24"/>
        <v>ON1</v>
      </c>
      <c r="H765" s="2" t="s">
        <v>21</v>
      </c>
      <c r="I765" s="2" t="s">
        <v>34</v>
      </c>
      <c r="J765" s="2" t="str">
        <f>""</f>
        <v/>
      </c>
      <c r="K765" s="2" t="str">
        <f>"PFES1162730421_0001"</f>
        <v>PFES1162730421_0001</v>
      </c>
      <c r="L765" s="2">
        <v>1</v>
      </c>
      <c r="M765" s="2">
        <v>15</v>
      </c>
    </row>
    <row r="766" spans="1:13">
      <c r="A766" s="6">
        <v>43839</v>
      </c>
      <c r="B766" s="7">
        <v>0.52222222222222225</v>
      </c>
      <c r="C766" s="2" t="str">
        <f>"FES1162730463"</f>
        <v>FES1162730463</v>
      </c>
      <c r="D766" s="2" t="s">
        <v>19</v>
      </c>
      <c r="E766" s="2" t="s">
        <v>29</v>
      </c>
      <c r="F766" s="2" t="str">
        <f>"2170722731 "</f>
        <v xml:space="preserve">2170722731 </v>
      </c>
      <c r="G766" s="2" t="str">
        <f t="shared" si="24"/>
        <v>ON1</v>
      </c>
      <c r="H766" s="2" t="s">
        <v>21</v>
      </c>
      <c r="I766" s="2" t="s">
        <v>22</v>
      </c>
      <c r="J766" s="2" t="str">
        <f>""</f>
        <v/>
      </c>
      <c r="K766" s="2" t="str">
        <f>"PFES1162730463_0001"</f>
        <v>PFES1162730463_0001</v>
      </c>
      <c r="L766" s="2">
        <v>1</v>
      </c>
      <c r="M766" s="2">
        <v>1</v>
      </c>
    </row>
    <row r="767" spans="1:13">
      <c r="A767" s="6">
        <v>43839</v>
      </c>
      <c r="B767" s="7">
        <v>0.52152777777777781</v>
      </c>
      <c r="C767" s="2" t="str">
        <f>"FES1162730426"</f>
        <v>FES1162730426</v>
      </c>
      <c r="D767" s="2" t="s">
        <v>19</v>
      </c>
      <c r="E767" s="2" t="s">
        <v>251</v>
      </c>
      <c r="F767" s="2" t="str">
        <f>"2170723006 "</f>
        <v xml:space="preserve">2170723006 </v>
      </c>
      <c r="G767" s="2" t="str">
        <f t="shared" si="24"/>
        <v>ON1</v>
      </c>
      <c r="H767" s="2" t="s">
        <v>21</v>
      </c>
      <c r="I767" s="2" t="s">
        <v>183</v>
      </c>
      <c r="J767" s="2" t="str">
        <f>""</f>
        <v/>
      </c>
      <c r="K767" s="2" t="str">
        <f>"PFES1162730426_0001"</f>
        <v>PFES1162730426_0001</v>
      </c>
      <c r="L767" s="2">
        <v>2</v>
      </c>
      <c r="M767" s="2">
        <v>14</v>
      </c>
    </row>
    <row r="768" spans="1:13">
      <c r="A768" s="6">
        <v>43839</v>
      </c>
      <c r="B768" s="7">
        <v>0.52152777777777781</v>
      </c>
      <c r="C768" s="2" t="str">
        <f>"FES1162730426"</f>
        <v>FES1162730426</v>
      </c>
      <c r="D768" s="2" t="s">
        <v>19</v>
      </c>
      <c r="E768" s="2" t="s">
        <v>251</v>
      </c>
      <c r="F768" s="2" t="str">
        <f>"2170723006 "</f>
        <v xml:space="preserve">2170723006 </v>
      </c>
      <c r="G768" s="2" t="str">
        <f t="shared" si="24"/>
        <v>ON1</v>
      </c>
      <c r="H768" s="2" t="s">
        <v>21</v>
      </c>
      <c r="I768" s="2" t="s">
        <v>183</v>
      </c>
      <c r="J768" s="2"/>
      <c r="K768" s="2" t="str">
        <f>"PFES1162730426_0002"</f>
        <v>PFES1162730426_0002</v>
      </c>
      <c r="L768" s="2">
        <v>2</v>
      </c>
      <c r="M768" s="2">
        <v>14</v>
      </c>
    </row>
    <row r="769" spans="1:13">
      <c r="A769" s="6">
        <v>43839</v>
      </c>
      <c r="B769" s="7">
        <v>0.69166666666666676</v>
      </c>
      <c r="C769" s="2" t="str">
        <f>"FES1162730450"</f>
        <v>FES1162730450</v>
      </c>
      <c r="D769" s="2" t="s">
        <v>19</v>
      </c>
      <c r="E769" s="2" t="s">
        <v>537</v>
      </c>
      <c r="F769" s="2" t="str">
        <f>"21707273077 "</f>
        <v xml:space="preserve">21707273077 </v>
      </c>
      <c r="G769" s="2" t="str">
        <f t="shared" si="24"/>
        <v>ON1</v>
      </c>
      <c r="H769" s="2" t="s">
        <v>21</v>
      </c>
      <c r="I769" s="2" t="s">
        <v>209</v>
      </c>
      <c r="J769" s="2" t="str">
        <f>""</f>
        <v/>
      </c>
      <c r="K769" s="2" t="str">
        <f>"PFES1162730450_0001"</f>
        <v>PFES1162730450_0001</v>
      </c>
      <c r="L769" s="2">
        <v>1</v>
      </c>
      <c r="M769" s="2">
        <v>4</v>
      </c>
    </row>
    <row r="770" spans="1:13">
      <c r="A770" s="6">
        <v>43839</v>
      </c>
      <c r="B770" s="7">
        <v>0.68958333333333333</v>
      </c>
      <c r="C770" s="2" t="str">
        <f>"FES1162730589"</f>
        <v>FES1162730589</v>
      </c>
      <c r="D770" s="2" t="s">
        <v>19</v>
      </c>
      <c r="E770" s="2" t="s">
        <v>216</v>
      </c>
      <c r="F770" s="2" t="str">
        <f>"2170723217 "</f>
        <v xml:space="preserve">2170723217 </v>
      </c>
      <c r="G770" s="2" t="str">
        <f t="shared" si="24"/>
        <v>ON1</v>
      </c>
      <c r="H770" s="2" t="s">
        <v>21</v>
      </c>
      <c r="I770" s="2" t="s">
        <v>217</v>
      </c>
      <c r="J770" s="2" t="str">
        <f>""</f>
        <v/>
      </c>
      <c r="K770" s="2" t="str">
        <f>"PFES1162730589_0001"</f>
        <v>PFES1162730589_0001</v>
      </c>
      <c r="L770" s="2">
        <v>1</v>
      </c>
      <c r="M770" s="2">
        <v>1</v>
      </c>
    </row>
    <row r="771" spans="1:13">
      <c r="A771" s="6">
        <v>43839</v>
      </c>
      <c r="B771" s="7">
        <v>0.68819444444444444</v>
      </c>
      <c r="C771" s="2" t="str">
        <f>"FES1162730586"</f>
        <v>FES1162730586</v>
      </c>
      <c r="D771" s="2" t="s">
        <v>19</v>
      </c>
      <c r="E771" s="2" t="s">
        <v>538</v>
      </c>
      <c r="F771" s="2" t="str">
        <f>"2170723212 "</f>
        <v xml:space="preserve">2170723212 </v>
      </c>
      <c r="G771" s="2" t="str">
        <f t="shared" si="24"/>
        <v>ON1</v>
      </c>
      <c r="H771" s="2" t="s">
        <v>21</v>
      </c>
      <c r="I771" s="2" t="s">
        <v>539</v>
      </c>
      <c r="J771" s="2" t="str">
        <f>""</f>
        <v/>
      </c>
      <c r="K771" s="2" t="str">
        <f>"PFES1162730586_0001"</f>
        <v>PFES1162730586_0001</v>
      </c>
      <c r="L771" s="2">
        <v>1</v>
      </c>
      <c r="M771" s="2">
        <v>1</v>
      </c>
    </row>
    <row r="772" spans="1:13">
      <c r="A772" s="6">
        <v>43839</v>
      </c>
      <c r="B772" s="7">
        <v>0.68541666666666667</v>
      </c>
      <c r="C772" s="2" t="str">
        <f>"FES1162730587"</f>
        <v>FES1162730587</v>
      </c>
      <c r="D772" s="2" t="s">
        <v>19</v>
      </c>
      <c r="E772" s="2" t="s">
        <v>101</v>
      </c>
      <c r="F772" s="2" t="str">
        <f>"2170723214 "</f>
        <v xml:space="preserve">2170723214 </v>
      </c>
      <c r="G772" s="2" t="str">
        <f t="shared" si="24"/>
        <v>ON1</v>
      </c>
      <c r="H772" s="2" t="s">
        <v>21</v>
      </c>
      <c r="I772" s="2" t="s">
        <v>102</v>
      </c>
      <c r="J772" s="2" t="str">
        <f>""</f>
        <v/>
      </c>
      <c r="K772" s="2" t="str">
        <f>"PFES1162730587_0001"</f>
        <v>PFES1162730587_0001</v>
      </c>
      <c r="L772" s="2">
        <v>1</v>
      </c>
      <c r="M772" s="2">
        <v>1</v>
      </c>
    </row>
    <row r="773" spans="1:13">
      <c r="A773" s="6">
        <v>43839</v>
      </c>
      <c r="B773" s="7">
        <v>0.68402777777777779</v>
      </c>
      <c r="C773" s="2" t="str">
        <f>"FES1162730585"</f>
        <v>FES1162730585</v>
      </c>
      <c r="D773" s="2" t="s">
        <v>19</v>
      </c>
      <c r="E773" s="2" t="s">
        <v>54</v>
      </c>
      <c r="F773" s="2" t="str">
        <f>"2170723211 "</f>
        <v xml:space="preserve">2170723211 </v>
      </c>
      <c r="G773" s="2" t="str">
        <f t="shared" si="24"/>
        <v>ON1</v>
      </c>
      <c r="H773" s="2" t="s">
        <v>21</v>
      </c>
      <c r="I773" s="2" t="s">
        <v>31</v>
      </c>
      <c r="J773" s="2" t="str">
        <f>""</f>
        <v/>
      </c>
      <c r="K773" s="2" t="str">
        <f>"PFES1162730585_0001"</f>
        <v>PFES1162730585_0001</v>
      </c>
      <c r="L773" s="2">
        <v>1</v>
      </c>
      <c r="M773" s="2">
        <v>1</v>
      </c>
    </row>
    <row r="774" spans="1:13">
      <c r="A774" s="6">
        <v>43839</v>
      </c>
      <c r="B774" s="7">
        <v>0.52152777777777781</v>
      </c>
      <c r="C774" s="2" t="str">
        <f>"FES1162730485"</f>
        <v>FES1162730485</v>
      </c>
      <c r="D774" s="2" t="s">
        <v>19</v>
      </c>
      <c r="E774" s="2" t="s">
        <v>37</v>
      </c>
      <c r="F774" s="2" t="str">
        <f>"2170723102 "</f>
        <v xml:space="preserve">2170723102 </v>
      </c>
      <c r="G774" s="2" t="str">
        <f t="shared" si="24"/>
        <v>ON1</v>
      </c>
      <c r="H774" s="2" t="s">
        <v>21</v>
      </c>
      <c r="I774" s="2" t="s">
        <v>38</v>
      </c>
      <c r="J774" s="2" t="str">
        <f>""</f>
        <v/>
      </c>
      <c r="K774" s="2" t="str">
        <f>"PFES1162730485_0001"</f>
        <v>PFES1162730485_0001</v>
      </c>
      <c r="L774" s="2">
        <v>1</v>
      </c>
      <c r="M774" s="2">
        <v>2</v>
      </c>
    </row>
    <row r="775" spans="1:13">
      <c r="A775" s="6">
        <v>43839</v>
      </c>
      <c r="B775" s="7">
        <v>0.52083333333333337</v>
      </c>
      <c r="C775" s="2" t="str">
        <f>"FES1162730488"</f>
        <v>FES1162730488</v>
      </c>
      <c r="D775" s="2" t="s">
        <v>19</v>
      </c>
      <c r="E775" s="2" t="s">
        <v>248</v>
      </c>
      <c r="F775" s="2" t="str">
        <f>"2170723106 "</f>
        <v xml:space="preserve">2170723106 </v>
      </c>
      <c r="G775" s="2" t="str">
        <f t="shared" si="24"/>
        <v>ON1</v>
      </c>
      <c r="H775" s="2" t="s">
        <v>21</v>
      </c>
      <c r="I775" s="2" t="s">
        <v>209</v>
      </c>
      <c r="J775" s="2" t="str">
        <f>""</f>
        <v/>
      </c>
      <c r="K775" s="2" t="str">
        <f>"PFES1162730488_0001"</f>
        <v>PFES1162730488_0001</v>
      </c>
      <c r="L775" s="2">
        <v>1</v>
      </c>
      <c r="M775" s="2">
        <v>1</v>
      </c>
    </row>
    <row r="776" spans="1:13">
      <c r="A776" s="6">
        <v>43839</v>
      </c>
      <c r="B776" s="7">
        <v>0.52083333333333337</v>
      </c>
      <c r="C776" s="2" t="str">
        <f>"FES1162730159"</f>
        <v>FES1162730159</v>
      </c>
      <c r="D776" s="2" t="s">
        <v>19</v>
      </c>
      <c r="E776" s="2" t="s">
        <v>352</v>
      </c>
      <c r="F776" s="2" t="str">
        <f>"2170721136 "</f>
        <v xml:space="preserve">2170721136 </v>
      </c>
      <c r="G776" s="2" t="str">
        <f t="shared" si="24"/>
        <v>ON1</v>
      </c>
      <c r="H776" s="2" t="s">
        <v>21</v>
      </c>
      <c r="I776" s="2" t="s">
        <v>114</v>
      </c>
      <c r="J776" s="2" t="str">
        <f>""</f>
        <v/>
      </c>
      <c r="K776" s="2" t="str">
        <f>"PFES1162730159_0001"</f>
        <v>PFES1162730159_0001</v>
      </c>
      <c r="L776" s="2">
        <v>2</v>
      </c>
      <c r="M776" s="2">
        <v>5</v>
      </c>
    </row>
    <row r="777" spans="1:13">
      <c r="A777" s="6">
        <v>43839</v>
      </c>
      <c r="B777" s="7">
        <v>0.52083333333333337</v>
      </c>
      <c r="C777" s="2" t="str">
        <f>"FES1162730159"</f>
        <v>FES1162730159</v>
      </c>
      <c r="D777" s="2" t="s">
        <v>19</v>
      </c>
      <c r="E777" s="2" t="s">
        <v>352</v>
      </c>
      <c r="F777" s="2" t="str">
        <f>"2170721136 "</f>
        <v xml:space="preserve">2170721136 </v>
      </c>
      <c r="G777" s="2" t="str">
        <f t="shared" si="24"/>
        <v>ON1</v>
      </c>
      <c r="H777" s="2" t="s">
        <v>21</v>
      </c>
      <c r="I777" s="2" t="s">
        <v>114</v>
      </c>
      <c r="J777" s="2"/>
      <c r="K777" s="2" t="str">
        <f>"PFES1162730159_0002"</f>
        <v>PFES1162730159_0002</v>
      </c>
      <c r="L777" s="2">
        <v>2</v>
      </c>
      <c r="M777" s="2">
        <v>5</v>
      </c>
    </row>
    <row r="778" spans="1:13">
      <c r="A778" s="6">
        <v>43839</v>
      </c>
      <c r="B778" s="7">
        <v>0.52083333333333337</v>
      </c>
      <c r="C778" s="2" t="str">
        <f>"FES1162730469"</f>
        <v>FES1162730469</v>
      </c>
      <c r="D778" s="2" t="s">
        <v>19</v>
      </c>
      <c r="E778" s="2" t="s">
        <v>410</v>
      </c>
      <c r="F778" s="2" t="str">
        <f>"2170723088 "</f>
        <v xml:space="preserve">2170723088 </v>
      </c>
      <c r="G778" s="2" t="str">
        <f t="shared" si="24"/>
        <v>ON1</v>
      </c>
      <c r="H778" s="2" t="s">
        <v>21</v>
      </c>
      <c r="I778" s="2" t="s">
        <v>146</v>
      </c>
      <c r="J778" s="2" t="str">
        <f>""</f>
        <v/>
      </c>
      <c r="K778" s="2" t="str">
        <f>"PFES1162730469_0001"</f>
        <v>PFES1162730469_0001</v>
      </c>
      <c r="L778" s="2">
        <v>1</v>
      </c>
      <c r="M778" s="2">
        <v>5</v>
      </c>
    </row>
    <row r="779" spans="1:13">
      <c r="A779" s="6">
        <v>43839</v>
      </c>
      <c r="B779" s="7">
        <v>0.52013888888888882</v>
      </c>
      <c r="C779" s="2" t="str">
        <f>"FES1162730510"</f>
        <v>FES1162730510</v>
      </c>
      <c r="D779" s="2" t="s">
        <v>19</v>
      </c>
      <c r="E779" s="2" t="s">
        <v>450</v>
      </c>
      <c r="F779" s="2" t="str">
        <f>"2170723129 "</f>
        <v xml:space="preserve">2170723129 </v>
      </c>
      <c r="G779" s="2" t="str">
        <f t="shared" si="24"/>
        <v>ON1</v>
      </c>
      <c r="H779" s="2" t="s">
        <v>21</v>
      </c>
      <c r="I779" s="2" t="s">
        <v>451</v>
      </c>
      <c r="J779" s="2" t="str">
        <f>""</f>
        <v/>
      </c>
      <c r="K779" s="2" t="str">
        <f>"PFES1162730510_0001"</f>
        <v>PFES1162730510_0001</v>
      </c>
      <c r="L779" s="2">
        <v>1</v>
      </c>
      <c r="M779" s="2">
        <v>16</v>
      </c>
    </row>
    <row r="780" spans="1:13">
      <c r="A780" s="6">
        <v>43839</v>
      </c>
      <c r="B780" s="7">
        <v>0.52013888888888882</v>
      </c>
      <c r="C780" s="2" t="str">
        <f>"FES1162730436"</f>
        <v>FES1162730436</v>
      </c>
      <c r="D780" s="2" t="s">
        <v>19</v>
      </c>
      <c r="E780" s="2" t="s">
        <v>540</v>
      </c>
      <c r="F780" s="2" t="str">
        <f>"2170723061 "</f>
        <v xml:space="preserve">2170723061 </v>
      </c>
      <c r="G780" s="2" t="str">
        <f t="shared" si="24"/>
        <v>ON1</v>
      </c>
      <c r="H780" s="2" t="s">
        <v>21</v>
      </c>
      <c r="I780" s="2" t="s">
        <v>403</v>
      </c>
      <c r="J780" s="2" t="str">
        <f>""</f>
        <v/>
      </c>
      <c r="K780" s="2" t="str">
        <f>"PFES1162730436_0001"</f>
        <v>PFES1162730436_0001</v>
      </c>
      <c r="L780" s="2">
        <v>1</v>
      </c>
      <c r="M780" s="2">
        <v>1</v>
      </c>
    </row>
    <row r="781" spans="1:13">
      <c r="A781" s="6">
        <v>43839</v>
      </c>
      <c r="B781" s="7">
        <v>0.52013888888888882</v>
      </c>
      <c r="C781" s="2" t="str">
        <f>"FES1162730357"</f>
        <v>FES1162730357</v>
      </c>
      <c r="D781" s="2" t="s">
        <v>19</v>
      </c>
      <c r="E781" s="2" t="s">
        <v>147</v>
      </c>
      <c r="F781" s="2" t="str">
        <f>"2170720135 "</f>
        <v xml:space="preserve">2170720135 </v>
      </c>
      <c r="G781" s="2" t="str">
        <f t="shared" si="24"/>
        <v>ON1</v>
      </c>
      <c r="H781" s="2" t="s">
        <v>21</v>
      </c>
      <c r="I781" s="2" t="s">
        <v>148</v>
      </c>
      <c r="J781" s="2" t="str">
        <f>""</f>
        <v/>
      </c>
      <c r="K781" s="2" t="str">
        <f>"PFES1162730357_0001"</f>
        <v>PFES1162730357_0001</v>
      </c>
      <c r="L781" s="2">
        <v>1</v>
      </c>
      <c r="M781" s="2">
        <v>10</v>
      </c>
    </row>
    <row r="782" spans="1:13">
      <c r="A782" s="6">
        <v>43839</v>
      </c>
      <c r="B782" s="7">
        <v>0.52013888888888882</v>
      </c>
      <c r="C782" s="2" t="str">
        <f>"FES1162730506"</f>
        <v>FES1162730506</v>
      </c>
      <c r="D782" s="2" t="s">
        <v>19</v>
      </c>
      <c r="E782" s="2" t="s">
        <v>450</v>
      </c>
      <c r="F782" s="2" t="str">
        <f>"2170723126 "</f>
        <v xml:space="preserve">2170723126 </v>
      </c>
      <c r="G782" s="2" t="str">
        <f t="shared" si="24"/>
        <v>ON1</v>
      </c>
      <c r="H782" s="2" t="s">
        <v>21</v>
      </c>
      <c r="I782" s="2" t="s">
        <v>451</v>
      </c>
      <c r="J782" s="2" t="str">
        <f>""</f>
        <v/>
      </c>
      <c r="K782" s="2" t="str">
        <f>"PFES1162730506_0001"</f>
        <v>PFES1162730506_0001</v>
      </c>
      <c r="L782" s="2">
        <v>1</v>
      </c>
      <c r="M782" s="2">
        <v>15</v>
      </c>
    </row>
    <row r="783" spans="1:13">
      <c r="A783" s="6">
        <v>43839</v>
      </c>
      <c r="B783" s="7">
        <v>0.51944444444444449</v>
      </c>
      <c r="C783" s="2" t="str">
        <f>"FES1162730420"</f>
        <v>FES1162730420</v>
      </c>
      <c r="D783" s="2" t="s">
        <v>19</v>
      </c>
      <c r="E783" s="2" t="s">
        <v>151</v>
      </c>
      <c r="F783" s="2" t="str">
        <f>"2170712859 "</f>
        <v xml:space="preserve">2170712859 </v>
      </c>
      <c r="G783" s="2" t="str">
        <f t="shared" si="24"/>
        <v>ON1</v>
      </c>
      <c r="H783" s="2" t="s">
        <v>21</v>
      </c>
      <c r="I783" s="2" t="s">
        <v>152</v>
      </c>
      <c r="J783" s="2" t="str">
        <f>""</f>
        <v/>
      </c>
      <c r="K783" s="2" t="str">
        <f>"PFES1162730420_0001"</f>
        <v>PFES1162730420_0001</v>
      </c>
      <c r="L783" s="2">
        <v>1</v>
      </c>
      <c r="M783" s="2">
        <v>9</v>
      </c>
    </row>
    <row r="784" spans="1:13">
      <c r="A784" s="6">
        <v>43839</v>
      </c>
      <c r="B784" s="7">
        <v>0.51944444444444449</v>
      </c>
      <c r="C784" s="2" t="str">
        <f>"FES1162730461"</f>
        <v>FES1162730461</v>
      </c>
      <c r="D784" s="2" t="s">
        <v>19</v>
      </c>
      <c r="E784" s="2" t="s">
        <v>153</v>
      </c>
      <c r="F784" s="2" t="str">
        <f>"2170722530 "</f>
        <v xml:space="preserve">2170722530 </v>
      </c>
      <c r="G784" s="2" t="str">
        <f t="shared" si="24"/>
        <v>ON1</v>
      </c>
      <c r="H784" s="2" t="s">
        <v>21</v>
      </c>
      <c r="I784" s="2" t="s">
        <v>146</v>
      </c>
      <c r="J784" s="2" t="str">
        <f>""</f>
        <v/>
      </c>
      <c r="K784" s="2" t="str">
        <f>"PFES1162730461_0001"</f>
        <v>PFES1162730461_0001</v>
      </c>
      <c r="L784" s="2">
        <v>1</v>
      </c>
      <c r="M784" s="2">
        <v>1</v>
      </c>
    </row>
    <row r="785" spans="1:13">
      <c r="A785" s="6">
        <v>43839</v>
      </c>
      <c r="B785" s="7">
        <v>0.51944444444444449</v>
      </c>
      <c r="C785" s="2" t="str">
        <f>"FES1162730465"</f>
        <v>FES1162730465</v>
      </c>
      <c r="D785" s="2" t="s">
        <v>19</v>
      </c>
      <c r="E785" s="2" t="s">
        <v>126</v>
      </c>
      <c r="F785" s="2" t="str">
        <f>"2170722878 "</f>
        <v xml:space="preserve">2170722878 </v>
      </c>
      <c r="G785" s="2" t="str">
        <f t="shared" si="24"/>
        <v>ON1</v>
      </c>
      <c r="H785" s="2" t="s">
        <v>21</v>
      </c>
      <c r="I785" s="2" t="s">
        <v>127</v>
      </c>
      <c r="J785" s="2" t="str">
        <f>""</f>
        <v/>
      </c>
      <c r="K785" s="2" t="str">
        <f>"PFES1162730465_0001"</f>
        <v>PFES1162730465_0001</v>
      </c>
      <c r="L785" s="2">
        <v>1</v>
      </c>
      <c r="M785" s="2">
        <v>2</v>
      </c>
    </row>
    <row r="786" spans="1:13">
      <c r="A786" s="6">
        <v>43839</v>
      </c>
      <c r="B786" s="7">
        <v>0.51874999999999993</v>
      </c>
      <c r="C786" s="2" t="str">
        <f>"FES1162730447"</f>
        <v>FES1162730447</v>
      </c>
      <c r="D786" s="2" t="s">
        <v>19</v>
      </c>
      <c r="E786" s="2" t="s">
        <v>532</v>
      </c>
      <c r="F786" s="2" t="str">
        <f>"2170723069 "</f>
        <v xml:space="preserve">2170723069 </v>
      </c>
      <c r="G786" s="2" t="str">
        <f t="shared" si="24"/>
        <v>ON1</v>
      </c>
      <c r="H786" s="2" t="s">
        <v>21</v>
      </c>
      <c r="I786" s="2" t="s">
        <v>533</v>
      </c>
      <c r="J786" s="2" t="str">
        <f>""</f>
        <v/>
      </c>
      <c r="K786" s="2" t="str">
        <f>"PFES1162730447_0001"</f>
        <v>PFES1162730447_0001</v>
      </c>
      <c r="L786" s="2">
        <v>1</v>
      </c>
      <c r="M786" s="2">
        <v>2</v>
      </c>
    </row>
    <row r="787" spans="1:13">
      <c r="A787" s="6">
        <v>43839</v>
      </c>
      <c r="B787" s="7">
        <v>0.51874999999999993</v>
      </c>
      <c r="C787" s="2" t="str">
        <f>"FES1162730448"</f>
        <v>FES1162730448</v>
      </c>
      <c r="D787" s="2" t="s">
        <v>19</v>
      </c>
      <c r="E787" s="2" t="s">
        <v>532</v>
      </c>
      <c r="F787" s="2" t="str">
        <f>"2170723070 "</f>
        <v xml:space="preserve">2170723070 </v>
      </c>
      <c r="G787" s="2" t="str">
        <f t="shared" si="24"/>
        <v>ON1</v>
      </c>
      <c r="H787" s="2" t="s">
        <v>21</v>
      </c>
      <c r="I787" s="2" t="s">
        <v>533</v>
      </c>
      <c r="J787" s="2" t="str">
        <f>""</f>
        <v/>
      </c>
      <c r="K787" s="2" t="str">
        <f>"PFES1162730448_0001"</f>
        <v>PFES1162730448_0001</v>
      </c>
      <c r="L787" s="2">
        <v>1</v>
      </c>
      <c r="M787" s="2">
        <v>5</v>
      </c>
    </row>
    <row r="788" spans="1:13">
      <c r="A788" s="6">
        <v>43839</v>
      </c>
      <c r="B788" s="7">
        <v>0.51874999999999993</v>
      </c>
      <c r="C788" s="2" t="str">
        <f>"FES1162730458"</f>
        <v>FES1162730458</v>
      </c>
      <c r="D788" s="2" t="s">
        <v>19</v>
      </c>
      <c r="E788" s="2" t="s">
        <v>261</v>
      </c>
      <c r="F788" s="2" t="str">
        <f>"2170721374 "</f>
        <v xml:space="preserve">2170721374 </v>
      </c>
      <c r="G788" s="2" t="str">
        <f t="shared" si="24"/>
        <v>ON1</v>
      </c>
      <c r="H788" s="2" t="s">
        <v>21</v>
      </c>
      <c r="I788" s="2" t="s">
        <v>152</v>
      </c>
      <c r="J788" s="2" t="str">
        <f>""</f>
        <v/>
      </c>
      <c r="K788" s="2" t="str">
        <f>"PFES1162730458_0001"</f>
        <v>PFES1162730458_0001</v>
      </c>
      <c r="L788" s="2">
        <v>1</v>
      </c>
      <c r="M788" s="2">
        <v>1</v>
      </c>
    </row>
    <row r="789" spans="1:13">
      <c r="A789" s="6">
        <v>43839</v>
      </c>
      <c r="B789" s="7">
        <v>0.5180555555555556</v>
      </c>
      <c r="C789" s="2" t="str">
        <f>"FES1162730489"</f>
        <v>FES1162730489</v>
      </c>
      <c r="D789" s="2" t="s">
        <v>19</v>
      </c>
      <c r="E789" s="2" t="s">
        <v>363</v>
      </c>
      <c r="F789" s="2" t="str">
        <f>"2170723107 "</f>
        <v xml:space="preserve">2170723107 </v>
      </c>
      <c r="G789" s="2" t="str">
        <f t="shared" si="24"/>
        <v>ON1</v>
      </c>
      <c r="H789" s="2" t="s">
        <v>21</v>
      </c>
      <c r="I789" s="2" t="s">
        <v>364</v>
      </c>
      <c r="J789" s="2" t="str">
        <f>""</f>
        <v/>
      </c>
      <c r="K789" s="2" t="str">
        <f>"PFES1162730489_0001"</f>
        <v>PFES1162730489_0001</v>
      </c>
      <c r="L789" s="2">
        <v>1</v>
      </c>
      <c r="M789" s="2">
        <v>4</v>
      </c>
    </row>
    <row r="790" spans="1:13">
      <c r="A790" s="6">
        <v>43839</v>
      </c>
      <c r="B790" s="7">
        <v>0.5180555555555556</v>
      </c>
      <c r="C790" s="2" t="str">
        <f>"FES1162730434"</f>
        <v>FES1162730434</v>
      </c>
      <c r="D790" s="2" t="s">
        <v>19</v>
      </c>
      <c r="E790" s="2" t="s">
        <v>289</v>
      </c>
      <c r="F790" s="2" t="str">
        <f>"2170723054 "</f>
        <v xml:space="preserve">2170723054 </v>
      </c>
      <c r="G790" s="2" t="str">
        <f t="shared" si="24"/>
        <v>ON1</v>
      </c>
      <c r="H790" s="2" t="s">
        <v>21</v>
      </c>
      <c r="I790" s="2" t="s">
        <v>233</v>
      </c>
      <c r="J790" s="2" t="str">
        <f>""</f>
        <v/>
      </c>
      <c r="K790" s="2" t="str">
        <f>"PFES1162730434_0001"</f>
        <v>PFES1162730434_0001</v>
      </c>
      <c r="L790" s="2">
        <v>1</v>
      </c>
      <c r="M790" s="2">
        <v>3</v>
      </c>
    </row>
    <row r="791" spans="1:13">
      <c r="A791" s="6">
        <v>43839</v>
      </c>
      <c r="B791" s="7">
        <v>0.5180555555555556</v>
      </c>
      <c r="C791" s="2" t="str">
        <f>"FES1162730231"</f>
        <v>FES1162730231</v>
      </c>
      <c r="D791" s="2" t="s">
        <v>19</v>
      </c>
      <c r="E791" s="2" t="s">
        <v>474</v>
      </c>
      <c r="F791" s="2" t="str">
        <f>"2170721465 "</f>
        <v xml:space="preserve">2170721465 </v>
      </c>
      <c r="G791" s="2" t="str">
        <f t="shared" si="24"/>
        <v>ON1</v>
      </c>
      <c r="H791" s="2" t="s">
        <v>21</v>
      </c>
      <c r="I791" s="2" t="s">
        <v>85</v>
      </c>
      <c r="J791" s="2" t="str">
        <f>""</f>
        <v/>
      </c>
      <c r="K791" s="2" t="str">
        <f>"PFES1162730231_0001"</f>
        <v>PFES1162730231_0001</v>
      </c>
      <c r="L791" s="2">
        <v>1</v>
      </c>
      <c r="M791" s="2">
        <v>1</v>
      </c>
    </row>
    <row r="792" spans="1:13">
      <c r="A792" s="6">
        <v>43839</v>
      </c>
      <c r="B792" s="7">
        <v>0.51736111111111105</v>
      </c>
      <c r="C792" s="2" t="str">
        <f>"FES1162730276"</f>
        <v>FES1162730276</v>
      </c>
      <c r="D792" s="2" t="s">
        <v>19</v>
      </c>
      <c r="E792" s="2" t="s">
        <v>541</v>
      </c>
      <c r="F792" s="2" t="str">
        <f>"2170721132 "</f>
        <v xml:space="preserve">2170721132 </v>
      </c>
      <c r="G792" s="2" t="str">
        <f t="shared" si="24"/>
        <v>ON1</v>
      </c>
      <c r="H792" s="2" t="s">
        <v>21</v>
      </c>
      <c r="I792" s="2" t="s">
        <v>357</v>
      </c>
      <c r="J792" s="2" t="str">
        <f>""</f>
        <v/>
      </c>
      <c r="K792" s="2" t="str">
        <f>"PFES1162730276_0001"</f>
        <v>PFES1162730276_0001</v>
      </c>
      <c r="L792" s="2">
        <v>1</v>
      </c>
      <c r="M792" s="2">
        <v>2</v>
      </c>
    </row>
    <row r="793" spans="1:13">
      <c r="A793" s="6">
        <v>43839</v>
      </c>
      <c r="B793" s="7">
        <v>0.51736111111111105</v>
      </c>
      <c r="C793" s="2" t="str">
        <f>"FES1162730512"</f>
        <v>FES1162730512</v>
      </c>
      <c r="D793" s="2" t="s">
        <v>19</v>
      </c>
      <c r="E793" s="2" t="s">
        <v>465</v>
      </c>
      <c r="F793" s="2" t="str">
        <f>"2170723131 "</f>
        <v xml:space="preserve">2170723131 </v>
      </c>
      <c r="G793" s="2" t="str">
        <f t="shared" si="24"/>
        <v>ON1</v>
      </c>
      <c r="H793" s="2" t="s">
        <v>21</v>
      </c>
      <c r="I793" s="2" t="s">
        <v>466</v>
      </c>
      <c r="J793" s="2" t="str">
        <f>""</f>
        <v/>
      </c>
      <c r="K793" s="2" t="str">
        <f>"PFES1162730512_0001"</f>
        <v>PFES1162730512_0001</v>
      </c>
      <c r="L793" s="2">
        <v>1</v>
      </c>
      <c r="M793" s="2">
        <v>1</v>
      </c>
    </row>
    <row r="794" spans="1:13">
      <c r="A794" s="6">
        <v>43839</v>
      </c>
      <c r="B794" s="7">
        <v>0.51736111111111105</v>
      </c>
      <c r="C794" s="2" t="str">
        <f>"FES1162730270"</f>
        <v>FES1162730270</v>
      </c>
      <c r="D794" s="2" t="s">
        <v>19</v>
      </c>
      <c r="E794" s="2" t="s">
        <v>242</v>
      </c>
      <c r="F794" s="2" t="str">
        <f>"2170721043 "</f>
        <v xml:space="preserve">2170721043 </v>
      </c>
      <c r="G794" s="2" t="str">
        <f t="shared" si="24"/>
        <v>ON1</v>
      </c>
      <c r="H794" s="2" t="s">
        <v>21</v>
      </c>
      <c r="I794" s="2" t="s">
        <v>85</v>
      </c>
      <c r="J794" s="2" t="str">
        <f>""</f>
        <v/>
      </c>
      <c r="K794" s="2" t="str">
        <f>"PFES1162730270_0001"</f>
        <v>PFES1162730270_0001</v>
      </c>
      <c r="L794" s="2">
        <v>1</v>
      </c>
      <c r="M794" s="2">
        <v>4</v>
      </c>
    </row>
    <row r="795" spans="1:13">
      <c r="A795" s="6">
        <v>43839</v>
      </c>
      <c r="B795" s="7">
        <v>0.51666666666666672</v>
      </c>
      <c r="C795" s="2" t="str">
        <f>"FES1162730497"</f>
        <v>FES1162730497</v>
      </c>
      <c r="D795" s="2" t="s">
        <v>19</v>
      </c>
      <c r="E795" s="2" t="s">
        <v>222</v>
      </c>
      <c r="F795" s="2" t="str">
        <f>"2170723116 "</f>
        <v xml:space="preserve">2170723116 </v>
      </c>
      <c r="G795" s="2" t="str">
        <f t="shared" si="24"/>
        <v>ON1</v>
      </c>
      <c r="H795" s="2" t="s">
        <v>21</v>
      </c>
      <c r="I795" s="2" t="s">
        <v>28</v>
      </c>
      <c r="J795" s="2" t="str">
        <f>""</f>
        <v/>
      </c>
      <c r="K795" s="2" t="str">
        <f>"PFES1162730497_0001"</f>
        <v>PFES1162730497_0001</v>
      </c>
      <c r="L795" s="2">
        <v>1</v>
      </c>
      <c r="M795" s="2">
        <v>1</v>
      </c>
    </row>
    <row r="796" spans="1:13">
      <c r="A796" s="6">
        <v>43839</v>
      </c>
      <c r="B796" s="7">
        <v>0.51666666666666672</v>
      </c>
      <c r="C796" s="2" t="str">
        <f>"FES1162730386"</f>
        <v>FES1162730386</v>
      </c>
      <c r="D796" s="2" t="s">
        <v>19</v>
      </c>
      <c r="E796" s="2" t="s">
        <v>289</v>
      </c>
      <c r="F796" s="2" t="str">
        <f>"2170723000 "</f>
        <v xml:space="preserve">2170723000 </v>
      </c>
      <c r="G796" s="2" t="str">
        <f t="shared" si="24"/>
        <v>ON1</v>
      </c>
      <c r="H796" s="2" t="s">
        <v>21</v>
      </c>
      <c r="I796" s="2" t="s">
        <v>233</v>
      </c>
      <c r="J796" s="2" t="str">
        <f>""</f>
        <v/>
      </c>
      <c r="K796" s="2" t="str">
        <f>"PFES1162730386_0001"</f>
        <v>PFES1162730386_0001</v>
      </c>
      <c r="L796" s="2">
        <v>1</v>
      </c>
      <c r="M796" s="2">
        <v>6</v>
      </c>
    </row>
    <row r="797" spans="1:13">
      <c r="A797" s="6">
        <v>43839</v>
      </c>
      <c r="B797" s="7">
        <v>0.51597222222222217</v>
      </c>
      <c r="C797" s="2" t="str">
        <f>"FES1162730190"</f>
        <v>FES1162730190</v>
      </c>
      <c r="D797" s="2" t="s">
        <v>19</v>
      </c>
      <c r="E797" s="2" t="s">
        <v>354</v>
      </c>
      <c r="F797" s="2" t="str">
        <f>"2170721779 "</f>
        <v xml:space="preserve">2170721779 </v>
      </c>
      <c r="G797" s="2" t="str">
        <f t="shared" si="24"/>
        <v>ON1</v>
      </c>
      <c r="H797" s="2" t="s">
        <v>21</v>
      </c>
      <c r="I797" s="2" t="s">
        <v>355</v>
      </c>
      <c r="J797" s="2" t="str">
        <f>""</f>
        <v/>
      </c>
      <c r="K797" s="2" t="str">
        <f>"PFES1162730190_0001"</f>
        <v>PFES1162730190_0001</v>
      </c>
      <c r="L797" s="2">
        <v>1</v>
      </c>
      <c r="M797" s="2">
        <v>4</v>
      </c>
    </row>
    <row r="798" spans="1:13">
      <c r="A798" s="6">
        <v>43839</v>
      </c>
      <c r="B798" s="7">
        <v>0.51597222222222217</v>
      </c>
      <c r="C798" s="2" t="str">
        <f>"FES1162730498"</f>
        <v>FES1162730498</v>
      </c>
      <c r="D798" s="2" t="s">
        <v>19</v>
      </c>
      <c r="E798" s="2" t="s">
        <v>180</v>
      </c>
      <c r="F798" s="2" t="str">
        <f>"2170723117 "</f>
        <v xml:space="preserve">2170723117 </v>
      </c>
      <c r="G798" s="2" t="str">
        <f t="shared" si="24"/>
        <v>ON1</v>
      </c>
      <c r="H798" s="2" t="s">
        <v>21</v>
      </c>
      <c r="I798" s="2" t="s">
        <v>28</v>
      </c>
      <c r="J798" s="2" t="str">
        <f>""</f>
        <v/>
      </c>
      <c r="K798" s="2" t="str">
        <f>"PFES1162730498_0001"</f>
        <v>PFES1162730498_0001</v>
      </c>
      <c r="L798" s="2">
        <v>1</v>
      </c>
      <c r="M798" s="2">
        <v>1</v>
      </c>
    </row>
    <row r="799" spans="1:13">
      <c r="A799" s="6">
        <v>43839</v>
      </c>
      <c r="B799" s="7">
        <v>0.51527777777777783</v>
      </c>
      <c r="C799" s="2" t="str">
        <f>"FES1162730417"</f>
        <v>FES1162730417</v>
      </c>
      <c r="D799" s="2" t="s">
        <v>19</v>
      </c>
      <c r="E799" s="2" t="s">
        <v>542</v>
      </c>
      <c r="F799" s="2" t="str">
        <f>"2170723036 "</f>
        <v xml:space="preserve">2170723036 </v>
      </c>
      <c r="G799" s="2" t="str">
        <f t="shared" si="24"/>
        <v>ON1</v>
      </c>
      <c r="H799" s="2" t="s">
        <v>21</v>
      </c>
      <c r="I799" s="2" t="s">
        <v>543</v>
      </c>
      <c r="J799" s="2" t="str">
        <f>""</f>
        <v/>
      </c>
      <c r="K799" s="2" t="str">
        <f>"PFES1162730417_0001"</f>
        <v>PFES1162730417_0001</v>
      </c>
      <c r="L799" s="2">
        <v>1</v>
      </c>
      <c r="M799" s="2">
        <v>3</v>
      </c>
    </row>
    <row r="800" spans="1:13">
      <c r="A800" s="6">
        <v>43839</v>
      </c>
      <c r="B800" s="7">
        <v>0.5131944444444444</v>
      </c>
      <c r="C800" s="2" t="str">
        <f>"FES1162730508"</f>
        <v>FES1162730508</v>
      </c>
      <c r="D800" s="2" t="s">
        <v>19</v>
      </c>
      <c r="E800" s="2" t="s">
        <v>314</v>
      </c>
      <c r="F800" s="2" t="str">
        <f>"2170723127 "</f>
        <v xml:space="preserve">2170723127 </v>
      </c>
      <c r="G800" s="2" t="str">
        <f t="shared" si="24"/>
        <v>ON1</v>
      </c>
      <c r="H800" s="2" t="s">
        <v>21</v>
      </c>
      <c r="I800" s="2" t="s">
        <v>315</v>
      </c>
      <c r="J800" s="2" t="str">
        <f>""</f>
        <v/>
      </c>
      <c r="K800" s="2" t="str">
        <f>"PFES1162730508_0001"</f>
        <v>PFES1162730508_0001</v>
      </c>
      <c r="L800" s="2">
        <v>1</v>
      </c>
      <c r="M800" s="2">
        <v>1</v>
      </c>
    </row>
    <row r="801" spans="1:13">
      <c r="A801" s="6">
        <v>43839</v>
      </c>
      <c r="B801" s="7">
        <v>0.43611111111111112</v>
      </c>
      <c r="C801" s="2" t="str">
        <f>"009935712065"</f>
        <v>009935712065</v>
      </c>
      <c r="D801" s="2" t="s">
        <v>19</v>
      </c>
      <c r="E801" s="2" t="s">
        <v>293</v>
      </c>
      <c r="F801" s="2" t="str">
        <f>"1162729131 "</f>
        <v xml:space="preserve">1162729131 </v>
      </c>
      <c r="G801" s="2" t="str">
        <f t="shared" si="24"/>
        <v>ON1</v>
      </c>
      <c r="H801" s="2" t="s">
        <v>21</v>
      </c>
      <c r="I801" s="2" t="s">
        <v>294</v>
      </c>
      <c r="J801" s="2" t="str">
        <f t="shared" ref="J801:J816" si="25">"RESEND"</f>
        <v>RESEND</v>
      </c>
      <c r="K801" s="2" t="str">
        <f>"P009935712065_0001"</f>
        <v>P009935712065_0001</v>
      </c>
      <c r="L801" s="2">
        <v>1</v>
      </c>
      <c r="M801" s="2">
        <v>1</v>
      </c>
    </row>
    <row r="802" spans="1:13">
      <c r="A802" s="6">
        <v>43839</v>
      </c>
      <c r="B802" s="7">
        <v>0.43541666666666662</v>
      </c>
      <c r="C802" s="2" t="str">
        <f>"009935712064"</f>
        <v>009935712064</v>
      </c>
      <c r="D802" s="2" t="s">
        <v>19</v>
      </c>
      <c r="E802" s="2" t="s">
        <v>293</v>
      </c>
      <c r="F802" s="2" t="str">
        <f>"1162729118 "</f>
        <v xml:space="preserve">1162729118 </v>
      </c>
      <c r="G802" s="2" t="str">
        <f t="shared" si="24"/>
        <v>ON1</v>
      </c>
      <c r="H802" s="2" t="s">
        <v>21</v>
      </c>
      <c r="I802" s="2" t="s">
        <v>294</v>
      </c>
      <c r="J802" s="2" t="str">
        <f t="shared" si="25"/>
        <v>RESEND</v>
      </c>
      <c r="K802" s="2" t="str">
        <f>"P009935712064_0001"</f>
        <v>P009935712064_0001</v>
      </c>
      <c r="L802" s="2">
        <v>1</v>
      </c>
      <c r="M802" s="2">
        <v>1</v>
      </c>
    </row>
    <row r="803" spans="1:13">
      <c r="A803" s="6">
        <v>43839</v>
      </c>
      <c r="B803" s="7">
        <v>0.43472222222222223</v>
      </c>
      <c r="C803" s="2" t="str">
        <f>"009935712063"</f>
        <v>009935712063</v>
      </c>
      <c r="D803" s="2" t="s">
        <v>19</v>
      </c>
      <c r="E803" s="2" t="s">
        <v>199</v>
      </c>
      <c r="F803" s="2" t="str">
        <f>"1162729352 "</f>
        <v xml:space="preserve">1162729352 </v>
      </c>
      <c r="G803" s="2" t="str">
        <f t="shared" si="24"/>
        <v>ON1</v>
      </c>
      <c r="H803" s="2" t="s">
        <v>21</v>
      </c>
      <c r="I803" s="2" t="s">
        <v>200</v>
      </c>
      <c r="J803" s="2" t="str">
        <f t="shared" si="25"/>
        <v>RESEND</v>
      </c>
      <c r="K803" s="2" t="str">
        <f>"P009935712063_0001"</f>
        <v>P009935712063_0001</v>
      </c>
      <c r="L803" s="2">
        <v>1</v>
      </c>
      <c r="M803" s="2">
        <v>1</v>
      </c>
    </row>
    <row r="804" spans="1:13">
      <c r="A804" s="6">
        <v>43839</v>
      </c>
      <c r="B804" s="7">
        <v>0.43472222222222223</v>
      </c>
      <c r="C804" s="2" t="str">
        <f>"009935712062"</f>
        <v>009935712062</v>
      </c>
      <c r="D804" s="2" t="s">
        <v>19</v>
      </c>
      <c r="E804" s="2" t="s">
        <v>544</v>
      </c>
      <c r="F804" s="2" t="str">
        <f>"1162728511 "</f>
        <v xml:space="preserve">1162728511 </v>
      </c>
      <c r="G804" s="2" t="str">
        <f t="shared" si="24"/>
        <v>ON1</v>
      </c>
      <c r="H804" s="2" t="s">
        <v>21</v>
      </c>
      <c r="I804" s="2" t="s">
        <v>545</v>
      </c>
      <c r="J804" s="2" t="str">
        <f t="shared" si="25"/>
        <v>RESEND</v>
      </c>
      <c r="K804" s="2" t="str">
        <f>"P009935712062_0001"</f>
        <v>P009935712062_0001</v>
      </c>
      <c r="L804" s="2">
        <v>1</v>
      </c>
      <c r="M804" s="2">
        <v>1</v>
      </c>
    </row>
    <row r="805" spans="1:13">
      <c r="A805" s="6">
        <v>43839</v>
      </c>
      <c r="B805" s="7">
        <v>0.43402777777777773</v>
      </c>
      <c r="C805" s="2" t="str">
        <f>"009935712061"</f>
        <v>009935712061</v>
      </c>
      <c r="D805" s="2" t="s">
        <v>19</v>
      </c>
      <c r="E805" s="2" t="s">
        <v>546</v>
      </c>
      <c r="F805" s="2" t="str">
        <f>"1162729062 "</f>
        <v xml:space="preserve">1162729062 </v>
      </c>
      <c r="G805" s="2" t="str">
        <f t="shared" si="24"/>
        <v>ON1</v>
      </c>
      <c r="H805" s="2" t="s">
        <v>21</v>
      </c>
      <c r="I805" s="2" t="s">
        <v>389</v>
      </c>
      <c r="J805" s="2" t="str">
        <f t="shared" si="25"/>
        <v>RESEND</v>
      </c>
      <c r="K805" s="2" t="str">
        <f>"P009935712061_0001"</f>
        <v>P009935712061_0001</v>
      </c>
      <c r="L805" s="2">
        <v>1</v>
      </c>
      <c r="M805" s="2">
        <v>1</v>
      </c>
    </row>
    <row r="806" spans="1:13">
      <c r="A806" s="6">
        <v>43839</v>
      </c>
      <c r="B806" s="7">
        <v>0.43333333333333335</v>
      </c>
      <c r="C806" s="2" t="str">
        <f>"009935712060"</f>
        <v>009935712060</v>
      </c>
      <c r="D806" s="2" t="s">
        <v>19</v>
      </c>
      <c r="E806" s="2" t="s">
        <v>199</v>
      </c>
      <c r="F806" s="2" t="str">
        <f>"1162729034 "</f>
        <v xml:space="preserve">1162729034 </v>
      </c>
      <c r="G806" s="2" t="str">
        <f t="shared" si="24"/>
        <v>ON1</v>
      </c>
      <c r="H806" s="2" t="s">
        <v>21</v>
      </c>
      <c r="I806" s="2" t="s">
        <v>200</v>
      </c>
      <c r="J806" s="2" t="str">
        <f t="shared" si="25"/>
        <v>RESEND</v>
      </c>
      <c r="K806" s="2" t="str">
        <f>"P009935712060_0001"</f>
        <v>P009935712060_0001</v>
      </c>
      <c r="L806" s="2">
        <v>1</v>
      </c>
      <c r="M806" s="2">
        <v>1</v>
      </c>
    </row>
    <row r="807" spans="1:13">
      <c r="A807" s="6">
        <v>43839</v>
      </c>
      <c r="B807" s="7">
        <v>0.43333333333333335</v>
      </c>
      <c r="C807" s="2" t="str">
        <f>"009935712059"</f>
        <v>009935712059</v>
      </c>
      <c r="D807" s="2" t="s">
        <v>19</v>
      </c>
      <c r="E807" s="2" t="s">
        <v>547</v>
      </c>
      <c r="F807" s="2" t="str">
        <f>"1162728188 "</f>
        <v xml:space="preserve">1162728188 </v>
      </c>
      <c r="G807" s="2" t="str">
        <f t="shared" si="24"/>
        <v>ON1</v>
      </c>
      <c r="H807" s="2" t="s">
        <v>21</v>
      </c>
      <c r="I807" s="2" t="s">
        <v>548</v>
      </c>
      <c r="J807" s="2" t="str">
        <f t="shared" si="25"/>
        <v>RESEND</v>
      </c>
      <c r="K807" s="2" t="str">
        <f>"P009935712059_0001"</f>
        <v>P009935712059_0001</v>
      </c>
      <c r="L807" s="2">
        <v>1</v>
      </c>
      <c r="M807" s="2">
        <v>1</v>
      </c>
    </row>
    <row r="808" spans="1:13">
      <c r="A808" s="6">
        <v>43839</v>
      </c>
      <c r="B808" s="7">
        <v>0.43263888888888885</v>
      </c>
      <c r="C808" s="2" t="str">
        <f>"009935712058"</f>
        <v>009935712058</v>
      </c>
      <c r="D808" s="2" t="s">
        <v>19</v>
      </c>
      <c r="E808" s="2" t="s">
        <v>478</v>
      </c>
      <c r="F808" s="2" t="str">
        <f>"1162729029 "</f>
        <v xml:space="preserve">1162729029 </v>
      </c>
      <c r="G808" s="2" t="str">
        <f t="shared" si="24"/>
        <v>ON1</v>
      </c>
      <c r="H808" s="2" t="s">
        <v>21</v>
      </c>
      <c r="I808" s="2" t="s">
        <v>277</v>
      </c>
      <c r="J808" s="2" t="str">
        <f t="shared" si="25"/>
        <v>RESEND</v>
      </c>
      <c r="K808" s="2" t="str">
        <f>"P009935712058_0001"</f>
        <v>P009935712058_0001</v>
      </c>
      <c r="L808" s="2">
        <v>1</v>
      </c>
      <c r="M808" s="2">
        <v>1</v>
      </c>
    </row>
    <row r="809" spans="1:13">
      <c r="A809" s="6">
        <v>43839</v>
      </c>
      <c r="B809" s="7">
        <v>0.43194444444444446</v>
      </c>
      <c r="C809" s="2" t="str">
        <f>"009935712057"</f>
        <v>009935712057</v>
      </c>
      <c r="D809" s="2" t="s">
        <v>19</v>
      </c>
      <c r="E809" s="2" t="s">
        <v>199</v>
      </c>
      <c r="F809" s="2" t="str">
        <f>"1162729122 "</f>
        <v xml:space="preserve">1162729122 </v>
      </c>
      <c r="G809" s="2" t="str">
        <f t="shared" si="24"/>
        <v>ON1</v>
      </c>
      <c r="H809" s="2" t="s">
        <v>21</v>
      </c>
      <c r="I809" s="2" t="s">
        <v>200</v>
      </c>
      <c r="J809" s="2" t="str">
        <f t="shared" si="25"/>
        <v>RESEND</v>
      </c>
      <c r="K809" s="2" t="str">
        <f>"P009935712057_0001"</f>
        <v>P009935712057_0001</v>
      </c>
      <c r="L809" s="2">
        <v>1</v>
      </c>
      <c r="M809" s="2">
        <v>1</v>
      </c>
    </row>
    <row r="810" spans="1:13">
      <c r="A810" s="6">
        <v>43839</v>
      </c>
      <c r="B810" s="7">
        <v>0.43194444444444446</v>
      </c>
      <c r="C810" s="2" t="str">
        <f>"009935712056"</f>
        <v>009935712056</v>
      </c>
      <c r="D810" s="2" t="s">
        <v>19</v>
      </c>
      <c r="E810" s="2" t="s">
        <v>549</v>
      </c>
      <c r="F810" s="2" t="str">
        <f>"1162729060 "</f>
        <v xml:space="preserve">1162729060 </v>
      </c>
      <c r="G810" s="2" t="str">
        <f t="shared" si="24"/>
        <v>ON1</v>
      </c>
      <c r="H810" s="2" t="s">
        <v>21</v>
      </c>
      <c r="I810" s="2" t="s">
        <v>550</v>
      </c>
      <c r="J810" s="2" t="str">
        <f t="shared" si="25"/>
        <v>RESEND</v>
      </c>
      <c r="K810" s="2" t="str">
        <f>"P009935712056_0001"</f>
        <v>P009935712056_0001</v>
      </c>
      <c r="L810" s="2">
        <v>1</v>
      </c>
      <c r="M810" s="2">
        <v>3</v>
      </c>
    </row>
    <row r="811" spans="1:13">
      <c r="A811" s="6">
        <v>43839</v>
      </c>
      <c r="B811" s="7">
        <v>0.43124999999999997</v>
      </c>
      <c r="C811" s="2" t="str">
        <f>"009935712055"</f>
        <v>009935712055</v>
      </c>
      <c r="D811" s="2" t="s">
        <v>19</v>
      </c>
      <c r="E811" s="2" t="s">
        <v>293</v>
      </c>
      <c r="F811" s="2" t="str">
        <f>"1162729144 "</f>
        <v xml:space="preserve">1162729144 </v>
      </c>
      <c r="G811" s="2" t="str">
        <f t="shared" si="24"/>
        <v>ON1</v>
      </c>
      <c r="H811" s="2" t="s">
        <v>21</v>
      </c>
      <c r="I811" s="2" t="s">
        <v>294</v>
      </c>
      <c r="J811" s="2" t="str">
        <f t="shared" si="25"/>
        <v>RESEND</v>
      </c>
      <c r="K811" s="2" t="str">
        <f>"P009935712055_0001"</f>
        <v>P009935712055_0001</v>
      </c>
      <c r="L811" s="2">
        <v>1</v>
      </c>
      <c r="M811" s="2">
        <v>4</v>
      </c>
    </row>
    <row r="812" spans="1:13">
      <c r="A812" s="6">
        <v>43839</v>
      </c>
      <c r="B812" s="7">
        <v>0.43055555555555558</v>
      </c>
      <c r="C812" s="2" t="str">
        <f>"009935712054"</f>
        <v>009935712054</v>
      </c>
      <c r="D812" s="2" t="s">
        <v>19</v>
      </c>
      <c r="E812" s="2" t="s">
        <v>44</v>
      </c>
      <c r="F812" s="2" t="str">
        <f>"1162729007 "</f>
        <v xml:space="preserve">1162729007 </v>
      </c>
      <c r="G812" s="2" t="str">
        <f t="shared" si="24"/>
        <v>ON1</v>
      </c>
      <c r="H812" s="2" t="s">
        <v>21</v>
      </c>
      <c r="I812" s="2" t="s">
        <v>249</v>
      </c>
      <c r="J812" s="2" t="str">
        <f t="shared" si="25"/>
        <v>RESEND</v>
      </c>
      <c r="K812" s="2" t="str">
        <f>"P009935712054_0001"</f>
        <v>P009935712054_0001</v>
      </c>
      <c r="L812" s="2">
        <v>1</v>
      </c>
      <c r="M812" s="2">
        <v>5</v>
      </c>
    </row>
    <row r="813" spans="1:13">
      <c r="A813" s="6">
        <v>43839</v>
      </c>
      <c r="B813" s="7">
        <v>0.42986111111111108</v>
      </c>
      <c r="C813" s="2" t="str">
        <f>"009935712053"</f>
        <v>009935712053</v>
      </c>
      <c r="D813" s="2" t="s">
        <v>19</v>
      </c>
      <c r="E813" s="2" t="s">
        <v>293</v>
      </c>
      <c r="F813" s="2" t="str">
        <f>"1162729277 "</f>
        <v xml:space="preserve">1162729277 </v>
      </c>
      <c r="G813" s="2" t="str">
        <f t="shared" si="24"/>
        <v>ON1</v>
      </c>
      <c r="H813" s="2" t="s">
        <v>21</v>
      </c>
      <c r="I813" s="2" t="s">
        <v>294</v>
      </c>
      <c r="J813" s="2" t="str">
        <f t="shared" si="25"/>
        <v>RESEND</v>
      </c>
      <c r="K813" s="2" t="str">
        <f>"P009935712053_0001"</f>
        <v>P009935712053_0001</v>
      </c>
      <c r="L813" s="2">
        <v>1</v>
      </c>
      <c r="M813" s="2">
        <v>3</v>
      </c>
    </row>
    <row r="814" spans="1:13">
      <c r="A814" s="6">
        <v>43839</v>
      </c>
      <c r="B814" s="7">
        <v>0.42986111111111108</v>
      </c>
      <c r="C814" s="2" t="str">
        <f>"009935712052"</f>
        <v>009935712052</v>
      </c>
      <c r="D814" s="2" t="s">
        <v>19</v>
      </c>
      <c r="E814" s="2" t="s">
        <v>551</v>
      </c>
      <c r="F814" s="2" t="str">
        <f>"1162728720 "</f>
        <v xml:space="preserve">1162728720 </v>
      </c>
      <c r="G814" s="2" t="str">
        <f t="shared" si="24"/>
        <v>ON1</v>
      </c>
      <c r="H814" s="2" t="s">
        <v>21</v>
      </c>
      <c r="I814" s="2" t="s">
        <v>294</v>
      </c>
      <c r="J814" s="2" t="str">
        <f t="shared" si="25"/>
        <v>RESEND</v>
      </c>
      <c r="K814" s="2" t="str">
        <f>"P009935712052_0001"</f>
        <v>P009935712052_0001</v>
      </c>
      <c r="L814" s="2">
        <v>1</v>
      </c>
      <c r="M814" s="2">
        <v>5</v>
      </c>
    </row>
    <row r="815" spans="1:13">
      <c r="A815" s="6">
        <v>43839</v>
      </c>
      <c r="B815" s="7">
        <v>0.4291666666666667</v>
      </c>
      <c r="C815" s="2" t="str">
        <f>"009935712051"</f>
        <v>009935712051</v>
      </c>
      <c r="D815" s="2" t="s">
        <v>19</v>
      </c>
      <c r="E815" s="2" t="s">
        <v>552</v>
      </c>
      <c r="F815" s="2" t="str">
        <f>"1162728588 "</f>
        <v xml:space="preserve">1162728588 </v>
      </c>
      <c r="G815" s="2" t="str">
        <f t="shared" si="24"/>
        <v>ON1</v>
      </c>
      <c r="H815" s="2" t="s">
        <v>21</v>
      </c>
      <c r="I815" s="2" t="s">
        <v>344</v>
      </c>
      <c r="J815" s="2" t="str">
        <f t="shared" si="25"/>
        <v>RESEND</v>
      </c>
      <c r="K815" s="2" t="str">
        <f>"P009935712051_0001"</f>
        <v>P009935712051_0001</v>
      </c>
      <c r="L815" s="2">
        <v>1</v>
      </c>
      <c r="M815" s="2">
        <v>2</v>
      </c>
    </row>
    <row r="816" spans="1:13">
      <c r="A816" s="6">
        <v>43839</v>
      </c>
      <c r="B816" s="7">
        <v>0.4284722222222222</v>
      </c>
      <c r="C816" s="2" t="str">
        <f>"009935712050"</f>
        <v>009935712050</v>
      </c>
      <c r="D816" s="2" t="s">
        <v>19</v>
      </c>
      <c r="E816" s="2" t="s">
        <v>192</v>
      </c>
      <c r="F816" s="2" t="str">
        <f>"1162728206 "</f>
        <v xml:space="preserve">1162728206 </v>
      </c>
      <c r="G816" s="2" t="str">
        <f t="shared" si="24"/>
        <v>ON1</v>
      </c>
      <c r="H816" s="2" t="s">
        <v>21</v>
      </c>
      <c r="I816" s="2" t="s">
        <v>193</v>
      </c>
      <c r="J816" s="2" t="str">
        <f t="shared" si="25"/>
        <v>RESEND</v>
      </c>
      <c r="K816" s="2" t="str">
        <f>"P009935712050_0001"</f>
        <v>P009935712050_0001</v>
      </c>
      <c r="L816" s="2">
        <v>1</v>
      </c>
      <c r="M816" s="2">
        <v>18</v>
      </c>
    </row>
    <row r="817" spans="1:13">
      <c r="A817" s="6">
        <v>43840</v>
      </c>
      <c r="B817" s="7">
        <v>0.625</v>
      </c>
      <c r="C817" s="8" t="str">
        <f>"FES1162730766"</f>
        <v>FES1162730766</v>
      </c>
      <c r="D817" s="8" t="s">
        <v>19</v>
      </c>
      <c r="E817" s="8" t="s">
        <v>143</v>
      </c>
      <c r="F817" s="8" t="str">
        <f>"2170723363 "</f>
        <v xml:space="preserve">2170723363 </v>
      </c>
      <c r="G817" s="8" t="str">
        <f t="shared" si="24"/>
        <v>ON1</v>
      </c>
      <c r="H817" s="8" t="s">
        <v>21</v>
      </c>
      <c r="I817" s="8" t="s">
        <v>137</v>
      </c>
      <c r="J817" s="8" t="str">
        <f>""</f>
        <v/>
      </c>
      <c r="K817" s="8" t="str">
        <f>"PFES1162730766_0001"</f>
        <v>PFES1162730766_0001</v>
      </c>
      <c r="L817" s="8">
        <v>1</v>
      </c>
      <c r="M817" s="8">
        <v>1</v>
      </c>
    </row>
    <row r="818" spans="1:13">
      <c r="A818" s="6">
        <v>43840</v>
      </c>
      <c r="B818" s="7">
        <v>0.625</v>
      </c>
      <c r="C818" s="8" t="str">
        <f>"FES1162730751"</f>
        <v>FES1162730751</v>
      </c>
      <c r="D818" s="8" t="s">
        <v>19</v>
      </c>
      <c r="E818" s="8" t="s">
        <v>553</v>
      </c>
      <c r="F818" s="8" t="str">
        <f>"2170723354 "</f>
        <v xml:space="preserve">2170723354 </v>
      </c>
      <c r="G818" s="8" t="str">
        <f t="shared" si="24"/>
        <v>ON1</v>
      </c>
      <c r="H818" s="8" t="s">
        <v>21</v>
      </c>
      <c r="I818" s="8" t="s">
        <v>554</v>
      </c>
      <c r="J818" s="8" t="str">
        <f>""</f>
        <v/>
      </c>
      <c r="K818" s="8" t="str">
        <f>"PFES1162730751_0001"</f>
        <v>PFES1162730751_0001</v>
      </c>
      <c r="L818" s="8">
        <v>1</v>
      </c>
      <c r="M818" s="8">
        <v>6</v>
      </c>
    </row>
    <row r="819" spans="1:13">
      <c r="A819" s="6">
        <v>43840</v>
      </c>
      <c r="B819" s="7">
        <v>0.62430555555555556</v>
      </c>
      <c r="C819" s="8" t="str">
        <f>"FES1162730658"</f>
        <v>FES1162730658</v>
      </c>
      <c r="D819" s="8" t="s">
        <v>19</v>
      </c>
      <c r="E819" s="8" t="s">
        <v>555</v>
      </c>
      <c r="F819" s="8" t="str">
        <f>"2170709193 "</f>
        <v xml:space="preserve">2170709193 </v>
      </c>
      <c r="G819" s="8" t="str">
        <f t="shared" si="24"/>
        <v>ON1</v>
      </c>
      <c r="H819" s="8" t="s">
        <v>21</v>
      </c>
      <c r="I819" s="8" t="s">
        <v>112</v>
      </c>
      <c r="J819" s="8" t="str">
        <f>""</f>
        <v/>
      </c>
      <c r="K819" s="8" t="str">
        <f>"PFES1162730658_0001"</f>
        <v>PFES1162730658_0001</v>
      </c>
      <c r="L819" s="8">
        <v>1</v>
      </c>
      <c r="M819" s="8">
        <v>17</v>
      </c>
    </row>
    <row r="820" spans="1:13">
      <c r="A820" s="6">
        <v>43840</v>
      </c>
      <c r="B820" s="7">
        <v>0.62013888888888891</v>
      </c>
      <c r="C820" s="8" t="str">
        <f>"FES1162730745"</f>
        <v>FES1162730745</v>
      </c>
      <c r="D820" s="8" t="s">
        <v>19</v>
      </c>
      <c r="E820" s="8" t="s">
        <v>101</v>
      </c>
      <c r="F820" s="8" t="str">
        <f>"2170723348 "</f>
        <v xml:space="preserve">2170723348 </v>
      </c>
      <c r="G820" s="8" t="str">
        <f t="shared" si="24"/>
        <v>ON1</v>
      </c>
      <c r="H820" s="8" t="s">
        <v>21</v>
      </c>
      <c r="I820" s="8" t="s">
        <v>102</v>
      </c>
      <c r="J820" s="8" t="str">
        <f>""</f>
        <v/>
      </c>
      <c r="K820" s="8" t="str">
        <f>"PFES1162730745_0001"</f>
        <v>PFES1162730745_0001</v>
      </c>
      <c r="L820" s="8">
        <v>1</v>
      </c>
      <c r="M820" s="8">
        <v>1</v>
      </c>
    </row>
    <row r="821" spans="1:13">
      <c r="A821" s="6">
        <v>43840</v>
      </c>
      <c r="B821" s="7">
        <v>0.61944444444444446</v>
      </c>
      <c r="C821" s="8" t="str">
        <f>"FES1162730758"</f>
        <v>FES1162730758</v>
      </c>
      <c r="D821" s="8" t="s">
        <v>19</v>
      </c>
      <c r="E821" s="8" t="s">
        <v>132</v>
      </c>
      <c r="F821" s="8" t="str">
        <f>"2170723361 "</f>
        <v xml:space="preserve">2170723361 </v>
      </c>
      <c r="G821" s="8" t="str">
        <f t="shared" ref="G821:G884" si="26">"ON1"</f>
        <v>ON1</v>
      </c>
      <c r="H821" s="8" t="s">
        <v>21</v>
      </c>
      <c r="I821" s="8" t="s">
        <v>133</v>
      </c>
      <c r="J821" s="8" t="str">
        <f>""</f>
        <v/>
      </c>
      <c r="K821" s="8" t="str">
        <f>"PFES1162730758_0001"</f>
        <v>PFES1162730758_0001</v>
      </c>
      <c r="L821" s="8">
        <v>1</v>
      </c>
      <c r="M821" s="8">
        <v>1</v>
      </c>
    </row>
    <row r="822" spans="1:13">
      <c r="A822" s="6">
        <v>43840</v>
      </c>
      <c r="B822" s="7">
        <v>0.61875000000000002</v>
      </c>
      <c r="C822" s="8" t="str">
        <f>"FES1162730741"</f>
        <v>FES1162730741</v>
      </c>
      <c r="D822" s="8" t="s">
        <v>19</v>
      </c>
      <c r="E822" s="8" t="s">
        <v>434</v>
      </c>
      <c r="F822" s="8" t="str">
        <f>"2170723343 "</f>
        <v xml:space="preserve">2170723343 </v>
      </c>
      <c r="G822" s="8" t="str">
        <f t="shared" si="26"/>
        <v>ON1</v>
      </c>
      <c r="H822" s="8" t="s">
        <v>21</v>
      </c>
      <c r="I822" s="8" t="s">
        <v>344</v>
      </c>
      <c r="J822" s="8" t="str">
        <f>""</f>
        <v/>
      </c>
      <c r="K822" s="8" t="str">
        <f>"PFES1162730741_0001"</f>
        <v>PFES1162730741_0001</v>
      </c>
      <c r="L822" s="8">
        <v>1</v>
      </c>
      <c r="M822" s="8">
        <v>1</v>
      </c>
    </row>
    <row r="823" spans="1:13">
      <c r="A823" s="6">
        <v>43840</v>
      </c>
      <c r="B823" s="7">
        <v>0.61805555555555558</v>
      </c>
      <c r="C823" s="8" t="str">
        <f>"FES1162730744"</f>
        <v>FES1162730744</v>
      </c>
      <c r="D823" s="8" t="s">
        <v>19</v>
      </c>
      <c r="E823" s="8" t="s">
        <v>556</v>
      </c>
      <c r="F823" s="8" t="str">
        <f>"2170723347 "</f>
        <v xml:space="preserve">2170723347 </v>
      </c>
      <c r="G823" s="8" t="str">
        <f t="shared" si="26"/>
        <v>ON1</v>
      </c>
      <c r="H823" s="8" t="s">
        <v>21</v>
      </c>
      <c r="I823" s="8" t="s">
        <v>517</v>
      </c>
      <c r="J823" s="8" t="str">
        <f>""</f>
        <v/>
      </c>
      <c r="K823" s="8" t="str">
        <f>"PFES1162730744_0001"</f>
        <v>PFES1162730744_0001</v>
      </c>
      <c r="L823" s="8">
        <v>1</v>
      </c>
      <c r="M823" s="8">
        <v>1</v>
      </c>
    </row>
    <row r="824" spans="1:13">
      <c r="A824" s="6">
        <v>43840</v>
      </c>
      <c r="B824" s="7">
        <v>0.61736111111111114</v>
      </c>
      <c r="C824" s="8" t="str">
        <f>"FES1162730750"</f>
        <v>FES1162730750</v>
      </c>
      <c r="D824" s="8" t="s">
        <v>19</v>
      </c>
      <c r="E824" s="8" t="s">
        <v>101</v>
      </c>
      <c r="F824" s="8" t="str">
        <f>"2170723352 "</f>
        <v xml:space="preserve">2170723352 </v>
      </c>
      <c r="G824" s="8" t="str">
        <f t="shared" si="26"/>
        <v>ON1</v>
      </c>
      <c r="H824" s="8" t="s">
        <v>21</v>
      </c>
      <c r="I824" s="8" t="s">
        <v>102</v>
      </c>
      <c r="J824" s="8" t="str">
        <f>""</f>
        <v/>
      </c>
      <c r="K824" s="8" t="str">
        <f>"PFES1162730750_0001"</f>
        <v>PFES1162730750_0001</v>
      </c>
      <c r="L824" s="8">
        <v>1</v>
      </c>
      <c r="M824" s="8">
        <v>1</v>
      </c>
    </row>
    <row r="825" spans="1:13">
      <c r="A825" s="6">
        <v>43840</v>
      </c>
      <c r="B825" s="7">
        <v>0.61597222222222225</v>
      </c>
      <c r="C825" s="8" t="str">
        <f>"FES1162730754"</f>
        <v>FES1162730754</v>
      </c>
      <c r="D825" s="8" t="s">
        <v>19</v>
      </c>
      <c r="E825" s="8" t="s">
        <v>101</v>
      </c>
      <c r="F825" s="8" t="str">
        <f>"2170723357 "</f>
        <v xml:space="preserve">2170723357 </v>
      </c>
      <c r="G825" s="8" t="str">
        <f t="shared" si="26"/>
        <v>ON1</v>
      </c>
      <c r="H825" s="8" t="s">
        <v>21</v>
      </c>
      <c r="I825" s="8" t="s">
        <v>102</v>
      </c>
      <c r="J825" s="8" t="str">
        <f>""</f>
        <v/>
      </c>
      <c r="K825" s="8" t="str">
        <f>"PFES1162730754_0001"</f>
        <v>PFES1162730754_0001</v>
      </c>
      <c r="L825" s="8">
        <v>1</v>
      </c>
      <c r="M825" s="8">
        <v>1</v>
      </c>
    </row>
    <row r="826" spans="1:13">
      <c r="A826" s="6">
        <v>43840</v>
      </c>
      <c r="B826" s="7">
        <v>0.61527777777777781</v>
      </c>
      <c r="C826" s="8" t="str">
        <f>"FES1162730755"</f>
        <v>FES1162730755</v>
      </c>
      <c r="D826" s="8" t="s">
        <v>19</v>
      </c>
      <c r="E826" s="8" t="s">
        <v>143</v>
      </c>
      <c r="F826" s="8" t="str">
        <f>"2170723358 "</f>
        <v xml:space="preserve">2170723358 </v>
      </c>
      <c r="G826" s="8" t="str">
        <f t="shared" si="26"/>
        <v>ON1</v>
      </c>
      <c r="H826" s="8" t="s">
        <v>21</v>
      </c>
      <c r="I826" s="8" t="s">
        <v>137</v>
      </c>
      <c r="J826" s="8" t="str">
        <f>""</f>
        <v/>
      </c>
      <c r="K826" s="8" t="str">
        <f>"PFES1162730755_0001"</f>
        <v>PFES1162730755_0001</v>
      </c>
      <c r="L826" s="8">
        <v>1</v>
      </c>
      <c r="M826" s="8">
        <v>1</v>
      </c>
    </row>
    <row r="827" spans="1:13">
      <c r="A827" s="6">
        <v>43840</v>
      </c>
      <c r="B827" s="7">
        <v>0.6118055555555556</v>
      </c>
      <c r="C827" s="8" t="str">
        <f>"FES1162730720"</f>
        <v>FES1162730720</v>
      </c>
      <c r="D827" s="8" t="s">
        <v>19</v>
      </c>
      <c r="E827" s="8" t="s">
        <v>287</v>
      </c>
      <c r="F827" s="8" t="str">
        <f>"2170723316 "</f>
        <v xml:space="preserve">2170723316 </v>
      </c>
      <c r="G827" s="8" t="str">
        <f t="shared" si="26"/>
        <v>ON1</v>
      </c>
      <c r="H827" s="8" t="s">
        <v>21</v>
      </c>
      <c r="I827" s="8" t="s">
        <v>288</v>
      </c>
      <c r="J827" s="8" t="str">
        <f>""</f>
        <v/>
      </c>
      <c r="K827" s="8" t="str">
        <f>"PFES1162730720_0001"</f>
        <v>PFES1162730720_0001</v>
      </c>
      <c r="L827" s="8">
        <v>1</v>
      </c>
      <c r="M827" s="8">
        <v>8</v>
      </c>
    </row>
    <row r="828" spans="1:13">
      <c r="A828" s="6">
        <v>43840</v>
      </c>
      <c r="B828" s="7">
        <v>0.6118055555555556</v>
      </c>
      <c r="C828" s="8" t="str">
        <f>"FES1162730753"</f>
        <v>FES1162730753</v>
      </c>
      <c r="D828" s="8" t="s">
        <v>19</v>
      </c>
      <c r="E828" s="8" t="s">
        <v>557</v>
      </c>
      <c r="F828" s="8" t="str">
        <f>"2170723356 "</f>
        <v xml:space="preserve">2170723356 </v>
      </c>
      <c r="G828" s="8" t="str">
        <f t="shared" si="26"/>
        <v>ON1</v>
      </c>
      <c r="H828" s="8" t="s">
        <v>21</v>
      </c>
      <c r="I828" s="8" t="s">
        <v>558</v>
      </c>
      <c r="J828" s="8" t="str">
        <f>""</f>
        <v/>
      </c>
      <c r="K828" s="8" t="str">
        <f>"PFES1162730753_0001"</f>
        <v>PFES1162730753_0001</v>
      </c>
      <c r="L828" s="8">
        <v>1</v>
      </c>
      <c r="M828" s="8">
        <v>2</v>
      </c>
    </row>
    <row r="829" spans="1:13">
      <c r="A829" s="6">
        <v>43840</v>
      </c>
      <c r="B829" s="7">
        <v>0.61111111111111105</v>
      </c>
      <c r="C829" s="8" t="str">
        <f>"FES1162730743"</f>
        <v>FES1162730743</v>
      </c>
      <c r="D829" s="8" t="s">
        <v>19</v>
      </c>
      <c r="E829" s="8" t="s">
        <v>456</v>
      </c>
      <c r="F829" s="8" t="str">
        <f>"2170723345 "</f>
        <v xml:space="preserve">2170723345 </v>
      </c>
      <c r="G829" s="8" t="str">
        <f t="shared" si="26"/>
        <v>ON1</v>
      </c>
      <c r="H829" s="8" t="s">
        <v>21</v>
      </c>
      <c r="I829" s="8" t="s">
        <v>344</v>
      </c>
      <c r="J829" s="8" t="str">
        <f>""</f>
        <v/>
      </c>
      <c r="K829" s="8" t="str">
        <f>"PFES1162730743_0001"</f>
        <v>PFES1162730743_0001</v>
      </c>
      <c r="L829" s="8">
        <v>1</v>
      </c>
      <c r="M829" s="8">
        <v>8</v>
      </c>
    </row>
    <row r="830" spans="1:13">
      <c r="A830" s="6">
        <v>43840</v>
      </c>
      <c r="B830" s="7">
        <v>0.61111111111111105</v>
      </c>
      <c r="C830" s="8" t="str">
        <f>"FES1162730729"</f>
        <v>FES1162730729</v>
      </c>
      <c r="D830" s="8" t="s">
        <v>19</v>
      </c>
      <c r="E830" s="8" t="s">
        <v>128</v>
      </c>
      <c r="F830" s="8" t="str">
        <f>"2170723327 "</f>
        <v xml:space="preserve">2170723327 </v>
      </c>
      <c r="G830" s="8" t="str">
        <f t="shared" si="26"/>
        <v>ON1</v>
      </c>
      <c r="H830" s="8" t="s">
        <v>21</v>
      </c>
      <c r="I830" s="8" t="s">
        <v>24</v>
      </c>
      <c r="J830" s="8" t="str">
        <f>""</f>
        <v/>
      </c>
      <c r="K830" s="8" t="str">
        <f>"PFES1162730729_0001"</f>
        <v>PFES1162730729_0001</v>
      </c>
      <c r="L830" s="8">
        <v>1</v>
      </c>
      <c r="M830" s="8">
        <v>1</v>
      </c>
    </row>
    <row r="831" spans="1:13">
      <c r="A831" s="6">
        <v>43840</v>
      </c>
      <c r="B831" s="7">
        <v>0.61111111111111105</v>
      </c>
      <c r="C831" s="8" t="str">
        <f>"FES1162730742"</f>
        <v>FES1162730742</v>
      </c>
      <c r="D831" s="8" t="s">
        <v>19</v>
      </c>
      <c r="E831" s="8" t="s">
        <v>434</v>
      </c>
      <c r="F831" s="8" t="str">
        <f>"2170723344 "</f>
        <v xml:space="preserve">2170723344 </v>
      </c>
      <c r="G831" s="8" t="str">
        <f t="shared" si="26"/>
        <v>ON1</v>
      </c>
      <c r="H831" s="8" t="s">
        <v>21</v>
      </c>
      <c r="I831" s="8" t="s">
        <v>344</v>
      </c>
      <c r="J831" s="8" t="str">
        <f>""</f>
        <v/>
      </c>
      <c r="K831" s="8" t="str">
        <f>"PFES1162730742_0001"</f>
        <v>PFES1162730742_0001</v>
      </c>
      <c r="L831" s="8">
        <v>1</v>
      </c>
      <c r="M831" s="8">
        <v>2</v>
      </c>
    </row>
    <row r="832" spans="1:13">
      <c r="A832" s="6">
        <v>43840</v>
      </c>
      <c r="B832" s="7">
        <v>0.61041666666666672</v>
      </c>
      <c r="C832" s="8" t="str">
        <f>"FES1162730730"</f>
        <v>FES1162730730</v>
      </c>
      <c r="D832" s="8" t="s">
        <v>19</v>
      </c>
      <c r="E832" s="8" t="s">
        <v>101</v>
      </c>
      <c r="F832" s="8" t="str">
        <f>"2170723329 "</f>
        <v xml:space="preserve">2170723329 </v>
      </c>
      <c r="G832" s="8" t="str">
        <f t="shared" si="26"/>
        <v>ON1</v>
      </c>
      <c r="H832" s="8" t="s">
        <v>21</v>
      </c>
      <c r="I832" s="8" t="s">
        <v>102</v>
      </c>
      <c r="J832" s="8" t="str">
        <f>""</f>
        <v/>
      </c>
      <c r="K832" s="8" t="str">
        <f>"PFES1162730730_0001"</f>
        <v>PFES1162730730_0001</v>
      </c>
      <c r="L832" s="8">
        <v>1</v>
      </c>
      <c r="M832" s="8">
        <v>1</v>
      </c>
    </row>
    <row r="833" spans="1:13">
      <c r="A833" s="6">
        <v>43840</v>
      </c>
      <c r="B833" s="7">
        <v>0.61041666666666672</v>
      </c>
      <c r="C833" s="8" t="str">
        <f>"FES1162730725"</f>
        <v>FES1162730725</v>
      </c>
      <c r="D833" s="8" t="s">
        <v>19</v>
      </c>
      <c r="E833" s="8" t="s">
        <v>559</v>
      </c>
      <c r="F833" s="8" t="str">
        <f>"2170723321 "</f>
        <v xml:space="preserve">2170723321 </v>
      </c>
      <c r="G833" s="8" t="str">
        <f t="shared" si="26"/>
        <v>ON1</v>
      </c>
      <c r="H833" s="8" t="s">
        <v>21</v>
      </c>
      <c r="I833" s="8" t="s">
        <v>169</v>
      </c>
      <c r="J833" s="8" t="str">
        <f>""</f>
        <v/>
      </c>
      <c r="K833" s="8" t="str">
        <f>"PFES1162730725_0001"</f>
        <v>PFES1162730725_0001</v>
      </c>
      <c r="L833" s="8">
        <v>1</v>
      </c>
      <c r="M833" s="8">
        <v>1</v>
      </c>
    </row>
    <row r="834" spans="1:13">
      <c r="A834" s="6">
        <v>43840</v>
      </c>
      <c r="B834" s="7">
        <v>0.60972222222222217</v>
      </c>
      <c r="C834" s="8" t="str">
        <f>"FES1162730601"</f>
        <v>FES1162730601</v>
      </c>
      <c r="D834" s="8" t="s">
        <v>19</v>
      </c>
      <c r="E834" s="8" t="s">
        <v>555</v>
      </c>
      <c r="F834" s="8" t="str">
        <f>"2170720228 "</f>
        <v xml:space="preserve">2170720228 </v>
      </c>
      <c r="G834" s="8" t="str">
        <f t="shared" si="26"/>
        <v>ON1</v>
      </c>
      <c r="H834" s="8" t="s">
        <v>21</v>
      </c>
      <c r="I834" s="8" t="s">
        <v>112</v>
      </c>
      <c r="J834" s="8" t="str">
        <f>""</f>
        <v/>
      </c>
      <c r="K834" s="8" t="str">
        <f>"PFES1162730601_0001"</f>
        <v>PFES1162730601_0001</v>
      </c>
      <c r="L834" s="8">
        <v>1</v>
      </c>
      <c r="M834" s="8">
        <v>1</v>
      </c>
    </row>
    <row r="835" spans="1:13">
      <c r="A835" s="6">
        <v>43840</v>
      </c>
      <c r="B835" s="7">
        <v>0.60902777777777783</v>
      </c>
      <c r="C835" s="8" t="str">
        <f>"FES1162730680"</f>
        <v>FES1162730680</v>
      </c>
      <c r="D835" s="8" t="s">
        <v>19</v>
      </c>
      <c r="E835" s="8" t="s">
        <v>205</v>
      </c>
      <c r="F835" s="8" t="str">
        <f>"217072376 "</f>
        <v xml:space="preserve">217072376 </v>
      </c>
      <c r="G835" s="8" t="str">
        <f t="shared" si="26"/>
        <v>ON1</v>
      </c>
      <c r="H835" s="8" t="s">
        <v>21</v>
      </c>
      <c r="I835" s="8" t="s">
        <v>88</v>
      </c>
      <c r="J835" s="8" t="str">
        <f>""</f>
        <v/>
      </c>
      <c r="K835" s="8" t="str">
        <f>"PFES1162730680_0001"</f>
        <v>PFES1162730680_0001</v>
      </c>
      <c r="L835" s="8">
        <v>1</v>
      </c>
      <c r="M835" s="8">
        <v>3</v>
      </c>
    </row>
    <row r="836" spans="1:13">
      <c r="A836" s="6">
        <v>43840</v>
      </c>
      <c r="B836" s="7">
        <v>0.60902777777777783</v>
      </c>
      <c r="C836" s="8" t="str">
        <f>"FES1162730731"</f>
        <v>FES1162730731</v>
      </c>
      <c r="D836" s="8" t="s">
        <v>19</v>
      </c>
      <c r="E836" s="8" t="s">
        <v>256</v>
      </c>
      <c r="F836" s="8" t="str">
        <f>"2170722665 "</f>
        <v xml:space="preserve">2170722665 </v>
      </c>
      <c r="G836" s="8" t="str">
        <f t="shared" si="26"/>
        <v>ON1</v>
      </c>
      <c r="H836" s="8" t="s">
        <v>21</v>
      </c>
      <c r="I836" s="8" t="s">
        <v>257</v>
      </c>
      <c r="J836" s="8" t="str">
        <f>""</f>
        <v/>
      </c>
      <c r="K836" s="8" t="str">
        <f>"PFES1162730731_0001"</f>
        <v>PFES1162730731_0001</v>
      </c>
      <c r="L836" s="8">
        <v>1</v>
      </c>
      <c r="M836" s="8">
        <v>1</v>
      </c>
    </row>
    <row r="837" spans="1:13">
      <c r="A837" s="6">
        <v>43840</v>
      </c>
      <c r="B837" s="7">
        <v>0.60902777777777783</v>
      </c>
      <c r="C837" s="8" t="str">
        <f>"FES1162730598"</f>
        <v>FES1162730598</v>
      </c>
      <c r="D837" s="8" t="s">
        <v>19</v>
      </c>
      <c r="E837" s="8" t="s">
        <v>402</v>
      </c>
      <c r="F837" s="8" t="str">
        <f>"2170719072 "</f>
        <v xml:space="preserve">2170719072 </v>
      </c>
      <c r="G837" s="8" t="str">
        <f t="shared" si="26"/>
        <v>ON1</v>
      </c>
      <c r="H837" s="8" t="s">
        <v>21</v>
      </c>
      <c r="I837" s="8" t="s">
        <v>403</v>
      </c>
      <c r="J837" s="8" t="str">
        <f>""</f>
        <v/>
      </c>
      <c r="K837" s="8" t="str">
        <f>"PFES1162730598_0001"</f>
        <v>PFES1162730598_0001</v>
      </c>
      <c r="L837" s="8">
        <v>1</v>
      </c>
      <c r="M837" s="8">
        <v>4</v>
      </c>
    </row>
    <row r="838" spans="1:13">
      <c r="A838" s="6">
        <v>43840</v>
      </c>
      <c r="B838" s="7">
        <v>0.60833333333333328</v>
      </c>
      <c r="C838" s="8" t="str">
        <f>"FES1162730621"</f>
        <v>FES1162730621</v>
      </c>
      <c r="D838" s="8" t="s">
        <v>19</v>
      </c>
      <c r="E838" s="8" t="s">
        <v>144</v>
      </c>
      <c r="F838" s="8" t="str">
        <f>"2170722307 "</f>
        <v xml:space="preserve">2170722307 </v>
      </c>
      <c r="G838" s="8" t="str">
        <f t="shared" si="26"/>
        <v>ON1</v>
      </c>
      <c r="H838" s="8" t="s">
        <v>21</v>
      </c>
      <c r="I838" s="8" t="s">
        <v>34</v>
      </c>
      <c r="J838" s="8" t="str">
        <f>""</f>
        <v/>
      </c>
      <c r="K838" s="8" t="str">
        <f>"PFES1162730621_0001"</f>
        <v>PFES1162730621_0001</v>
      </c>
      <c r="L838" s="8">
        <v>1</v>
      </c>
      <c r="M838" s="8">
        <v>6</v>
      </c>
    </row>
    <row r="839" spans="1:13">
      <c r="A839" s="6">
        <v>43840</v>
      </c>
      <c r="B839" s="7">
        <v>0.60833333333333328</v>
      </c>
      <c r="C839" s="8" t="str">
        <f>"FES1162730711"</f>
        <v>FES1162730711</v>
      </c>
      <c r="D839" s="8" t="s">
        <v>19</v>
      </c>
      <c r="E839" s="8" t="s">
        <v>218</v>
      </c>
      <c r="F839" s="8" t="str">
        <f>"2170721646 "</f>
        <v xml:space="preserve">2170721646 </v>
      </c>
      <c r="G839" s="8" t="str">
        <f t="shared" si="26"/>
        <v>ON1</v>
      </c>
      <c r="H839" s="8" t="s">
        <v>21</v>
      </c>
      <c r="I839" s="8" t="s">
        <v>49</v>
      </c>
      <c r="J839" s="8" t="str">
        <f>""</f>
        <v/>
      </c>
      <c r="K839" s="8" t="str">
        <f>"PFES1162730711_0001"</f>
        <v>PFES1162730711_0001</v>
      </c>
      <c r="L839" s="8">
        <v>1</v>
      </c>
      <c r="M839" s="8">
        <v>1</v>
      </c>
    </row>
    <row r="840" spans="1:13">
      <c r="A840" s="6">
        <v>43840</v>
      </c>
      <c r="B840" s="7">
        <v>0.60763888888888895</v>
      </c>
      <c r="C840" s="8" t="str">
        <f>"FES1162730726"</f>
        <v>FES1162730726</v>
      </c>
      <c r="D840" s="8" t="s">
        <v>19</v>
      </c>
      <c r="E840" s="8" t="s">
        <v>445</v>
      </c>
      <c r="F840" s="8" t="str">
        <f>"2170723322 "</f>
        <v xml:space="preserve">2170723322 </v>
      </c>
      <c r="G840" s="8" t="str">
        <f t="shared" si="26"/>
        <v>ON1</v>
      </c>
      <c r="H840" s="8" t="s">
        <v>21</v>
      </c>
      <c r="I840" s="8" t="s">
        <v>277</v>
      </c>
      <c r="J840" s="8" t="str">
        <f>""</f>
        <v/>
      </c>
      <c r="K840" s="8" t="str">
        <f>"PFES1162730726_0001"</f>
        <v>PFES1162730726_0001</v>
      </c>
      <c r="L840" s="8">
        <v>1</v>
      </c>
      <c r="M840" s="8">
        <v>2</v>
      </c>
    </row>
    <row r="841" spans="1:13">
      <c r="A841" s="6">
        <v>43840</v>
      </c>
      <c r="B841" s="7">
        <v>0.60763888888888895</v>
      </c>
      <c r="C841" s="8" t="str">
        <f>"FES1162730695"</f>
        <v>FES1162730695</v>
      </c>
      <c r="D841" s="8" t="s">
        <v>19</v>
      </c>
      <c r="E841" s="8" t="s">
        <v>560</v>
      </c>
      <c r="F841" s="8" t="str">
        <f>"2170723297 "</f>
        <v xml:space="preserve">2170723297 </v>
      </c>
      <c r="G841" s="8" t="str">
        <f t="shared" si="26"/>
        <v>ON1</v>
      </c>
      <c r="H841" s="8" t="s">
        <v>21</v>
      </c>
      <c r="I841" s="8" t="s">
        <v>191</v>
      </c>
      <c r="J841" s="8" t="str">
        <f>""</f>
        <v/>
      </c>
      <c r="K841" s="8" t="str">
        <f>"PFES1162730695_0001"</f>
        <v>PFES1162730695_0001</v>
      </c>
      <c r="L841" s="8">
        <v>1</v>
      </c>
      <c r="M841" s="8">
        <v>3</v>
      </c>
    </row>
    <row r="842" spans="1:13">
      <c r="A842" s="6">
        <v>43840</v>
      </c>
      <c r="B842" s="7">
        <v>0.60763888888888895</v>
      </c>
      <c r="C842" s="8" t="str">
        <f>"FES1162730747"</f>
        <v>FES1162730747</v>
      </c>
      <c r="D842" s="8" t="s">
        <v>19</v>
      </c>
      <c r="E842" s="8" t="s">
        <v>259</v>
      </c>
      <c r="F842" s="8" t="str">
        <f>"2170723350 "</f>
        <v xml:space="preserve">2170723350 </v>
      </c>
      <c r="G842" s="8" t="str">
        <f t="shared" si="26"/>
        <v>ON1</v>
      </c>
      <c r="H842" s="8" t="s">
        <v>21</v>
      </c>
      <c r="I842" s="8" t="s">
        <v>260</v>
      </c>
      <c r="J842" s="8" t="str">
        <f>""</f>
        <v/>
      </c>
      <c r="K842" s="8" t="str">
        <f>"PFES1162730747_0001"</f>
        <v>PFES1162730747_0001</v>
      </c>
      <c r="L842" s="8">
        <v>1</v>
      </c>
      <c r="M842" s="8">
        <v>12</v>
      </c>
    </row>
    <row r="843" spans="1:13">
      <c r="A843" s="6">
        <v>43840</v>
      </c>
      <c r="B843" s="7">
        <v>0.60763888888888895</v>
      </c>
      <c r="C843" s="8" t="str">
        <f>"FES1162730617"</f>
        <v>FES1162730617</v>
      </c>
      <c r="D843" s="8" t="s">
        <v>19</v>
      </c>
      <c r="E843" s="8" t="s">
        <v>101</v>
      </c>
      <c r="F843" s="8" t="str">
        <f>"2170722245 "</f>
        <v xml:space="preserve">2170722245 </v>
      </c>
      <c r="G843" s="8" t="str">
        <f t="shared" si="26"/>
        <v>ON1</v>
      </c>
      <c r="H843" s="8" t="s">
        <v>21</v>
      </c>
      <c r="I843" s="8" t="s">
        <v>102</v>
      </c>
      <c r="J843" s="8" t="str">
        <f>""</f>
        <v/>
      </c>
      <c r="K843" s="8" t="str">
        <f>"PFES1162730617_0001"</f>
        <v>PFES1162730617_0001</v>
      </c>
      <c r="L843" s="8">
        <v>1</v>
      </c>
      <c r="M843" s="8">
        <v>1</v>
      </c>
    </row>
    <row r="844" spans="1:13">
      <c r="A844" s="6">
        <v>43840</v>
      </c>
      <c r="B844" s="7">
        <v>0.6069444444444444</v>
      </c>
      <c r="C844" s="8" t="str">
        <f>"FES1162730712"</f>
        <v>FES1162730712</v>
      </c>
      <c r="D844" s="8" t="s">
        <v>19</v>
      </c>
      <c r="E844" s="8" t="s">
        <v>522</v>
      </c>
      <c r="F844" s="8" t="str">
        <f>"21707222216 "</f>
        <v xml:space="preserve">21707222216 </v>
      </c>
      <c r="G844" s="8" t="str">
        <f t="shared" si="26"/>
        <v>ON1</v>
      </c>
      <c r="H844" s="8" t="s">
        <v>21</v>
      </c>
      <c r="I844" s="8" t="s">
        <v>193</v>
      </c>
      <c r="J844" s="8" t="str">
        <f>""</f>
        <v/>
      </c>
      <c r="K844" s="8" t="str">
        <f>"PFES1162730712_0001"</f>
        <v>PFES1162730712_0001</v>
      </c>
      <c r="L844" s="8">
        <v>1</v>
      </c>
      <c r="M844" s="8">
        <v>4</v>
      </c>
    </row>
    <row r="845" spans="1:13">
      <c r="A845" s="6">
        <v>43840</v>
      </c>
      <c r="B845" s="7">
        <v>0.6069444444444444</v>
      </c>
      <c r="C845" s="8" t="str">
        <f>"FES1162730739"</f>
        <v>FES1162730739</v>
      </c>
      <c r="D845" s="8" t="s">
        <v>19</v>
      </c>
      <c r="E845" s="8" t="s">
        <v>561</v>
      </c>
      <c r="F845" s="8" t="str">
        <f>"2170723340 "</f>
        <v xml:space="preserve">2170723340 </v>
      </c>
      <c r="G845" s="8" t="str">
        <f t="shared" si="26"/>
        <v>ON1</v>
      </c>
      <c r="H845" s="8" t="s">
        <v>21</v>
      </c>
      <c r="I845" s="8" t="s">
        <v>562</v>
      </c>
      <c r="J845" s="8" t="str">
        <f>""</f>
        <v/>
      </c>
      <c r="K845" s="8" t="str">
        <f>"PFES1162730739_0001"</f>
        <v>PFES1162730739_0001</v>
      </c>
      <c r="L845" s="8">
        <v>1</v>
      </c>
      <c r="M845" s="8">
        <v>1</v>
      </c>
    </row>
    <row r="846" spans="1:13">
      <c r="A846" s="6">
        <v>43840</v>
      </c>
      <c r="B846" s="7">
        <v>0.60625000000000007</v>
      </c>
      <c r="C846" s="8" t="str">
        <f>"FES1162729742"</f>
        <v>FES1162729742</v>
      </c>
      <c r="D846" s="8" t="s">
        <v>19</v>
      </c>
      <c r="E846" s="8" t="s">
        <v>199</v>
      </c>
      <c r="F846" s="8" t="str">
        <f>"2170719861 "</f>
        <v xml:space="preserve">2170719861 </v>
      </c>
      <c r="G846" s="8" t="str">
        <f t="shared" si="26"/>
        <v>ON1</v>
      </c>
      <c r="H846" s="8" t="s">
        <v>21</v>
      </c>
      <c r="I846" s="8" t="s">
        <v>200</v>
      </c>
      <c r="J846" s="8" t="str">
        <f>""</f>
        <v/>
      </c>
      <c r="K846" s="8" t="str">
        <f>"PFES1162729742_0001"</f>
        <v>PFES1162729742_0001</v>
      </c>
      <c r="L846" s="8">
        <v>2</v>
      </c>
      <c r="M846" s="8">
        <v>13</v>
      </c>
    </row>
    <row r="847" spans="1:13">
      <c r="A847" s="6">
        <v>43496</v>
      </c>
      <c r="B847" s="7">
        <v>0.66249999999999998</v>
      </c>
      <c r="C847" s="8" t="str">
        <f>"FES1162729742"</f>
        <v>FES1162729742</v>
      </c>
      <c r="D847" s="8" t="s">
        <v>19</v>
      </c>
      <c r="E847" s="8" t="s">
        <v>61</v>
      </c>
      <c r="F847" s="8" t="str">
        <f>"2170671697 "</f>
        <v xml:space="preserve">2170671697 </v>
      </c>
      <c r="G847" s="8" t="str">
        <f t="shared" si="26"/>
        <v>ON1</v>
      </c>
      <c r="H847" s="8" t="s">
        <v>21</v>
      </c>
      <c r="I847" s="8" t="s">
        <v>28</v>
      </c>
      <c r="J847" s="8" t="str">
        <f>""</f>
        <v/>
      </c>
      <c r="K847" s="8" t="str">
        <f>"PFES1162729742_0002"</f>
        <v>PFES1162729742_0002</v>
      </c>
      <c r="L847" s="8">
        <v>1</v>
      </c>
      <c r="M847" s="8">
        <v>1</v>
      </c>
    </row>
    <row r="848" spans="1:13">
      <c r="A848" s="6">
        <v>43840</v>
      </c>
      <c r="B848" s="7">
        <v>0.60625000000000007</v>
      </c>
      <c r="C848" s="8" t="str">
        <f>"FES1162730707"</f>
        <v>FES1162730707</v>
      </c>
      <c r="D848" s="8" t="s">
        <v>19</v>
      </c>
      <c r="E848" s="8" t="s">
        <v>387</v>
      </c>
      <c r="F848" s="8" t="str">
        <f>"2170723308 "</f>
        <v xml:space="preserve">2170723308 </v>
      </c>
      <c r="G848" s="8" t="str">
        <f t="shared" si="26"/>
        <v>ON1</v>
      </c>
      <c r="H848" s="8" t="s">
        <v>21</v>
      </c>
      <c r="I848" s="8" t="s">
        <v>202</v>
      </c>
      <c r="J848" s="8" t="str">
        <f>""</f>
        <v/>
      </c>
      <c r="K848" s="8" t="str">
        <f>"PFES1162730707_0001"</f>
        <v>PFES1162730707_0001</v>
      </c>
      <c r="L848" s="8">
        <v>1</v>
      </c>
      <c r="M848" s="8">
        <v>1</v>
      </c>
    </row>
    <row r="849" spans="1:13">
      <c r="A849" s="6">
        <v>43840</v>
      </c>
      <c r="B849" s="7">
        <v>0.60555555555555551</v>
      </c>
      <c r="C849" s="8" t="str">
        <f>"FES1162730722"</f>
        <v>FES1162730722</v>
      </c>
      <c r="D849" s="8" t="s">
        <v>19</v>
      </c>
      <c r="E849" s="8" t="s">
        <v>563</v>
      </c>
      <c r="F849" s="8" t="str">
        <f>"2170723319 "</f>
        <v xml:space="preserve">2170723319 </v>
      </c>
      <c r="G849" s="8" t="str">
        <f t="shared" si="26"/>
        <v>ON1</v>
      </c>
      <c r="H849" s="8" t="s">
        <v>21</v>
      </c>
      <c r="I849" s="8" t="s">
        <v>564</v>
      </c>
      <c r="J849" s="8" t="str">
        <f>""</f>
        <v/>
      </c>
      <c r="K849" s="8" t="str">
        <f>"PFES1162730722_0001"</f>
        <v>PFES1162730722_0001</v>
      </c>
      <c r="L849" s="8">
        <v>1</v>
      </c>
      <c r="M849" s="8">
        <v>2</v>
      </c>
    </row>
    <row r="850" spans="1:13">
      <c r="A850" s="6">
        <v>43840</v>
      </c>
      <c r="B850" s="7">
        <v>0.60555555555555551</v>
      </c>
      <c r="C850" s="8" t="str">
        <f>"FES1162730718"</f>
        <v>FES1162730718</v>
      </c>
      <c r="D850" s="8" t="s">
        <v>19</v>
      </c>
      <c r="E850" s="8" t="s">
        <v>116</v>
      </c>
      <c r="F850" s="8" t="str">
        <f>"2170723312 "</f>
        <v xml:space="preserve">2170723312 </v>
      </c>
      <c r="G850" s="8" t="str">
        <f t="shared" si="26"/>
        <v>ON1</v>
      </c>
      <c r="H850" s="8" t="s">
        <v>21</v>
      </c>
      <c r="I850" s="8" t="s">
        <v>96</v>
      </c>
      <c r="J850" s="8" t="str">
        <f>""</f>
        <v/>
      </c>
      <c r="K850" s="8" t="str">
        <f>"PFES1162730718_0001"</f>
        <v>PFES1162730718_0001</v>
      </c>
      <c r="L850" s="8">
        <v>1</v>
      </c>
      <c r="M850" s="8">
        <v>1</v>
      </c>
    </row>
    <row r="851" spans="1:13">
      <c r="A851" s="6">
        <v>43840</v>
      </c>
      <c r="B851" s="7">
        <v>0.60486111111111118</v>
      </c>
      <c r="C851" s="8" t="str">
        <f>"FES1162730029"</f>
        <v>FES1162730029</v>
      </c>
      <c r="D851" s="8" t="s">
        <v>19</v>
      </c>
      <c r="E851" s="8" t="s">
        <v>33</v>
      </c>
      <c r="F851" s="8" t="str">
        <f>"2170721998 "</f>
        <v xml:space="preserve">2170721998 </v>
      </c>
      <c r="G851" s="8" t="str">
        <f t="shared" si="26"/>
        <v>ON1</v>
      </c>
      <c r="H851" s="8" t="s">
        <v>21</v>
      </c>
      <c r="I851" s="8" t="s">
        <v>34</v>
      </c>
      <c r="J851" s="8" t="str">
        <f>""</f>
        <v/>
      </c>
      <c r="K851" s="8" t="str">
        <f>"PFES1162730029_0001"</f>
        <v>PFES1162730029_0001</v>
      </c>
      <c r="L851" s="8">
        <v>1</v>
      </c>
      <c r="M851" s="8">
        <v>5</v>
      </c>
    </row>
    <row r="852" spans="1:13">
      <c r="A852" s="6">
        <v>43840</v>
      </c>
      <c r="B852" s="7">
        <v>0.60486111111111118</v>
      </c>
      <c r="C852" s="8" t="str">
        <f>"FES1162730632"</f>
        <v>FES1162730632</v>
      </c>
      <c r="D852" s="8" t="s">
        <v>19</v>
      </c>
      <c r="E852" s="8" t="s">
        <v>101</v>
      </c>
      <c r="F852" s="8" t="str">
        <f>"2170723376 "</f>
        <v xml:space="preserve">2170723376 </v>
      </c>
      <c r="G852" s="8" t="str">
        <f t="shared" si="26"/>
        <v>ON1</v>
      </c>
      <c r="H852" s="8" t="s">
        <v>21</v>
      </c>
      <c r="I852" s="8" t="s">
        <v>102</v>
      </c>
      <c r="J852" s="8" t="str">
        <f>""</f>
        <v/>
      </c>
      <c r="K852" s="8" t="str">
        <f>"PFES1162730632_0001"</f>
        <v>PFES1162730632_0001</v>
      </c>
      <c r="L852" s="8">
        <v>1</v>
      </c>
      <c r="M852" s="8">
        <v>3</v>
      </c>
    </row>
    <row r="853" spans="1:13">
      <c r="A853" s="6">
        <v>43840</v>
      </c>
      <c r="B853" s="7">
        <v>0.60486111111111118</v>
      </c>
      <c r="C853" s="8" t="str">
        <f>"FES1162730687"</f>
        <v>FES1162730687</v>
      </c>
      <c r="D853" s="8" t="s">
        <v>19</v>
      </c>
      <c r="E853" s="8" t="s">
        <v>565</v>
      </c>
      <c r="F853" s="8" t="str">
        <f>"2170723288 "</f>
        <v xml:space="preserve">2170723288 </v>
      </c>
      <c r="G853" s="8" t="str">
        <f t="shared" si="26"/>
        <v>ON1</v>
      </c>
      <c r="H853" s="8" t="s">
        <v>21</v>
      </c>
      <c r="I853" s="8" t="s">
        <v>247</v>
      </c>
      <c r="J853" s="8" t="str">
        <f>""</f>
        <v/>
      </c>
      <c r="K853" s="8" t="str">
        <f>"PFES1162730687_0001"</f>
        <v>PFES1162730687_0001</v>
      </c>
      <c r="L853" s="8">
        <v>1</v>
      </c>
      <c r="M853" s="8">
        <v>1</v>
      </c>
    </row>
    <row r="854" spans="1:13">
      <c r="A854" s="6">
        <v>43840</v>
      </c>
      <c r="B854" s="7">
        <v>0.60416666666666663</v>
      </c>
      <c r="C854" s="8" t="str">
        <f>"FES1162730735"</f>
        <v>FES1162730735</v>
      </c>
      <c r="D854" s="8" t="s">
        <v>19</v>
      </c>
      <c r="E854" s="8" t="s">
        <v>308</v>
      </c>
      <c r="F854" s="8" t="str">
        <f>"2170723336 "</f>
        <v xml:space="preserve">2170723336 </v>
      </c>
      <c r="G854" s="8" t="str">
        <f t="shared" si="26"/>
        <v>ON1</v>
      </c>
      <c r="H854" s="8" t="s">
        <v>21</v>
      </c>
      <c r="I854" s="8" t="s">
        <v>309</v>
      </c>
      <c r="J854" s="8" t="str">
        <f>""</f>
        <v/>
      </c>
      <c r="K854" s="8" t="str">
        <f>"PFES1162730735_0001"</f>
        <v>PFES1162730735_0001</v>
      </c>
      <c r="L854" s="8">
        <v>1</v>
      </c>
      <c r="M854" s="8">
        <v>4</v>
      </c>
    </row>
    <row r="855" spans="1:13">
      <c r="A855" s="6">
        <v>43840</v>
      </c>
      <c r="B855" s="7">
        <v>0.60416666666666663</v>
      </c>
      <c r="C855" s="8" t="str">
        <f>"FES1162730576"</f>
        <v>FES1162730576</v>
      </c>
      <c r="D855" s="8" t="s">
        <v>19</v>
      </c>
      <c r="E855" s="8" t="s">
        <v>153</v>
      </c>
      <c r="F855" s="8" t="str">
        <f>"2170720208 "</f>
        <v xml:space="preserve">2170720208 </v>
      </c>
      <c r="G855" s="8" t="str">
        <f t="shared" si="26"/>
        <v>ON1</v>
      </c>
      <c r="H855" s="8" t="s">
        <v>21</v>
      </c>
      <c r="I855" s="8" t="s">
        <v>146</v>
      </c>
      <c r="J855" s="8" t="str">
        <f>""</f>
        <v/>
      </c>
      <c r="K855" s="8" t="str">
        <f>"PFES1162730576_0001"</f>
        <v>PFES1162730576_0001</v>
      </c>
      <c r="L855" s="8">
        <v>1</v>
      </c>
      <c r="M855" s="8">
        <v>18</v>
      </c>
    </row>
    <row r="856" spans="1:13">
      <c r="A856" s="6">
        <v>43840</v>
      </c>
      <c r="B856" s="7">
        <v>0.60416666666666663</v>
      </c>
      <c r="C856" s="8" t="str">
        <f>"FES1162730738"</f>
        <v>FES1162730738</v>
      </c>
      <c r="D856" s="8" t="s">
        <v>19</v>
      </c>
      <c r="E856" s="8" t="s">
        <v>426</v>
      </c>
      <c r="F856" s="8" t="str">
        <f>"21707233339 "</f>
        <v xml:space="preserve">21707233339 </v>
      </c>
      <c r="G856" s="8" t="str">
        <f t="shared" si="26"/>
        <v>ON1</v>
      </c>
      <c r="H856" s="8" t="s">
        <v>21</v>
      </c>
      <c r="I856" s="8" t="s">
        <v>26</v>
      </c>
      <c r="J856" s="8" t="str">
        <f>""</f>
        <v/>
      </c>
      <c r="K856" s="8" t="str">
        <f>"PFES1162730738_0001"</f>
        <v>PFES1162730738_0001</v>
      </c>
      <c r="L856" s="8">
        <v>1</v>
      </c>
      <c r="M856" s="8">
        <v>8</v>
      </c>
    </row>
    <row r="857" spans="1:13">
      <c r="A857" s="6">
        <v>43840</v>
      </c>
      <c r="B857" s="7">
        <v>0.60347222222222219</v>
      </c>
      <c r="C857" s="8" t="str">
        <f>"FES1162730728"</f>
        <v>FES1162730728</v>
      </c>
      <c r="D857" s="8" t="s">
        <v>19</v>
      </c>
      <c r="E857" s="8" t="s">
        <v>37</v>
      </c>
      <c r="F857" s="8" t="str">
        <f>"2170723324 "</f>
        <v xml:space="preserve">2170723324 </v>
      </c>
      <c r="G857" s="8" t="str">
        <f t="shared" si="26"/>
        <v>ON1</v>
      </c>
      <c r="H857" s="8" t="s">
        <v>21</v>
      </c>
      <c r="I857" s="8" t="s">
        <v>38</v>
      </c>
      <c r="J857" s="8" t="str">
        <f>""</f>
        <v/>
      </c>
      <c r="K857" s="8" t="str">
        <f>"PFES1162730728_0001"</f>
        <v>PFES1162730728_0001</v>
      </c>
      <c r="L857" s="8">
        <v>1</v>
      </c>
      <c r="M857" s="8">
        <v>3</v>
      </c>
    </row>
    <row r="858" spans="1:13">
      <c r="A858" s="6">
        <v>43840</v>
      </c>
      <c r="B858" s="7">
        <v>0.60347222222222219</v>
      </c>
      <c r="C858" s="8" t="str">
        <f>"FES1162730645"</f>
        <v>FES1162730645</v>
      </c>
      <c r="D858" s="8" t="s">
        <v>19</v>
      </c>
      <c r="E858" s="8" t="s">
        <v>566</v>
      </c>
      <c r="F858" s="8" t="str">
        <f>"2170723226 "</f>
        <v xml:space="preserve">2170723226 </v>
      </c>
      <c r="G858" s="8" t="str">
        <f t="shared" si="26"/>
        <v>ON1</v>
      </c>
      <c r="H858" s="8" t="s">
        <v>21</v>
      </c>
      <c r="I858" s="8" t="s">
        <v>249</v>
      </c>
      <c r="J858" s="8" t="str">
        <f>""</f>
        <v/>
      </c>
      <c r="K858" s="8" t="str">
        <f>"PFES1162730645_0001"</f>
        <v>PFES1162730645_0001</v>
      </c>
      <c r="L858" s="8">
        <v>1</v>
      </c>
      <c r="M858" s="8">
        <v>1</v>
      </c>
    </row>
    <row r="859" spans="1:13">
      <c r="A859" s="6">
        <v>43840</v>
      </c>
      <c r="B859" s="7">
        <v>0.60347222222222219</v>
      </c>
      <c r="C859" s="8" t="str">
        <f>"FES1162730595"</f>
        <v>FES1162730595</v>
      </c>
      <c r="D859" s="8" t="s">
        <v>19</v>
      </c>
      <c r="E859" s="8" t="s">
        <v>84</v>
      </c>
      <c r="F859" s="8" t="str">
        <f>"2170717906 "</f>
        <v xml:space="preserve">2170717906 </v>
      </c>
      <c r="G859" s="8" t="str">
        <f t="shared" si="26"/>
        <v>ON1</v>
      </c>
      <c r="H859" s="8" t="s">
        <v>21</v>
      </c>
      <c r="I859" s="8" t="s">
        <v>85</v>
      </c>
      <c r="J859" s="8" t="str">
        <f>""</f>
        <v/>
      </c>
      <c r="K859" s="8" t="str">
        <f>"PFES1162730595_0001"</f>
        <v>PFES1162730595_0001</v>
      </c>
      <c r="L859" s="8">
        <v>1</v>
      </c>
      <c r="M859" s="8">
        <v>4</v>
      </c>
    </row>
    <row r="860" spans="1:13">
      <c r="A860" s="6">
        <v>43840</v>
      </c>
      <c r="B860" s="7">
        <v>0.60347222222222219</v>
      </c>
      <c r="C860" s="8" t="str">
        <f>"FES1162730713"</f>
        <v>FES1162730713</v>
      </c>
      <c r="D860" s="8" t="s">
        <v>19</v>
      </c>
      <c r="E860" s="8" t="s">
        <v>352</v>
      </c>
      <c r="F860" s="8" t="str">
        <f>"2170722464 "</f>
        <v xml:space="preserve">2170722464 </v>
      </c>
      <c r="G860" s="8" t="str">
        <f t="shared" si="26"/>
        <v>ON1</v>
      </c>
      <c r="H860" s="8" t="s">
        <v>21</v>
      </c>
      <c r="I860" s="8" t="s">
        <v>114</v>
      </c>
      <c r="J860" s="8" t="str">
        <f>""</f>
        <v/>
      </c>
      <c r="K860" s="8" t="str">
        <f>"PFES1162730713_0001"</f>
        <v>PFES1162730713_0001</v>
      </c>
      <c r="L860" s="8">
        <v>1</v>
      </c>
      <c r="M860" s="8">
        <v>5</v>
      </c>
    </row>
    <row r="861" spans="1:13">
      <c r="A861" s="6">
        <v>43840</v>
      </c>
      <c r="B861" s="7">
        <v>0.60277777777777775</v>
      </c>
      <c r="C861" s="8" t="str">
        <f>"FES1162730709"</f>
        <v>FES1162730709</v>
      </c>
      <c r="D861" s="8" t="s">
        <v>19</v>
      </c>
      <c r="E861" s="8" t="s">
        <v>567</v>
      </c>
      <c r="F861" s="8" t="str">
        <f>"2170720843 "</f>
        <v xml:space="preserve">2170720843 </v>
      </c>
      <c r="G861" s="8" t="str">
        <f t="shared" si="26"/>
        <v>ON1</v>
      </c>
      <c r="H861" s="8" t="s">
        <v>21</v>
      </c>
      <c r="I861" s="8" t="s">
        <v>202</v>
      </c>
      <c r="J861" s="8" t="str">
        <f>""</f>
        <v/>
      </c>
      <c r="K861" s="8" t="str">
        <f>"PFES1162730709_0001"</f>
        <v>PFES1162730709_0001</v>
      </c>
      <c r="L861" s="8">
        <v>1</v>
      </c>
      <c r="M861" s="8">
        <v>8</v>
      </c>
    </row>
    <row r="862" spans="1:13">
      <c r="A862" s="6">
        <v>43840</v>
      </c>
      <c r="B862" s="7">
        <v>0.60277777777777775</v>
      </c>
      <c r="C862" s="8" t="str">
        <f>"FES1162730647"</f>
        <v>FES1162730647</v>
      </c>
      <c r="D862" s="8" t="s">
        <v>19</v>
      </c>
      <c r="E862" s="8" t="s">
        <v>398</v>
      </c>
      <c r="F862" s="8" t="str">
        <f>"2170723228 "</f>
        <v xml:space="preserve">2170723228 </v>
      </c>
      <c r="G862" s="8" t="str">
        <f t="shared" si="26"/>
        <v>ON1</v>
      </c>
      <c r="H862" s="8" t="s">
        <v>21</v>
      </c>
      <c r="I862" s="8" t="s">
        <v>399</v>
      </c>
      <c r="J862" s="8" t="str">
        <f>""</f>
        <v/>
      </c>
      <c r="K862" s="8" t="str">
        <f>"PFES1162730647_0001"</f>
        <v>PFES1162730647_0001</v>
      </c>
      <c r="L862" s="8">
        <v>1</v>
      </c>
      <c r="M862" s="8">
        <v>5</v>
      </c>
    </row>
    <row r="863" spans="1:13">
      <c r="A863" s="6">
        <v>43840</v>
      </c>
      <c r="B863" s="7">
        <v>0.6020833333333333</v>
      </c>
      <c r="C863" s="8" t="str">
        <f>"FES1162730664"</f>
        <v>FES1162730664</v>
      </c>
      <c r="D863" s="8" t="s">
        <v>19</v>
      </c>
      <c r="E863" s="8" t="s">
        <v>290</v>
      </c>
      <c r="F863" s="8" t="str">
        <f>"217072454 "</f>
        <v xml:space="preserve">217072454 </v>
      </c>
      <c r="G863" s="8" t="str">
        <f t="shared" si="26"/>
        <v>ON1</v>
      </c>
      <c r="H863" s="8" t="s">
        <v>21</v>
      </c>
      <c r="I863" s="8" t="s">
        <v>291</v>
      </c>
      <c r="J863" s="8" t="str">
        <f>""</f>
        <v/>
      </c>
      <c r="K863" s="8" t="str">
        <f>"PFES1162730664_0001"</f>
        <v>PFES1162730664_0001</v>
      </c>
      <c r="L863" s="8">
        <v>1</v>
      </c>
      <c r="M863" s="8">
        <v>3</v>
      </c>
    </row>
    <row r="864" spans="1:13">
      <c r="A864" s="6">
        <v>43840</v>
      </c>
      <c r="B864" s="7">
        <v>0.6020833333333333</v>
      </c>
      <c r="C864" s="8" t="str">
        <f>"FES1162730653"</f>
        <v>FES1162730653</v>
      </c>
      <c r="D864" s="8" t="s">
        <v>19</v>
      </c>
      <c r="E864" s="8" t="s">
        <v>547</v>
      </c>
      <c r="F864" s="8" t="str">
        <f>"2170723238 "</f>
        <v xml:space="preserve">2170723238 </v>
      </c>
      <c r="G864" s="8" t="str">
        <f t="shared" si="26"/>
        <v>ON1</v>
      </c>
      <c r="H864" s="8" t="s">
        <v>21</v>
      </c>
      <c r="I864" s="8" t="s">
        <v>548</v>
      </c>
      <c r="J864" s="8" t="str">
        <f>""</f>
        <v/>
      </c>
      <c r="K864" s="8" t="str">
        <f>"PFES1162730653_0001"</f>
        <v>PFES1162730653_0001</v>
      </c>
      <c r="L864" s="8">
        <v>1</v>
      </c>
      <c r="M864" s="8">
        <v>2</v>
      </c>
    </row>
    <row r="865" spans="1:13">
      <c r="A865" s="6">
        <v>43840</v>
      </c>
      <c r="B865" s="7">
        <v>0.6020833333333333</v>
      </c>
      <c r="C865" s="8" t="str">
        <f>"FES1162730700"</f>
        <v>FES1162730700</v>
      </c>
      <c r="D865" s="8" t="s">
        <v>19</v>
      </c>
      <c r="E865" s="8" t="s">
        <v>232</v>
      </c>
      <c r="F865" s="8" t="str">
        <f>"2170723300 "</f>
        <v xml:space="preserve">2170723300 </v>
      </c>
      <c r="G865" s="8" t="str">
        <f t="shared" si="26"/>
        <v>ON1</v>
      </c>
      <c r="H865" s="8" t="s">
        <v>21</v>
      </c>
      <c r="I865" s="8" t="s">
        <v>247</v>
      </c>
      <c r="J865" s="8" t="str">
        <f>""</f>
        <v/>
      </c>
      <c r="K865" s="8" t="str">
        <f>"PFES1162730700_0001"</f>
        <v>PFES1162730700_0001</v>
      </c>
      <c r="L865" s="8">
        <v>1</v>
      </c>
      <c r="M865" s="8">
        <v>1</v>
      </c>
    </row>
    <row r="866" spans="1:13">
      <c r="A866" s="6">
        <v>43840</v>
      </c>
      <c r="B866" s="7">
        <v>0.60138888888888886</v>
      </c>
      <c r="C866" s="8" t="str">
        <f>"FES1162730592"</f>
        <v>FES1162730592</v>
      </c>
      <c r="D866" s="8" t="s">
        <v>19</v>
      </c>
      <c r="E866" s="8" t="s">
        <v>293</v>
      </c>
      <c r="F866" s="8" t="str">
        <f>"2170723223 "</f>
        <v xml:space="preserve">2170723223 </v>
      </c>
      <c r="G866" s="8" t="str">
        <f t="shared" si="26"/>
        <v>ON1</v>
      </c>
      <c r="H866" s="8" t="s">
        <v>21</v>
      </c>
      <c r="I866" s="8" t="s">
        <v>294</v>
      </c>
      <c r="J866" s="8" t="str">
        <f>""</f>
        <v/>
      </c>
      <c r="K866" s="8" t="str">
        <f>"PFES1162730592_0001"</f>
        <v>PFES1162730592_0001</v>
      </c>
      <c r="L866" s="8">
        <v>1</v>
      </c>
      <c r="M866" s="8">
        <v>8</v>
      </c>
    </row>
    <row r="867" spans="1:13">
      <c r="A867" s="6">
        <v>43840</v>
      </c>
      <c r="B867" s="7">
        <v>0.60138888888888886</v>
      </c>
      <c r="C867" s="8" t="str">
        <f>"FES1162730746"</f>
        <v>FES1162730746</v>
      </c>
      <c r="D867" s="8" t="s">
        <v>19</v>
      </c>
      <c r="E867" s="8" t="s">
        <v>298</v>
      </c>
      <c r="F867" s="8" t="str">
        <f>"2170723349 "</f>
        <v xml:space="preserve">2170723349 </v>
      </c>
      <c r="G867" s="8" t="str">
        <f t="shared" si="26"/>
        <v>ON1</v>
      </c>
      <c r="H867" s="8" t="s">
        <v>21</v>
      </c>
      <c r="I867" s="8" t="s">
        <v>299</v>
      </c>
      <c r="J867" s="8" t="str">
        <f>""</f>
        <v/>
      </c>
      <c r="K867" s="8" t="str">
        <f>"PFES1162730746_0001"</f>
        <v>PFES1162730746_0001</v>
      </c>
      <c r="L867" s="8">
        <v>1</v>
      </c>
      <c r="M867" s="8">
        <v>3</v>
      </c>
    </row>
    <row r="868" spans="1:13">
      <c r="A868" s="6">
        <v>43840</v>
      </c>
      <c r="B868" s="7">
        <v>0.60069444444444442</v>
      </c>
      <c r="C868" s="8" t="str">
        <f>"FES1162730667"</f>
        <v>FES1162730667</v>
      </c>
      <c r="D868" s="8" t="s">
        <v>19</v>
      </c>
      <c r="E868" s="8" t="s">
        <v>568</v>
      </c>
      <c r="F868" s="8" t="str">
        <f>"2170719110 "</f>
        <v xml:space="preserve">2170719110 </v>
      </c>
      <c r="G868" s="8" t="str">
        <f t="shared" si="26"/>
        <v>ON1</v>
      </c>
      <c r="H868" s="8" t="s">
        <v>21</v>
      </c>
      <c r="I868" s="8" t="s">
        <v>569</v>
      </c>
      <c r="J868" s="8" t="str">
        <f>""</f>
        <v/>
      </c>
      <c r="K868" s="8" t="str">
        <f>"PFES1162730667_0001"</f>
        <v>PFES1162730667_0001</v>
      </c>
      <c r="L868" s="8">
        <v>1</v>
      </c>
      <c r="M868" s="8">
        <v>3</v>
      </c>
    </row>
    <row r="869" spans="1:13">
      <c r="A869" s="6">
        <v>43840</v>
      </c>
      <c r="B869" s="7">
        <v>0.6</v>
      </c>
      <c r="C869" s="8" t="str">
        <f>"FES1162730663"</f>
        <v>FES1162730663</v>
      </c>
      <c r="D869" s="8" t="s">
        <v>19</v>
      </c>
      <c r="E869" s="8" t="s">
        <v>290</v>
      </c>
      <c r="F869" s="8" t="str">
        <f>"2170712452 "</f>
        <v xml:space="preserve">2170712452 </v>
      </c>
      <c r="G869" s="8" t="str">
        <f t="shared" si="26"/>
        <v>ON1</v>
      </c>
      <c r="H869" s="8" t="s">
        <v>21</v>
      </c>
      <c r="I869" s="8" t="s">
        <v>291</v>
      </c>
      <c r="J869" s="8" t="str">
        <f>""</f>
        <v/>
      </c>
      <c r="K869" s="8" t="str">
        <f>"PFES1162730663_0001"</f>
        <v>PFES1162730663_0001</v>
      </c>
      <c r="L869" s="8">
        <v>1</v>
      </c>
      <c r="M869" s="8">
        <v>5</v>
      </c>
    </row>
    <row r="870" spans="1:13">
      <c r="A870" s="6">
        <v>43840</v>
      </c>
      <c r="B870" s="7">
        <v>0.6</v>
      </c>
      <c r="C870" s="8" t="str">
        <f>"FES1162730694"</f>
        <v>FES1162730694</v>
      </c>
      <c r="D870" s="8" t="s">
        <v>19</v>
      </c>
      <c r="E870" s="8" t="s">
        <v>240</v>
      </c>
      <c r="F870" s="8" t="str">
        <f>"2170723295 "</f>
        <v xml:space="preserve">2170723295 </v>
      </c>
      <c r="G870" s="8" t="str">
        <f t="shared" si="26"/>
        <v>ON1</v>
      </c>
      <c r="H870" s="8" t="s">
        <v>21</v>
      </c>
      <c r="I870" s="8" t="s">
        <v>241</v>
      </c>
      <c r="J870" s="8" t="str">
        <f>""</f>
        <v/>
      </c>
      <c r="K870" s="8" t="str">
        <f>"PFES1162730694_0001"</f>
        <v>PFES1162730694_0001</v>
      </c>
      <c r="L870" s="8">
        <v>1</v>
      </c>
      <c r="M870" s="8">
        <v>1</v>
      </c>
    </row>
    <row r="871" spans="1:13">
      <c r="A871" s="6">
        <v>43840</v>
      </c>
      <c r="B871" s="7">
        <v>0.6</v>
      </c>
      <c r="C871" s="8" t="str">
        <f>"FES1162730640"</f>
        <v>FES1162730640</v>
      </c>
      <c r="D871" s="8" t="s">
        <v>19</v>
      </c>
      <c r="E871" s="8" t="s">
        <v>570</v>
      </c>
      <c r="F871" s="8" t="str">
        <f>"2170722797 "</f>
        <v xml:space="preserve">2170722797 </v>
      </c>
      <c r="G871" s="8" t="str">
        <f t="shared" si="26"/>
        <v>ON1</v>
      </c>
      <c r="H871" s="8" t="s">
        <v>21</v>
      </c>
      <c r="I871" s="8" t="s">
        <v>193</v>
      </c>
      <c r="J871" s="8" t="str">
        <f>""</f>
        <v/>
      </c>
      <c r="K871" s="8" t="str">
        <f>"PFES1162730640_0001"</f>
        <v>PFES1162730640_0001</v>
      </c>
      <c r="L871" s="8">
        <v>1</v>
      </c>
      <c r="M871" s="8">
        <v>2</v>
      </c>
    </row>
    <row r="872" spans="1:13">
      <c r="A872" s="6">
        <v>43840</v>
      </c>
      <c r="B872" s="7">
        <v>0.59930555555555554</v>
      </c>
      <c r="C872" s="8" t="str">
        <f>"FES1162730736"</f>
        <v>FES1162730736</v>
      </c>
      <c r="D872" s="8" t="s">
        <v>19</v>
      </c>
      <c r="E872" s="8" t="s">
        <v>180</v>
      </c>
      <c r="F872" s="8" t="str">
        <f>"2170723337 "</f>
        <v xml:space="preserve">2170723337 </v>
      </c>
      <c r="G872" s="8" t="str">
        <f t="shared" si="26"/>
        <v>ON1</v>
      </c>
      <c r="H872" s="8" t="s">
        <v>21</v>
      </c>
      <c r="I872" s="8" t="s">
        <v>28</v>
      </c>
      <c r="J872" s="8" t="str">
        <f>""</f>
        <v/>
      </c>
      <c r="K872" s="8" t="str">
        <f>"PFES1162730736_0001"</f>
        <v>PFES1162730736_0001</v>
      </c>
      <c r="L872" s="8">
        <v>1</v>
      </c>
      <c r="M872" s="8">
        <v>5</v>
      </c>
    </row>
    <row r="873" spans="1:13">
      <c r="A873" s="6">
        <v>43840</v>
      </c>
      <c r="B873" s="7">
        <v>0.59930555555555554</v>
      </c>
      <c r="C873" s="8" t="str">
        <f>"FES1162730715"</f>
        <v>FES1162730715</v>
      </c>
      <c r="D873" s="8" t="s">
        <v>19</v>
      </c>
      <c r="E873" s="8" t="s">
        <v>343</v>
      </c>
      <c r="F873" s="8" t="str">
        <f>"2170722749 "</f>
        <v xml:space="preserve">2170722749 </v>
      </c>
      <c r="G873" s="8" t="str">
        <f t="shared" si="26"/>
        <v>ON1</v>
      </c>
      <c r="H873" s="8" t="s">
        <v>21</v>
      </c>
      <c r="I873" s="8" t="s">
        <v>344</v>
      </c>
      <c r="J873" s="8" t="str">
        <f>""</f>
        <v/>
      </c>
      <c r="K873" s="8" t="str">
        <f>"PFES1162730715_0001"</f>
        <v>PFES1162730715_0001</v>
      </c>
      <c r="L873" s="8">
        <v>1</v>
      </c>
      <c r="M873" s="8">
        <v>1</v>
      </c>
    </row>
    <row r="874" spans="1:13">
      <c r="A874" s="6">
        <v>43840</v>
      </c>
      <c r="B874" s="7">
        <v>0.59861111111111109</v>
      </c>
      <c r="C874" s="8" t="str">
        <f>"FES1162730616"</f>
        <v>FES1162730616</v>
      </c>
      <c r="D874" s="8" t="s">
        <v>19</v>
      </c>
      <c r="E874" s="8" t="s">
        <v>101</v>
      </c>
      <c r="F874" s="8" t="str">
        <f>" 217072242"</f>
        <v xml:space="preserve"> 217072242</v>
      </c>
      <c r="G874" s="8" t="str">
        <f t="shared" si="26"/>
        <v>ON1</v>
      </c>
      <c r="H874" s="8" t="s">
        <v>21</v>
      </c>
      <c r="I874" s="8" t="s">
        <v>102</v>
      </c>
      <c r="J874" s="8" t="str">
        <f>""</f>
        <v/>
      </c>
      <c r="K874" s="8" t="str">
        <f>"PFES1162730616_0001"</f>
        <v>PFES1162730616_0001</v>
      </c>
      <c r="L874" s="8">
        <v>1</v>
      </c>
      <c r="M874" s="8">
        <v>2</v>
      </c>
    </row>
    <row r="875" spans="1:13">
      <c r="A875" s="6">
        <v>43840</v>
      </c>
      <c r="B875" s="7">
        <v>0.59861111111111109</v>
      </c>
      <c r="C875" s="8" t="str">
        <f>"FES1162730719"</f>
        <v>FES1162730719</v>
      </c>
      <c r="D875" s="8" t="s">
        <v>19</v>
      </c>
      <c r="E875" s="8" t="s">
        <v>571</v>
      </c>
      <c r="F875" s="8" t="str">
        <f>"2170723315 "</f>
        <v xml:space="preserve">2170723315 </v>
      </c>
      <c r="G875" s="8" t="str">
        <f t="shared" si="26"/>
        <v>ON1</v>
      </c>
      <c r="H875" s="8" t="s">
        <v>21</v>
      </c>
      <c r="I875" s="8" t="s">
        <v>76</v>
      </c>
      <c r="J875" s="8" t="str">
        <f>""</f>
        <v/>
      </c>
      <c r="K875" s="8" t="str">
        <f>"PFES1162730719_0001"</f>
        <v>PFES1162730719_0001</v>
      </c>
      <c r="L875" s="8">
        <v>1</v>
      </c>
      <c r="M875" s="8">
        <v>5</v>
      </c>
    </row>
    <row r="876" spans="1:13">
      <c r="A876" s="6">
        <v>43840</v>
      </c>
      <c r="B876" s="7">
        <v>0.59791666666666665</v>
      </c>
      <c r="C876" s="8" t="str">
        <f>"FES1162730732"</f>
        <v>FES1162730732</v>
      </c>
      <c r="D876" s="8" t="s">
        <v>19</v>
      </c>
      <c r="E876" s="8" t="s">
        <v>572</v>
      </c>
      <c r="F876" s="8" t="str">
        <f>"2170723332 "</f>
        <v xml:space="preserve">2170723332 </v>
      </c>
      <c r="G876" s="8" t="str">
        <f t="shared" si="26"/>
        <v>ON1</v>
      </c>
      <c r="H876" s="8" t="s">
        <v>21</v>
      </c>
      <c r="I876" s="8" t="s">
        <v>573</v>
      </c>
      <c r="J876" s="8" t="str">
        <f>""</f>
        <v/>
      </c>
      <c r="K876" s="8" t="str">
        <f>"PFES1162730732_0001"</f>
        <v>PFES1162730732_0001</v>
      </c>
      <c r="L876" s="8">
        <v>1</v>
      </c>
      <c r="M876" s="8">
        <v>2</v>
      </c>
    </row>
    <row r="877" spans="1:13">
      <c r="A877" s="6">
        <v>43840</v>
      </c>
      <c r="B877" s="7">
        <v>0.59722222222222221</v>
      </c>
      <c r="C877" s="8" t="str">
        <f>"FES1162730710"</f>
        <v>FES1162730710</v>
      </c>
      <c r="D877" s="8" t="s">
        <v>19</v>
      </c>
      <c r="E877" s="8" t="s">
        <v>574</v>
      </c>
      <c r="F877" s="8" t="str">
        <f>"2170721081 "</f>
        <v xml:space="preserve">2170721081 </v>
      </c>
      <c r="G877" s="8" t="str">
        <f t="shared" si="26"/>
        <v>ON1</v>
      </c>
      <c r="H877" s="8" t="s">
        <v>21</v>
      </c>
      <c r="I877" s="8" t="s">
        <v>499</v>
      </c>
      <c r="J877" s="8" t="str">
        <f>""</f>
        <v/>
      </c>
      <c r="K877" s="8" t="str">
        <f>"PFES1162730710_0001"</f>
        <v>PFES1162730710_0001</v>
      </c>
      <c r="L877" s="8">
        <v>1</v>
      </c>
      <c r="M877" s="8">
        <v>5</v>
      </c>
    </row>
    <row r="878" spans="1:13">
      <c r="A878" s="6">
        <v>43840</v>
      </c>
      <c r="B878" s="7">
        <v>0.59583333333333333</v>
      </c>
      <c r="C878" s="8" t="str">
        <f>"FES1162730714"</f>
        <v>FES1162730714</v>
      </c>
      <c r="D878" s="8" t="s">
        <v>19</v>
      </c>
      <c r="E878" s="8" t="s">
        <v>120</v>
      </c>
      <c r="F878" s="8" t="str">
        <f>"2170722615 "</f>
        <v xml:space="preserve">2170722615 </v>
      </c>
      <c r="G878" s="8" t="str">
        <f t="shared" si="26"/>
        <v>ON1</v>
      </c>
      <c r="H878" s="8" t="s">
        <v>21</v>
      </c>
      <c r="I878" s="8" t="s">
        <v>121</v>
      </c>
      <c r="J878" s="8" t="str">
        <f>""</f>
        <v/>
      </c>
      <c r="K878" s="8" t="str">
        <f>"PFES1162730714_0001"</f>
        <v>PFES1162730714_0001</v>
      </c>
      <c r="L878" s="8">
        <v>1</v>
      </c>
      <c r="M878" s="8">
        <v>5</v>
      </c>
    </row>
    <row r="879" spans="1:13">
      <c r="A879" s="6">
        <v>43840</v>
      </c>
      <c r="B879" s="7">
        <v>0.57152777777777775</v>
      </c>
      <c r="C879" s="8" t="str">
        <f>"FES1162730721"</f>
        <v>FES1162730721</v>
      </c>
      <c r="D879" s="8" t="s">
        <v>19</v>
      </c>
      <c r="E879" s="8" t="s">
        <v>120</v>
      </c>
      <c r="F879" s="8" t="str">
        <f>"2170723318 "</f>
        <v xml:space="preserve">2170723318 </v>
      </c>
      <c r="G879" s="8" t="str">
        <f t="shared" si="26"/>
        <v>ON1</v>
      </c>
      <c r="H879" s="8" t="s">
        <v>21</v>
      </c>
      <c r="I879" s="8" t="s">
        <v>121</v>
      </c>
      <c r="J879" s="8" t="str">
        <f>""</f>
        <v/>
      </c>
      <c r="K879" s="8" t="str">
        <f>"PFES1162730721_0001"</f>
        <v>PFES1162730721_0001</v>
      </c>
      <c r="L879" s="8">
        <v>1</v>
      </c>
      <c r="M879" s="8">
        <v>1</v>
      </c>
    </row>
    <row r="880" spans="1:13">
      <c r="A880" s="6">
        <v>43840</v>
      </c>
      <c r="B880" s="7">
        <v>0.5708333333333333</v>
      </c>
      <c r="C880" s="8" t="str">
        <f>"FES1162730706"</f>
        <v>FES1162730706</v>
      </c>
      <c r="D880" s="8" t="s">
        <v>19</v>
      </c>
      <c r="E880" s="8" t="s">
        <v>184</v>
      </c>
      <c r="F880" s="8" t="str">
        <f>"2170723307 "</f>
        <v xml:space="preserve">2170723307 </v>
      </c>
      <c r="G880" s="8" t="str">
        <f t="shared" si="26"/>
        <v>ON1</v>
      </c>
      <c r="H880" s="8" t="s">
        <v>21</v>
      </c>
      <c r="I880" s="8" t="s">
        <v>49</v>
      </c>
      <c r="J880" s="8" t="str">
        <f>""</f>
        <v/>
      </c>
      <c r="K880" s="8" t="str">
        <f>"PFES1162730706_0001"</f>
        <v>PFES1162730706_0001</v>
      </c>
      <c r="L880" s="8">
        <v>1</v>
      </c>
      <c r="M880" s="8">
        <v>1</v>
      </c>
    </row>
    <row r="881" spans="1:13">
      <c r="A881" s="6">
        <v>43840</v>
      </c>
      <c r="B881" s="7">
        <v>0.5708333333333333</v>
      </c>
      <c r="C881" s="8" t="str">
        <f>"FES1162730703"</f>
        <v>FES1162730703</v>
      </c>
      <c r="D881" s="8" t="s">
        <v>19</v>
      </c>
      <c r="E881" s="8" t="s">
        <v>184</v>
      </c>
      <c r="F881" s="8" t="str">
        <f>"21707233047 "</f>
        <v xml:space="preserve">21707233047 </v>
      </c>
      <c r="G881" s="8" t="str">
        <f t="shared" si="26"/>
        <v>ON1</v>
      </c>
      <c r="H881" s="8" t="s">
        <v>21</v>
      </c>
      <c r="I881" s="8" t="s">
        <v>49</v>
      </c>
      <c r="J881" s="8" t="str">
        <f>""</f>
        <v/>
      </c>
      <c r="K881" s="8" t="str">
        <f>"PFES1162730703_0001"</f>
        <v>PFES1162730703_0001</v>
      </c>
      <c r="L881" s="8">
        <v>1</v>
      </c>
      <c r="M881" s="8">
        <v>1</v>
      </c>
    </row>
    <row r="882" spans="1:13">
      <c r="A882" s="6">
        <v>43840</v>
      </c>
      <c r="B882" s="7">
        <v>0.57013888888888886</v>
      </c>
      <c r="C882" s="8" t="str">
        <f>"FES1162730702"</f>
        <v>FES1162730702</v>
      </c>
      <c r="D882" s="8" t="s">
        <v>19</v>
      </c>
      <c r="E882" s="8" t="s">
        <v>64</v>
      </c>
      <c r="F882" s="8" t="str">
        <f>"2170723303 "</f>
        <v xml:space="preserve">2170723303 </v>
      </c>
      <c r="G882" s="8" t="str">
        <f t="shared" si="26"/>
        <v>ON1</v>
      </c>
      <c r="H882" s="8" t="s">
        <v>21</v>
      </c>
      <c r="I882" s="8" t="s">
        <v>60</v>
      </c>
      <c r="J882" s="8" t="str">
        <f>""</f>
        <v/>
      </c>
      <c r="K882" s="8" t="str">
        <f>"PFES1162730702_0001"</f>
        <v>PFES1162730702_0001</v>
      </c>
      <c r="L882" s="8">
        <v>1</v>
      </c>
      <c r="M882" s="8">
        <v>1</v>
      </c>
    </row>
    <row r="883" spans="1:13">
      <c r="A883" s="6">
        <v>43840</v>
      </c>
      <c r="B883" s="7">
        <v>0.56944444444444442</v>
      </c>
      <c r="C883" s="8" t="str">
        <f>"FES1162730692"</f>
        <v>FES1162730692</v>
      </c>
      <c r="D883" s="8" t="s">
        <v>19</v>
      </c>
      <c r="E883" s="8" t="s">
        <v>132</v>
      </c>
      <c r="F883" s="8" t="str">
        <f>"2170723293 "</f>
        <v xml:space="preserve">2170723293 </v>
      </c>
      <c r="G883" s="8" t="str">
        <f t="shared" si="26"/>
        <v>ON1</v>
      </c>
      <c r="H883" s="8" t="s">
        <v>21</v>
      </c>
      <c r="I883" s="8" t="s">
        <v>133</v>
      </c>
      <c r="J883" s="8" t="str">
        <f>""</f>
        <v/>
      </c>
      <c r="K883" s="8" t="str">
        <f>"PFES1162730692_0001"</f>
        <v>PFES1162730692_0001</v>
      </c>
      <c r="L883" s="8">
        <v>1</v>
      </c>
      <c r="M883" s="8">
        <v>1</v>
      </c>
    </row>
    <row r="884" spans="1:13">
      <c r="A884" s="6">
        <v>43840</v>
      </c>
      <c r="B884" s="7">
        <v>0.56805555555555554</v>
      </c>
      <c r="C884" s="8" t="str">
        <f>"009935712114"</f>
        <v>009935712114</v>
      </c>
      <c r="D884" s="8" t="s">
        <v>19</v>
      </c>
      <c r="E884" s="8" t="s">
        <v>575</v>
      </c>
      <c r="F884" s="8" t="str">
        <f>"1162726741 "</f>
        <v xml:space="preserve">1162726741 </v>
      </c>
      <c r="G884" s="8" t="str">
        <f t="shared" si="26"/>
        <v>ON1</v>
      </c>
      <c r="H884" s="8" t="s">
        <v>21</v>
      </c>
      <c r="I884" s="8" t="s">
        <v>576</v>
      </c>
      <c r="J884" s="8" t="str">
        <f>"RE SEND PARCEL"</f>
        <v>RE SEND PARCEL</v>
      </c>
      <c r="K884" s="8" t="str">
        <f>"P009935712114_0001"</f>
        <v>P009935712114_0001</v>
      </c>
      <c r="L884" s="8">
        <v>1</v>
      </c>
      <c r="M884" s="8">
        <v>1</v>
      </c>
    </row>
    <row r="885" spans="1:13">
      <c r="A885" s="6">
        <v>43840</v>
      </c>
      <c r="B885" s="7">
        <v>0.56388888888888888</v>
      </c>
      <c r="C885" s="8" t="str">
        <f>"FES1162730690"</f>
        <v>FES1162730690</v>
      </c>
      <c r="D885" s="8" t="s">
        <v>19</v>
      </c>
      <c r="E885" s="8" t="s">
        <v>101</v>
      </c>
      <c r="F885" s="8" t="str">
        <f>"2170723291 "</f>
        <v xml:space="preserve">2170723291 </v>
      </c>
      <c r="G885" s="8" t="str">
        <f t="shared" ref="G885:G898" si="27">"ON1"</f>
        <v>ON1</v>
      </c>
      <c r="H885" s="8" t="s">
        <v>21</v>
      </c>
      <c r="I885" s="8" t="s">
        <v>102</v>
      </c>
      <c r="J885" s="8" t="str">
        <f>""</f>
        <v/>
      </c>
      <c r="K885" s="8" t="str">
        <f>"PFES1162730690_0001"</f>
        <v>PFES1162730690_0001</v>
      </c>
      <c r="L885" s="8">
        <v>1</v>
      </c>
      <c r="M885" s="8">
        <v>1</v>
      </c>
    </row>
    <row r="886" spans="1:13">
      <c r="A886" s="6">
        <v>43840</v>
      </c>
      <c r="B886" s="7">
        <v>0.55902777777777779</v>
      </c>
      <c r="C886" s="8" t="str">
        <f>"FES1162730600"</f>
        <v>FES1162730600</v>
      </c>
      <c r="D886" s="8" t="s">
        <v>19</v>
      </c>
      <c r="E886" s="8" t="s">
        <v>101</v>
      </c>
      <c r="F886" s="8" t="str">
        <f>"2170720170 "</f>
        <v xml:space="preserve">2170720170 </v>
      </c>
      <c r="G886" s="8" t="str">
        <f t="shared" si="27"/>
        <v>ON1</v>
      </c>
      <c r="H886" s="8" t="s">
        <v>21</v>
      </c>
      <c r="I886" s="8" t="s">
        <v>102</v>
      </c>
      <c r="J886" s="8" t="str">
        <f>""</f>
        <v/>
      </c>
      <c r="K886" s="8" t="str">
        <f>"PFES1162730600_0001"</f>
        <v>PFES1162730600_0001</v>
      </c>
      <c r="L886" s="8">
        <v>1</v>
      </c>
      <c r="M886" s="8">
        <v>1</v>
      </c>
    </row>
    <row r="887" spans="1:13">
      <c r="A887" s="6">
        <v>43840</v>
      </c>
      <c r="B887" s="7">
        <v>0.55833333333333335</v>
      </c>
      <c r="C887" s="8" t="str">
        <f>"FES1162730642"</f>
        <v>FES1162730642</v>
      </c>
      <c r="D887" s="8" t="s">
        <v>19</v>
      </c>
      <c r="E887" s="8" t="s">
        <v>434</v>
      </c>
      <c r="F887" s="8" t="str">
        <f>"2170722925 "</f>
        <v xml:space="preserve">2170722925 </v>
      </c>
      <c r="G887" s="8" t="str">
        <f t="shared" si="27"/>
        <v>ON1</v>
      </c>
      <c r="H887" s="8" t="s">
        <v>21</v>
      </c>
      <c r="I887" s="8" t="s">
        <v>104</v>
      </c>
      <c r="J887" s="8" t="str">
        <f>""</f>
        <v/>
      </c>
      <c r="K887" s="8" t="str">
        <f>"PFES1162730642_0001"</f>
        <v>PFES1162730642_0001</v>
      </c>
      <c r="L887" s="8">
        <v>1</v>
      </c>
      <c r="M887" s="8">
        <v>1</v>
      </c>
    </row>
    <row r="888" spans="1:13">
      <c r="A888" s="6">
        <v>43840</v>
      </c>
      <c r="B888" s="7">
        <v>0.55625000000000002</v>
      </c>
      <c r="C888" s="8" t="str">
        <f>"FES1162730594"</f>
        <v>FES1162730594</v>
      </c>
      <c r="D888" s="8" t="s">
        <v>19</v>
      </c>
      <c r="E888" s="8" t="s">
        <v>577</v>
      </c>
      <c r="F888" s="8" t="str">
        <f>"2170709752 "</f>
        <v xml:space="preserve">2170709752 </v>
      </c>
      <c r="G888" s="8" t="str">
        <f t="shared" si="27"/>
        <v>ON1</v>
      </c>
      <c r="H888" s="8" t="s">
        <v>21</v>
      </c>
      <c r="I888" s="8" t="s">
        <v>320</v>
      </c>
      <c r="J888" s="8" t="str">
        <f>""</f>
        <v/>
      </c>
      <c r="K888" s="8" t="str">
        <f>"PFES1162730594_0001"</f>
        <v>PFES1162730594_0001</v>
      </c>
      <c r="L888" s="8">
        <v>1</v>
      </c>
      <c r="M888" s="8">
        <v>1</v>
      </c>
    </row>
    <row r="889" spans="1:13">
      <c r="A889" s="6">
        <v>43840</v>
      </c>
      <c r="B889" s="7">
        <v>0.55555555555555558</v>
      </c>
      <c r="C889" s="8" t="str">
        <f>"FES1162730628"</f>
        <v>FES1162730628</v>
      </c>
      <c r="D889" s="8" t="s">
        <v>19</v>
      </c>
      <c r="E889" s="8" t="s">
        <v>557</v>
      </c>
      <c r="F889" s="8" t="str">
        <f>"2170722334 "</f>
        <v xml:space="preserve">2170722334 </v>
      </c>
      <c r="G889" s="8" t="str">
        <f t="shared" si="27"/>
        <v>ON1</v>
      </c>
      <c r="H889" s="8" t="s">
        <v>21</v>
      </c>
      <c r="I889" s="8" t="s">
        <v>558</v>
      </c>
      <c r="J889" s="8" t="str">
        <f>""</f>
        <v/>
      </c>
      <c r="K889" s="8" t="str">
        <f>"PFES1162730628_0001"</f>
        <v>PFES1162730628_0001</v>
      </c>
      <c r="L889" s="8">
        <v>1</v>
      </c>
      <c r="M889" s="8">
        <v>1</v>
      </c>
    </row>
    <row r="890" spans="1:13">
      <c r="A890" s="6">
        <v>43840</v>
      </c>
      <c r="B890" s="7">
        <v>0.55486111111111114</v>
      </c>
      <c r="C890" s="8" t="str">
        <f>"FES1162729537"</f>
        <v>FES1162729537</v>
      </c>
      <c r="D890" s="8" t="s">
        <v>19</v>
      </c>
      <c r="E890" s="8" t="s">
        <v>33</v>
      </c>
      <c r="F890" s="8" t="str">
        <f>"2170721998 "</f>
        <v xml:space="preserve">2170721998 </v>
      </c>
      <c r="G890" s="8" t="str">
        <f t="shared" si="27"/>
        <v>ON1</v>
      </c>
      <c r="H890" s="8" t="s">
        <v>21</v>
      </c>
      <c r="I890" s="8" t="s">
        <v>34</v>
      </c>
      <c r="J890" s="8" t="str">
        <f>""</f>
        <v/>
      </c>
      <c r="K890" s="8" t="str">
        <f>"PFES1162729537_0001"</f>
        <v>PFES1162729537_0001</v>
      </c>
      <c r="L890" s="8">
        <v>1</v>
      </c>
      <c r="M890" s="8">
        <v>1</v>
      </c>
    </row>
    <row r="891" spans="1:13">
      <c r="A891" s="6">
        <v>43840</v>
      </c>
      <c r="B891" s="7">
        <v>0.55347222222222225</v>
      </c>
      <c r="C891" s="8" t="str">
        <f>"FES1162728911"</f>
        <v>FES1162728911</v>
      </c>
      <c r="D891" s="8" t="s">
        <v>19</v>
      </c>
      <c r="E891" s="8" t="s">
        <v>33</v>
      </c>
      <c r="F891" s="8" t="str">
        <f>"2170721999 "</f>
        <v xml:space="preserve">2170721999 </v>
      </c>
      <c r="G891" s="8" t="str">
        <f t="shared" si="27"/>
        <v>ON1</v>
      </c>
      <c r="H891" s="8" t="s">
        <v>21</v>
      </c>
      <c r="I891" s="8" t="s">
        <v>34</v>
      </c>
      <c r="J891" s="8" t="str">
        <f>""</f>
        <v/>
      </c>
      <c r="K891" s="8" t="str">
        <f>"PFES1162728911_0001"</f>
        <v>PFES1162728911_0001</v>
      </c>
      <c r="L891" s="8">
        <v>1</v>
      </c>
      <c r="M891" s="8">
        <v>1</v>
      </c>
    </row>
    <row r="892" spans="1:13">
      <c r="A892" s="6">
        <v>43840</v>
      </c>
      <c r="B892" s="7">
        <v>0.55277777777777781</v>
      </c>
      <c r="C892" s="8" t="str">
        <f>"FES1162730727"</f>
        <v>FES1162730727</v>
      </c>
      <c r="D892" s="8" t="s">
        <v>19</v>
      </c>
      <c r="E892" s="8" t="s">
        <v>578</v>
      </c>
      <c r="F892" s="8" t="str">
        <f>"2170723323 "</f>
        <v xml:space="preserve">2170723323 </v>
      </c>
      <c r="G892" s="8" t="str">
        <f t="shared" si="27"/>
        <v>ON1</v>
      </c>
      <c r="H892" s="8" t="s">
        <v>21</v>
      </c>
      <c r="I892" s="8" t="s">
        <v>270</v>
      </c>
      <c r="J892" s="8" t="str">
        <f>""</f>
        <v/>
      </c>
      <c r="K892" s="8" t="str">
        <f>"PFES1162730727_0001"</f>
        <v>PFES1162730727_0001</v>
      </c>
      <c r="L892" s="8">
        <v>1</v>
      </c>
      <c r="M892" s="8">
        <v>1</v>
      </c>
    </row>
    <row r="893" spans="1:13">
      <c r="A893" s="6">
        <v>43840</v>
      </c>
      <c r="B893" s="7">
        <v>0.53749999999999998</v>
      </c>
      <c r="C893" s="8" t="str">
        <f>"FES1162730671"</f>
        <v>FES1162730671</v>
      </c>
      <c r="D893" s="8" t="s">
        <v>19</v>
      </c>
      <c r="E893" s="8" t="s">
        <v>128</v>
      </c>
      <c r="F893" s="8" t="str">
        <f>"2170723258 "</f>
        <v xml:space="preserve">2170723258 </v>
      </c>
      <c r="G893" s="8" t="str">
        <f t="shared" si="27"/>
        <v>ON1</v>
      </c>
      <c r="H893" s="8" t="s">
        <v>21</v>
      </c>
      <c r="I893" s="8" t="s">
        <v>129</v>
      </c>
      <c r="J893" s="8" t="str">
        <f>""</f>
        <v/>
      </c>
      <c r="K893" s="8" t="str">
        <f>"PFES1162730671_0001"</f>
        <v>PFES1162730671_0001</v>
      </c>
      <c r="L893" s="8">
        <v>1</v>
      </c>
      <c r="M893" s="8">
        <v>3</v>
      </c>
    </row>
    <row r="894" spans="1:13">
      <c r="A894" s="6">
        <v>43840</v>
      </c>
      <c r="B894" s="7">
        <v>0.53680555555555554</v>
      </c>
      <c r="C894" s="8" t="str">
        <f>"FES1162730689"</f>
        <v>FES1162730689</v>
      </c>
      <c r="D894" s="8" t="s">
        <v>19</v>
      </c>
      <c r="E894" s="8" t="s">
        <v>221</v>
      </c>
      <c r="F894" s="8" t="str">
        <f>"2170723290 "</f>
        <v xml:space="preserve">2170723290 </v>
      </c>
      <c r="G894" s="8" t="str">
        <f t="shared" si="27"/>
        <v>ON1</v>
      </c>
      <c r="H894" s="8" t="s">
        <v>21</v>
      </c>
      <c r="I894" s="8" t="s">
        <v>31</v>
      </c>
      <c r="J894" s="8" t="str">
        <f>""</f>
        <v/>
      </c>
      <c r="K894" s="8" t="str">
        <f>"PFES1162730689_0001"</f>
        <v>PFES1162730689_0001</v>
      </c>
      <c r="L894" s="8">
        <v>1</v>
      </c>
      <c r="M894" s="8">
        <v>1</v>
      </c>
    </row>
    <row r="895" spans="1:13">
      <c r="A895" s="6">
        <v>43840</v>
      </c>
      <c r="B895" s="7">
        <v>0.53680555555555554</v>
      </c>
      <c r="C895" s="8" t="str">
        <f>"FES1162730704"</f>
        <v>FES1162730704</v>
      </c>
      <c r="D895" s="8" t="s">
        <v>19</v>
      </c>
      <c r="E895" s="8" t="s">
        <v>579</v>
      </c>
      <c r="F895" s="8" t="str">
        <f>"2170723302 "</f>
        <v xml:space="preserve">2170723302 </v>
      </c>
      <c r="G895" s="8" t="str">
        <f t="shared" si="27"/>
        <v>ON1</v>
      </c>
      <c r="H895" s="8" t="s">
        <v>21</v>
      </c>
      <c r="I895" s="8" t="s">
        <v>165</v>
      </c>
      <c r="J895" s="8" t="str">
        <f>""</f>
        <v/>
      </c>
      <c r="K895" s="8" t="str">
        <f>"PFES1162730704_0001"</f>
        <v>PFES1162730704_0001</v>
      </c>
      <c r="L895" s="8">
        <v>1</v>
      </c>
      <c r="M895" s="8">
        <v>2</v>
      </c>
    </row>
    <row r="896" spans="1:13">
      <c r="A896" s="6">
        <v>43840</v>
      </c>
      <c r="B896" s="7">
        <v>0.53611111111111109</v>
      </c>
      <c r="C896" s="8" t="str">
        <f>"FES1162730705"</f>
        <v>FES1162730705</v>
      </c>
      <c r="D896" s="8" t="s">
        <v>19</v>
      </c>
      <c r="E896" s="8" t="s">
        <v>580</v>
      </c>
      <c r="F896" s="8" t="str">
        <f>"2170723306 "</f>
        <v xml:space="preserve">2170723306 </v>
      </c>
      <c r="G896" s="8" t="str">
        <f t="shared" si="27"/>
        <v>ON1</v>
      </c>
      <c r="H896" s="8" t="s">
        <v>21</v>
      </c>
      <c r="I896" s="8" t="s">
        <v>581</v>
      </c>
      <c r="J896" s="8" t="str">
        <f>""</f>
        <v/>
      </c>
      <c r="K896" s="8" t="str">
        <f>"PFES1162730705_0001"</f>
        <v>PFES1162730705_0001</v>
      </c>
      <c r="L896" s="8">
        <v>1</v>
      </c>
      <c r="M896" s="8">
        <v>3</v>
      </c>
    </row>
    <row r="897" spans="1:13">
      <c r="A897" s="6">
        <v>43840</v>
      </c>
      <c r="B897" s="7">
        <v>0.53611111111111109</v>
      </c>
      <c r="C897" s="8" t="str">
        <f>"FES1162730688"</f>
        <v>FES1162730688</v>
      </c>
      <c r="D897" s="8" t="s">
        <v>19</v>
      </c>
      <c r="E897" s="8" t="s">
        <v>582</v>
      </c>
      <c r="F897" s="8" t="str">
        <f>"2170718309 "</f>
        <v xml:space="preserve">2170718309 </v>
      </c>
      <c r="G897" s="8" t="str">
        <f t="shared" si="27"/>
        <v>ON1</v>
      </c>
      <c r="H897" s="8" t="s">
        <v>21</v>
      </c>
      <c r="I897" s="8" t="s">
        <v>63</v>
      </c>
      <c r="J897" s="8" t="str">
        <f>""</f>
        <v/>
      </c>
      <c r="K897" s="8" t="str">
        <f>"PFES1162730688_0001"</f>
        <v>PFES1162730688_0001</v>
      </c>
      <c r="L897" s="8">
        <v>2</v>
      </c>
      <c r="M897" s="8">
        <v>4</v>
      </c>
    </row>
    <row r="898" spans="1:13">
      <c r="A898" s="6">
        <v>43840</v>
      </c>
      <c r="B898" s="7">
        <v>0.53611111111111109</v>
      </c>
      <c r="C898" s="8" t="str">
        <f>"FES1162730688"</f>
        <v>FES1162730688</v>
      </c>
      <c r="D898" s="8" t="s">
        <v>19</v>
      </c>
      <c r="E898" s="8" t="s">
        <v>582</v>
      </c>
      <c r="F898" s="8" t="str">
        <f>"2170718309 "</f>
        <v xml:space="preserve">2170718309 </v>
      </c>
      <c r="G898" s="8" t="str">
        <f t="shared" si="27"/>
        <v>ON1</v>
      </c>
      <c r="H898" s="8" t="s">
        <v>21</v>
      </c>
      <c r="I898" s="8" t="s">
        <v>63</v>
      </c>
      <c r="J898" s="8"/>
      <c r="K898" s="8" t="str">
        <f>"PFES1162730688_0002"</f>
        <v>PFES1162730688_0002</v>
      </c>
      <c r="L898" s="8">
        <v>2</v>
      </c>
      <c r="M898" s="8">
        <v>4</v>
      </c>
    </row>
    <row r="899" spans="1:13">
      <c r="A899" s="6">
        <v>43840</v>
      </c>
      <c r="B899" s="7">
        <v>0.53333333333333333</v>
      </c>
      <c r="C899" s="8" t="str">
        <f>"FES1162730698"</f>
        <v>FES1162730698</v>
      </c>
      <c r="D899" s="8" t="s">
        <v>19</v>
      </c>
      <c r="E899" s="8" t="s">
        <v>64</v>
      </c>
      <c r="F899" s="8" t="str">
        <f>"2170719258 "</f>
        <v xml:space="preserve">2170719258 </v>
      </c>
      <c r="G899" s="8" t="str">
        <f>"DBC"</f>
        <v>DBC</v>
      </c>
      <c r="H899" s="8" t="s">
        <v>21</v>
      </c>
      <c r="I899" s="8" t="s">
        <v>60</v>
      </c>
      <c r="J899" s="8" t="str">
        <f>""</f>
        <v/>
      </c>
      <c r="K899" s="8" t="str">
        <f>"PFES1162730698_0001"</f>
        <v>PFES1162730698_0001</v>
      </c>
      <c r="L899" s="8">
        <v>2</v>
      </c>
      <c r="M899" s="8">
        <v>20</v>
      </c>
    </row>
    <row r="900" spans="1:13">
      <c r="A900" s="6">
        <v>43840</v>
      </c>
      <c r="B900" s="7">
        <v>0.53333333333333333</v>
      </c>
      <c r="C900" s="8" t="str">
        <f>"FES1162730698"</f>
        <v>FES1162730698</v>
      </c>
      <c r="D900" s="8" t="s">
        <v>19</v>
      </c>
      <c r="E900" s="8" t="s">
        <v>64</v>
      </c>
      <c r="F900" s="8" t="str">
        <f>"2170719258 "</f>
        <v xml:space="preserve">2170719258 </v>
      </c>
      <c r="G900" s="8" t="str">
        <f>"DBC"</f>
        <v>DBC</v>
      </c>
      <c r="H900" s="8" t="s">
        <v>21</v>
      </c>
      <c r="I900" s="8" t="s">
        <v>60</v>
      </c>
      <c r="J900" s="8"/>
      <c r="K900" s="8" t="str">
        <f>"PFES1162730698_0002"</f>
        <v>PFES1162730698_0002</v>
      </c>
      <c r="L900" s="8">
        <v>2</v>
      </c>
      <c r="M900" s="8">
        <v>20</v>
      </c>
    </row>
    <row r="901" spans="1:13">
      <c r="A901" s="6">
        <v>43840</v>
      </c>
      <c r="B901" s="7">
        <v>0.53333333333333333</v>
      </c>
      <c r="C901" s="8" t="str">
        <f>"FES1162730674"</f>
        <v>FES1162730674</v>
      </c>
      <c r="D901" s="8" t="s">
        <v>19</v>
      </c>
      <c r="E901" s="8" t="s">
        <v>384</v>
      </c>
      <c r="F901" s="8" t="str">
        <f>"2170723234 "</f>
        <v xml:space="preserve">2170723234 </v>
      </c>
      <c r="G901" s="8" t="str">
        <f t="shared" ref="G901:G930" si="28">"ON1"</f>
        <v>ON1</v>
      </c>
      <c r="H901" s="8" t="s">
        <v>21</v>
      </c>
      <c r="I901" s="8" t="s">
        <v>270</v>
      </c>
      <c r="J901" s="8" t="str">
        <f>""</f>
        <v/>
      </c>
      <c r="K901" s="8" t="str">
        <f>"PFES1162730674_0001"</f>
        <v>PFES1162730674_0001</v>
      </c>
      <c r="L901" s="8">
        <v>1</v>
      </c>
      <c r="M901" s="8">
        <v>1</v>
      </c>
    </row>
    <row r="902" spans="1:13">
      <c r="A902" s="6">
        <v>43840</v>
      </c>
      <c r="B902" s="7">
        <v>0.53333333333333333</v>
      </c>
      <c r="C902" s="8" t="str">
        <f>"FES1162730697"</f>
        <v>FES1162730697</v>
      </c>
      <c r="D902" s="8" t="s">
        <v>19</v>
      </c>
      <c r="E902" s="8" t="s">
        <v>132</v>
      </c>
      <c r="F902" s="8" t="str">
        <f>"2170723299 "</f>
        <v xml:space="preserve">2170723299 </v>
      </c>
      <c r="G902" s="8" t="str">
        <f t="shared" si="28"/>
        <v>ON1</v>
      </c>
      <c r="H902" s="8" t="s">
        <v>21</v>
      </c>
      <c r="I902" s="8" t="s">
        <v>133</v>
      </c>
      <c r="J902" s="8" t="str">
        <f>""</f>
        <v/>
      </c>
      <c r="K902" s="8" t="str">
        <f>"PFES1162730697_0001"</f>
        <v>PFES1162730697_0001</v>
      </c>
      <c r="L902" s="8">
        <v>1</v>
      </c>
      <c r="M902" s="8">
        <v>16</v>
      </c>
    </row>
    <row r="903" spans="1:13">
      <c r="A903" s="6">
        <v>43840</v>
      </c>
      <c r="B903" s="7">
        <v>0.53125</v>
      </c>
      <c r="C903" s="8" t="str">
        <f>"FES1162730717"</f>
        <v>FES1162730717</v>
      </c>
      <c r="D903" s="8" t="s">
        <v>19</v>
      </c>
      <c r="E903" s="8" t="s">
        <v>583</v>
      </c>
      <c r="F903" s="8" t="str">
        <f>"2170723310 "</f>
        <v xml:space="preserve">2170723310 </v>
      </c>
      <c r="G903" s="8" t="str">
        <f t="shared" si="28"/>
        <v>ON1</v>
      </c>
      <c r="H903" s="8" t="s">
        <v>21</v>
      </c>
      <c r="I903" s="8" t="s">
        <v>584</v>
      </c>
      <c r="J903" s="8" t="str">
        <f>""</f>
        <v/>
      </c>
      <c r="K903" s="8" t="str">
        <f>"PFES1162730717_0001"</f>
        <v>PFES1162730717_0001</v>
      </c>
      <c r="L903" s="8">
        <v>1</v>
      </c>
      <c r="M903" s="8">
        <v>1</v>
      </c>
    </row>
    <row r="904" spans="1:13">
      <c r="A904" s="6">
        <v>43840</v>
      </c>
      <c r="B904" s="7">
        <v>0.53055555555555556</v>
      </c>
      <c r="C904" s="8" t="str">
        <f>"FES1162730676"</f>
        <v>FES1162730676</v>
      </c>
      <c r="D904" s="8" t="s">
        <v>19</v>
      </c>
      <c r="E904" s="8" t="s">
        <v>153</v>
      </c>
      <c r="F904" s="8" t="str">
        <f>"2170723265 "</f>
        <v xml:space="preserve">2170723265 </v>
      </c>
      <c r="G904" s="8" t="str">
        <f t="shared" si="28"/>
        <v>ON1</v>
      </c>
      <c r="H904" s="8" t="s">
        <v>21</v>
      </c>
      <c r="I904" s="8" t="s">
        <v>146</v>
      </c>
      <c r="J904" s="8" t="str">
        <f>""</f>
        <v/>
      </c>
      <c r="K904" s="8" t="str">
        <f>"PFES1162730676_0001"</f>
        <v>PFES1162730676_0001</v>
      </c>
      <c r="L904" s="8">
        <v>1</v>
      </c>
      <c r="M904" s="8">
        <v>3</v>
      </c>
    </row>
    <row r="905" spans="1:13">
      <c r="A905" s="6">
        <v>43840</v>
      </c>
      <c r="B905" s="7">
        <v>0.52986111111111112</v>
      </c>
      <c r="C905" s="8" t="str">
        <f>"FES1162730678"</f>
        <v>FES1162730678</v>
      </c>
      <c r="D905" s="8" t="s">
        <v>19</v>
      </c>
      <c r="E905" s="8" t="s">
        <v>352</v>
      </c>
      <c r="F905" s="8" t="str">
        <f>"2170723268 "</f>
        <v xml:space="preserve">2170723268 </v>
      </c>
      <c r="G905" s="8" t="str">
        <f t="shared" si="28"/>
        <v>ON1</v>
      </c>
      <c r="H905" s="8" t="s">
        <v>21</v>
      </c>
      <c r="I905" s="8" t="s">
        <v>114</v>
      </c>
      <c r="J905" s="8" t="str">
        <f>""</f>
        <v/>
      </c>
      <c r="K905" s="8" t="str">
        <f>"PFES1162730678_0001"</f>
        <v>PFES1162730678_0001</v>
      </c>
      <c r="L905" s="8">
        <v>1</v>
      </c>
      <c r="M905" s="8">
        <v>2</v>
      </c>
    </row>
    <row r="906" spans="1:13">
      <c r="A906" s="6">
        <v>43840</v>
      </c>
      <c r="B906" s="7">
        <v>0.52916666666666667</v>
      </c>
      <c r="C906" s="8" t="str">
        <f>"FES1162730701"</f>
        <v>FES1162730701</v>
      </c>
      <c r="D906" s="8" t="s">
        <v>19</v>
      </c>
      <c r="E906" s="8" t="s">
        <v>142</v>
      </c>
      <c r="F906" s="8" t="str">
        <f>"2170723301 "</f>
        <v xml:space="preserve">2170723301 </v>
      </c>
      <c r="G906" s="8" t="str">
        <f t="shared" si="28"/>
        <v>ON1</v>
      </c>
      <c r="H906" s="8" t="s">
        <v>21</v>
      </c>
      <c r="I906" s="8" t="s">
        <v>123</v>
      </c>
      <c r="J906" s="8" t="str">
        <f>""</f>
        <v/>
      </c>
      <c r="K906" s="8" t="str">
        <f>"PFES1162730701_0001"</f>
        <v>PFES1162730701_0001</v>
      </c>
      <c r="L906" s="8">
        <v>1</v>
      </c>
      <c r="M906" s="8">
        <v>8</v>
      </c>
    </row>
    <row r="907" spans="1:13">
      <c r="A907" s="6">
        <v>43840</v>
      </c>
      <c r="B907" s="7">
        <v>0.52847222222222223</v>
      </c>
      <c r="C907" s="8" t="str">
        <f>"FES1162730609"</f>
        <v>FES1162730609</v>
      </c>
      <c r="D907" s="8" t="s">
        <v>19</v>
      </c>
      <c r="E907" s="8" t="s">
        <v>585</v>
      </c>
      <c r="F907" s="8" t="str">
        <f>"2170720886 "</f>
        <v xml:space="preserve">2170720886 </v>
      </c>
      <c r="G907" s="8" t="str">
        <f t="shared" si="28"/>
        <v>ON1</v>
      </c>
      <c r="H907" s="8" t="s">
        <v>21</v>
      </c>
      <c r="I907" s="8" t="s">
        <v>198</v>
      </c>
      <c r="J907" s="8" t="str">
        <f>""</f>
        <v/>
      </c>
      <c r="K907" s="8" t="str">
        <f>"PFES1162730609_0001"</f>
        <v>PFES1162730609_0001</v>
      </c>
      <c r="L907" s="8">
        <v>1</v>
      </c>
      <c r="M907" s="8">
        <v>3</v>
      </c>
    </row>
    <row r="908" spans="1:13">
      <c r="A908" s="6">
        <v>43840</v>
      </c>
      <c r="B908" s="7">
        <v>0.52777777777777779</v>
      </c>
      <c r="C908" s="8" t="str">
        <f>"FES1162730605"</f>
        <v>FES1162730605</v>
      </c>
      <c r="D908" s="8" t="s">
        <v>19</v>
      </c>
      <c r="E908" s="8" t="s">
        <v>585</v>
      </c>
      <c r="F908" s="8" t="str">
        <f>"2170720709 "</f>
        <v xml:space="preserve">2170720709 </v>
      </c>
      <c r="G908" s="8" t="str">
        <f t="shared" si="28"/>
        <v>ON1</v>
      </c>
      <c r="H908" s="8" t="s">
        <v>21</v>
      </c>
      <c r="I908" s="8" t="s">
        <v>198</v>
      </c>
      <c r="J908" s="8" t="str">
        <f>""</f>
        <v/>
      </c>
      <c r="K908" s="8" t="str">
        <f>"PFES1162730605_0001"</f>
        <v>PFES1162730605_0001</v>
      </c>
      <c r="L908" s="8">
        <v>1</v>
      </c>
      <c r="M908" s="8">
        <v>4</v>
      </c>
    </row>
    <row r="909" spans="1:13">
      <c r="A909" s="6">
        <v>43840</v>
      </c>
      <c r="B909" s="7">
        <v>0.51388888888888895</v>
      </c>
      <c r="C909" s="8" t="str">
        <f>"FES1162730665"</f>
        <v>FES1162730665</v>
      </c>
      <c r="D909" s="8" t="s">
        <v>19</v>
      </c>
      <c r="E909" s="8" t="s">
        <v>400</v>
      </c>
      <c r="F909" s="8" t="str">
        <f>"2170723253 "</f>
        <v xml:space="preserve">2170723253 </v>
      </c>
      <c r="G909" s="8" t="str">
        <f t="shared" si="28"/>
        <v>ON1</v>
      </c>
      <c r="H909" s="8" t="s">
        <v>21</v>
      </c>
      <c r="I909" s="8" t="s">
        <v>96</v>
      </c>
      <c r="J909" s="8" t="str">
        <f>""</f>
        <v/>
      </c>
      <c r="K909" s="8" t="str">
        <f>"PFES1162730665_0001"</f>
        <v>PFES1162730665_0001</v>
      </c>
      <c r="L909" s="8">
        <v>1</v>
      </c>
      <c r="M909" s="8">
        <v>1</v>
      </c>
    </row>
    <row r="910" spans="1:13">
      <c r="A910" s="6">
        <v>43840</v>
      </c>
      <c r="B910" s="7">
        <v>0.51250000000000007</v>
      </c>
      <c r="C910" s="8" t="str">
        <f>"FES1162730655"</f>
        <v>FES1162730655</v>
      </c>
      <c r="D910" s="8" t="s">
        <v>19</v>
      </c>
      <c r="E910" s="8" t="s">
        <v>201</v>
      </c>
      <c r="F910" s="8" t="str">
        <f>"2170723242 "</f>
        <v xml:space="preserve">2170723242 </v>
      </c>
      <c r="G910" s="8" t="str">
        <f t="shared" si="28"/>
        <v>ON1</v>
      </c>
      <c r="H910" s="8" t="s">
        <v>21</v>
      </c>
      <c r="I910" s="8" t="s">
        <v>202</v>
      </c>
      <c r="J910" s="8" t="str">
        <f>""</f>
        <v/>
      </c>
      <c r="K910" s="8" t="str">
        <f>"PFES1162730655_0001"</f>
        <v>PFES1162730655_0001</v>
      </c>
      <c r="L910" s="8">
        <v>1</v>
      </c>
      <c r="M910" s="8">
        <v>1</v>
      </c>
    </row>
    <row r="911" spans="1:13">
      <c r="A911" s="6">
        <v>43840</v>
      </c>
      <c r="B911" s="7">
        <v>0.51180555555555551</v>
      </c>
      <c r="C911" s="8" t="str">
        <f>"FES1162730654"</f>
        <v>FES1162730654</v>
      </c>
      <c r="D911" s="8" t="s">
        <v>19</v>
      </c>
      <c r="E911" s="8" t="s">
        <v>586</v>
      </c>
      <c r="F911" s="8" t="str">
        <f>"2170723240 "</f>
        <v xml:space="preserve">2170723240 </v>
      </c>
      <c r="G911" s="8" t="str">
        <f t="shared" si="28"/>
        <v>ON1</v>
      </c>
      <c r="H911" s="8" t="s">
        <v>21</v>
      </c>
      <c r="I911" s="8" t="s">
        <v>127</v>
      </c>
      <c r="J911" s="8" t="str">
        <f>""</f>
        <v/>
      </c>
      <c r="K911" s="8" t="str">
        <f>"PFES1162730654_0001"</f>
        <v>PFES1162730654_0001</v>
      </c>
      <c r="L911" s="8">
        <v>1</v>
      </c>
      <c r="M911" s="8">
        <v>1</v>
      </c>
    </row>
    <row r="912" spans="1:13">
      <c r="A912" s="6">
        <v>43840</v>
      </c>
      <c r="B912" s="7">
        <v>0.51041666666666663</v>
      </c>
      <c r="C912" s="8" t="str">
        <f>"FES1162730652"</f>
        <v>FES1162730652</v>
      </c>
      <c r="D912" s="8" t="s">
        <v>19</v>
      </c>
      <c r="E912" s="8" t="s">
        <v>587</v>
      </c>
      <c r="F912" s="8" t="str">
        <f>"2170723237 "</f>
        <v xml:space="preserve">2170723237 </v>
      </c>
      <c r="G912" s="8" t="str">
        <f t="shared" si="28"/>
        <v>ON1</v>
      </c>
      <c r="H912" s="8" t="s">
        <v>21</v>
      </c>
      <c r="I912" s="8" t="s">
        <v>277</v>
      </c>
      <c r="J912" s="8" t="str">
        <f>""</f>
        <v/>
      </c>
      <c r="K912" s="8" t="str">
        <f>"PFES1162730652_0001"</f>
        <v>PFES1162730652_0001</v>
      </c>
      <c r="L912" s="8">
        <v>1</v>
      </c>
      <c r="M912" s="8">
        <v>1</v>
      </c>
    </row>
    <row r="913" spans="1:13">
      <c r="A913" s="6">
        <v>43840</v>
      </c>
      <c r="B913" s="7">
        <v>0.50972222222222219</v>
      </c>
      <c r="C913" s="8" t="str">
        <f>"FES1162730602"</f>
        <v>FES1162730602</v>
      </c>
      <c r="D913" s="8" t="s">
        <v>19</v>
      </c>
      <c r="E913" s="8" t="s">
        <v>232</v>
      </c>
      <c r="F913" s="8" t="str">
        <f>"2170720614 "</f>
        <v xml:space="preserve">2170720614 </v>
      </c>
      <c r="G913" s="8" t="str">
        <f t="shared" si="28"/>
        <v>ON1</v>
      </c>
      <c r="H913" s="8" t="s">
        <v>21</v>
      </c>
      <c r="I913" s="8" t="s">
        <v>247</v>
      </c>
      <c r="J913" s="8" t="str">
        <f>""</f>
        <v/>
      </c>
      <c r="K913" s="8" t="str">
        <f>"PFES1162730602_0001"</f>
        <v>PFES1162730602_0001</v>
      </c>
      <c r="L913" s="8">
        <v>1</v>
      </c>
      <c r="M913" s="8">
        <v>1</v>
      </c>
    </row>
    <row r="914" spans="1:13">
      <c r="A914" s="6">
        <v>43840</v>
      </c>
      <c r="B914" s="7">
        <v>0.5083333333333333</v>
      </c>
      <c r="C914" s="8" t="str">
        <f>"FES1162730681"</f>
        <v>FES1162730681</v>
      </c>
      <c r="D914" s="8" t="s">
        <v>19</v>
      </c>
      <c r="E914" s="8" t="s">
        <v>258</v>
      </c>
      <c r="F914" s="8" t="str">
        <f>"2170723277 "</f>
        <v xml:space="preserve">2170723277 </v>
      </c>
      <c r="G914" s="8" t="str">
        <f t="shared" si="28"/>
        <v>ON1</v>
      </c>
      <c r="H914" s="8" t="s">
        <v>21</v>
      </c>
      <c r="I914" s="8" t="s">
        <v>45</v>
      </c>
      <c r="J914" s="8" t="str">
        <f>""</f>
        <v/>
      </c>
      <c r="K914" s="8" t="str">
        <f>"PFES1162730681_0001"</f>
        <v>PFES1162730681_0001</v>
      </c>
      <c r="L914" s="8">
        <v>1</v>
      </c>
      <c r="M914" s="8">
        <v>1</v>
      </c>
    </row>
    <row r="915" spans="1:13">
      <c r="A915" s="6">
        <v>43840</v>
      </c>
      <c r="B915" s="7">
        <v>0.50694444444444442</v>
      </c>
      <c r="C915" s="8" t="str">
        <f>"FES1162730673"</f>
        <v>FES1162730673</v>
      </c>
      <c r="D915" s="8" t="s">
        <v>19</v>
      </c>
      <c r="E915" s="8" t="s">
        <v>82</v>
      </c>
      <c r="F915" s="8" t="str">
        <f>"2170723262 "</f>
        <v xml:space="preserve">2170723262 </v>
      </c>
      <c r="G915" s="8" t="str">
        <f t="shared" si="28"/>
        <v>ON1</v>
      </c>
      <c r="H915" s="8" t="s">
        <v>21</v>
      </c>
      <c r="I915" s="8" t="s">
        <v>165</v>
      </c>
      <c r="J915" s="8" t="str">
        <f>""</f>
        <v/>
      </c>
      <c r="K915" s="8" t="str">
        <f>"PFES1162730673_0001"</f>
        <v>PFES1162730673_0001</v>
      </c>
      <c r="L915" s="8">
        <v>1</v>
      </c>
      <c r="M915" s="8">
        <v>1</v>
      </c>
    </row>
    <row r="916" spans="1:13">
      <c r="A916" s="6">
        <v>43840</v>
      </c>
      <c r="B916" s="7">
        <v>0.50555555555555554</v>
      </c>
      <c r="C916" s="8" t="str">
        <f>"FES1162730618"</f>
        <v>FES1162730618</v>
      </c>
      <c r="D916" s="8" t="s">
        <v>19</v>
      </c>
      <c r="E916" s="8" t="s">
        <v>427</v>
      </c>
      <c r="F916" s="8" t="str">
        <f>"2170722268 "</f>
        <v xml:space="preserve">2170722268 </v>
      </c>
      <c r="G916" s="8" t="str">
        <f t="shared" si="28"/>
        <v>ON1</v>
      </c>
      <c r="H916" s="8" t="s">
        <v>21</v>
      </c>
      <c r="I916" s="8" t="s">
        <v>428</v>
      </c>
      <c r="J916" s="8" t="str">
        <f>""</f>
        <v/>
      </c>
      <c r="K916" s="8" t="str">
        <f>"PFES1162730618_0001"</f>
        <v>PFES1162730618_0001</v>
      </c>
      <c r="L916" s="8">
        <v>1</v>
      </c>
      <c r="M916" s="8">
        <v>1</v>
      </c>
    </row>
    <row r="917" spans="1:13">
      <c r="A917" s="6">
        <v>43840</v>
      </c>
      <c r="B917" s="7">
        <v>0.50416666666666665</v>
      </c>
      <c r="C917" s="8" t="str">
        <f>"FES1162730672"</f>
        <v>FES1162730672</v>
      </c>
      <c r="D917" s="8" t="s">
        <v>19</v>
      </c>
      <c r="E917" s="8" t="s">
        <v>82</v>
      </c>
      <c r="F917" s="8" t="str">
        <f>"2170723261 "</f>
        <v xml:space="preserve">2170723261 </v>
      </c>
      <c r="G917" s="8" t="str">
        <f t="shared" si="28"/>
        <v>ON1</v>
      </c>
      <c r="H917" s="8" t="s">
        <v>21</v>
      </c>
      <c r="I917" s="8" t="s">
        <v>165</v>
      </c>
      <c r="J917" s="8" t="str">
        <f>""</f>
        <v/>
      </c>
      <c r="K917" s="8" t="str">
        <f>"PFES1162730672_0001"</f>
        <v>PFES1162730672_0001</v>
      </c>
      <c r="L917" s="8">
        <v>1</v>
      </c>
      <c r="M917" s="8">
        <v>1</v>
      </c>
    </row>
    <row r="918" spans="1:13">
      <c r="A918" s="6">
        <v>43840</v>
      </c>
      <c r="B918" s="7">
        <v>0.50416666666666665</v>
      </c>
      <c r="C918" s="8" t="str">
        <f>"FES1162730607"</f>
        <v>FES1162730607</v>
      </c>
      <c r="D918" s="8" t="s">
        <v>19</v>
      </c>
      <c r="E918" s="8" t="s">
        <v>262</v>
      </c>
      <c r="F918" s="8" t="str">
        <f>"2170720781 "</f>
        <v xml:space="preserve">2170720781 </v>
      </c>
      <c r="G918" s="8" t="str">
        <f t="shared" si="28"/>
        <v>ON1</v>
      </c>
      <c r="H918" s="8" t="s">
        <v>21</v>
      </c>
      <c r="I918" s="8" t="s">
        <v>114</v>
      </c>
      <c r="J918" s="8" t="str">
        <f>""</f>
        <v/>
      </c>
      <c r="K918" s="8" t="str">
        <f>"PFES1162730607_0001"</f>
        <v>PFES1162730607_0001</v>
      </c>
      <c r="L918" s="8">
        <v>1</v>
      </c>
      <c r="M918" s="8">
        <v>4</v>
      </c>
    </row>
    <row r="919" spans="1:13">
      <c r="A919" s="6">
        <v>43840</v>
      </c>
      <c r="B919" s="7">
        <v>0.50416666666666665</v>
      </c>
      <c r="C919" s="8" t="str">
        <f>"FES1162730685"</f>
        <v>FES1162730685</v>
      </c>
      <c r="D919" s="8" t="s">
        <v>19</v>
      </c>
      <c r="E919" s="8" t="s">
        <v>132</v>
      </c>
      <c r="F919" s="8" t="str">
        <f>"2170723284 "</f>
        <v xml:space="preserve">2170723284 </v>
      </c>
      <c r="G919" s="8" t="str">
        <f t="shared" si="28"/>
        <v>ON1</v>
      </c>
      <c r="H919" s="8" t="s">
        <v>21</v>
      </c>
      <c r="I919" s="8" t="s">
        <v>133</v>
      </c>
      <c r="J919" s="8" t="str">
        <f>""</f>
        <v/>
      </c>
      <c r="K919" s="8" t="str">
        <f>"PFES1162730685_0001"</f>
        <v>PFES1162730685_0001</v>
      </c>
      <c r="L919" s="8">
        <v>1</v>
      </c>
      <c r="M919" s="8">
        <v>2</v>
      </c>
    </row>
    <row r="920" spans="1:13">
      <c r="A920" s="6">
        <v>43840</v>
      </c>
      <c r="B920" s="7">
        <v>0.50347222222222221</v>
      </c>
      <c r="C920" s="8" t="str">
        <f>"FES1162730648"</f>
        <v>FES1162730648</v>
      </c>
      <c r="D920" s="8" t="s">
        <v>19</v>
      </c>
      <c r="E920" s="8" t="s">
        <v>588</v>
      </c>
      <c r="F920" s="8" t="str">
        <f>"2170723230 "</f>
        <v xml:space="preserve">2170723230 </v>
      </c>
      <c r="G920" s="8" t="str">
        <f t="shared" si="28"/>
        <v>ON1</v>
      </c>
      <c r="H920" s="8" t="s">
        <v>21</v>
      </c>
      <c r="I920" s="8" t="s">
        <v>408</v>
      </c>
      <c r="J920" s="8" t="str">
        <f>""</f>
        <v/>
      </c>
      <c r="K920" s="8" t="str">
        <f>"PFES1162730648_0001"</f>
        <v>PFES1162730648_0001</v>
      </c>
      <c r="L920" s="8">
        <v>1</v>
      </c>
      <c r="M920" s="8">
        <v>2</v>
      </c>
    </row>
    <row r="921" spans="1:13">
      <c r="A921" s="6">
        <v>43840</v>
      </c>
      <c r="B921" s="7">
        <v>0.50277777777777777</v>
      </c>
      <c r="C921" s="8" t="str">
        <f>"FES1162730620"</f>
        <v>FES1162730620</v>
      </c>
      <c r="D921" s="8" t="s">
        <v>19</v>
      </c>
      <c r="E921" s="8" t="s">
        <v>222</v>
      </c>
      <c r="F921" s="8" t="str">
        <f>"2170722275 "</f>
        <v xml:space="preserve">2170722275 </v>
      </c>
      <c r="G921" s="8" t="str">
        <f t="shared" si="28"/>
        <v>ON1</v>
      </c>
      <c r="H921" s="8" t="s">
        <v>21</v>
      </c>
      <c r="I921" s="8" t="s">
        <v>28</v>
      </c>
      <c r="J921" s="8" t="str">
        <f>""</f>
        <v/>
      </c>
      <c r="K921" s="8" t="str">
        <f>"PFES1162730620_0001"</f>
        <v>PFES1162730620_0001</v>
      </c>
      <c r="L921" s="8">
        <v>1</v>
      </c>
      <c r="M921" s="8">
        <v>7</v>
      </c>
    </row>
    <row r="922" spans="1:13">
      <c r="A922" s="6">
        <v>43840</v>
      </c>
      <c r="B922" s="7">
        <v>0.50277777777777777</v>
      </c>
      <c r="C922" s="8" t="str">
        <f>"FES1162730679"</f>
        <v>FES1162730679</v>
      </c>
      <c r="D922" s="8" t="s">
        <v>19</v>
      </c>
      <c r="E922" s="8" t="s">
        <v>589</v>
      </c>
      <c r="F922" s="8" t="str">
        <f>"2170723274 "</f>
        <v xml:space="preserve">2170723274 </v>
      </c>
      <c r="G922" s="8" t="str">
        <f t="shared" si="28"/>
        <v>ON1</v>
      </c>
      <c r="H922" s="8" t="s">
        <v>21</v>
      </c>
      <c r="I922" s="8" t="s">
        <v>307</v>
      </c>
      <c r="J922" s="8" t="str">
        <f>""</f>
        <v/>
      </c>
      <c r="K922" s="8" t="str">
        <f>"PFES1162730679_0001"</f>
        <v>PFES1162730679_0001</v>
      </c>
      <c r="L922" s="8">
        <v>1</v>
      </c>
      <c r="M922" s="8">
        <v>1</v>
      </c>
    </row>
    <row r="923" spans="1:13">
      <c r="A923" s="6">
        <v>43840</v>
      </c>
      <c r="B923" s="7">
        <v>0.50208333333333333</v>
      </c>
      <c r="C923" s="8" t="str">
        <f>"FES1162730619"</f>
        <v>FES1162730619</v>
      </c>
      <c r="D923" s="8" t="s">
        <v>19</v>
      </c>
      <c r="E923" s="8" t="s">
        <v>232</v>
      </c>
      <c r="F923" s="8" t="str">
        <f>"2170722271 "</f>
        <v xml:space="preserve">2170722271 </v>
      </c>
      <c r="G923" s="8" t="str">
        <f t="shared" si="28"/>
        <v>ON1</v>
      </c>
      <c r="H923" s="8" t="s">
        <v>21</v>
      </c>
      <c r="I923" s="8" t="s">
        <v>247</v>
      </c>
      <c r="J923" s="8" t="str">
        <f>""</f>
        <v/>
      </c>
      <c r="K923" s="8" t="str">
        <f>"PFES1162730619_0001"</f>
        <v>PFES1162730619_0001</v>
      </c>
      <c r="L923" s="8">
        <v>1</v>
      </c>
      <c r="M923" s="8">
        <v>1</v>
      </c>
    </row>
    <row r="924" spans="1:13">
      <c r="A924" s="6">
        <v>43840</v>
      </c>
      <c r="B924" s="7">
        <v>0.50138888888888888</v>
      </c>
      <c r="C924" s="8" t="str">
        <f>"FES1162730638"</f>
        <v>FES1162730638</v>
      </c>
      <c r="D924" s="8" t="s">
        <v>19</v>
      </c>
      <c r="E924" s="8" t="s">
        <v>160</v>
      </c>
      <c r="F924" s="8" t="str">
        <f>"2170722421 "</f>
        <v xml:space="preserve">2170722421 </v>
      </c>
      <c r="G924" s="8" t="str">
        <f t="shared" si="28"/>
        <v>ON1</v>
      </c>
      <c r="H924" s="8" t="s">
        <v>21</v>
      </c>
      <c r="I924" s="8" t="s">
        <v>161</v>
      </c>
      <c r="J924" s="8" t="str">
        <f>""</f>
        <v/>
      </c>
      <c r="K924" s="8" t="str">
        <f>"PFES1162730638_0001"</f>
        <v>PFES1162730638_0001</v>
      </c>
      <c r="L924" s="8">
        <v>1</v>
      </c>
      <c r="M924" s="8">
        <v>1</v>
      </c>
    </row>
    <row r="925" spans="1:13">
      <c r="A925" s="6">
        <v>43840</v>
      </c>
      <c r="B925" s="7">
        <v>0.50138888888888888</v>
      </c>
      <c r="C925" s="8" t="str">
        <f>"FES1162730633"</f>
        <v>FES1162730633</v>
      </c>
      <c r="D925" s="8" t="s">
        <v>19</v>
      </c>
      <c r="E925" s="8" t="s">
        <v>259</v>
      </c>
      <c r="F925" s="8" t="str">
        <f>"2170722383 "</f>
        <v xml:space="preserve">2170722383 </v>
      </c>
      <c r="G925" s="8" t="str">
        <f t="shared" si="28"/>
        <v>ON1</v>
      </c>
      <c r="H925" s="8" t="s">
        <v>21</v>
      </c>
      <c r="I925" s="8" t="s">
        <v>260</v>
      </c>
      <c r="J925" s="8" t="str">
        <f>""</f>
        <v/>
      </c>
      <c r="K925" s="8" t="str">
        <f>"PFES1162730633_0001"</f>
        <v>PFES1162730633_0001</v>
      </c>
      <c r="L925" s="8">
        <v>1</v>
      </c>
      <c r="M925" s="8">
        <v>4</v>
      </c>
    </row>
    <row r="926" spans="1:13">
      <c r="A926" s="6">
        <v>43840</v>
      </c>
      <c r="B926" s="7">
        <v>0.50069444444444444</v>
      </c>
      <c r="C926" s="8" t="str">
        <f>"FES1162730644"</f>
        <v>FES1162730644</v>
      </c>
      <c r="D926" s="8" t="s">
        <v>19</v>
      </c>
      <c r="E926" s="8" t="s">
        <v>259</v>
      </c>
      <c r="F926" s="8" t="str">
        <f>"2170723225 "</f>
        <v xml:space="preserve">2170723225 </v>
      </c>
      <c r="G926" s="8" t="str">
        <f t="shared" si="28"/>
        <v>ON1</v>
      </c>
      <c r="H926" s="8" t="s">
        <v>21</v>
      </c>
      <c r="I926" s="8" t="s">
        <v>260</v>
      </c>
      <c r="J926" s="8" t="str">
        <f>""</f>
        <v/>
      </c>
      <c r="K926" s="8" t="str">
        <f>"PFES1162730644_0001"</f>
        <v>PFES1162730644_0001</v>
      </c>
      <c r="L926" s="8">
        <v>1</v>
      </c>
      <c r="M926" s="8">
        <v>3</v>
      </c>
    </row>
    <row r="927" spans="1:13">
      <c r="A927" s="6">
        <v>43840</v>
      </c>
      <c r="B927" s="7">
        <v>0.50069444444444444</v>
      </c>
      <c r="C927" s="8" t="str">
        <f>"FES1162730581"</f>
        <v>FES1162730581</v>
      </c>
      <c r="D927" s="8" t="s">
        <v>19</v>
      </c>
      <c r="E927" s="8" t="s">
        <v>229</v>
      </c>
      <c r="F927" s="8" t="str">
        <f>"2170722914 "</f>
        <v xml:space="preserve">2170722914 </v>
      </c>
      <c r="G927" s="8" t="str">
        <f t="shared" si="28"/>
        <v>ON1</v>
      </c>
      <c r="H927" s="8" t="s">
        <v>21</v>
      </c>
      <c r="I927" s="8" t="s">
        <v>230</v>
      </c>
      <c r="J927" s="8" t="str">
        <f>""</f>
        <v/>
      </c>
      <c r="K927" s="8" t="str">
        <f>"PFES1162730581_0001"</f>
        <v>PFES1162730581_0001</v>
      </c>
      <c r="L927" s="8">
        <v>1</v>
      </c>
      <c r="M927" s="8">
        <v>6</v>
      </c>
    </row>
    <row r="928" spans="1:13">
      <c r="A928" s="6">
        <v>43840</v>
      </c>
      <c r="B928" s="7">
        <v>0.5</v>
      </c>
      <c r="C928" s="8" t="str">
        <f>"FES1162730580"</f>
        <v>FES1162730580</v>
      </c>
      <c r="D928" s="8" t="s">
        <v>19</v>
      </c>
      <c r="E928" s="8" t="s">
        <v>178</v>
      </c>
      <c r="F928" s="8" t="str">
        <f>"2170722751 "</f>
        <v xml:space="preserve">2170722751 </v>
      </c>
      <c r="G928" s="8" t="str">
        <f t="shared" si="28"/>
        <v>ON1</v>
      </c>
      <c r="H928" s="8" t="s">
        <v>21</v>
      </c>
      <c r="I928" s="8" t="s">
        <v>179</v>
      </c>
      <c r="J928" s="8" t="str">
        <f>""</f>
        <v/>
      </c>
      <c r="K928" s="8" t="str">
        <f>"PFES1162730580_0001"</f>
        <v>PFES1162730580_0001</v>
      </c>
      <c r="L928" s="8">
        <v>1</v>
      </c>
      <c r="M928" s="8">
        <v>6</v>
      </c>
    </row>
    <row r="929" spans="1:13">
      <c r="A929" s="6">
        <v>43840</v>
      </c>
      <c r="B929" s="7">
        <v>0.5</v>
      </c>
      <c r="C929" s="8" t="str">
        <f>"FES1162730583"</f>
        <v>FES1162730583</v>
      </c>
      <c r="D929" s="8" t="s">
        <v>19</v>
      </c>
      <c r="E929" s="8" t="s">
        <v>37</v>
      </c>
      <c r="F929" s="8" t="str">
        <f>"2170723209 "</f>
        <v xml:space="preserve">2170723209 </v>
      </c>
      <c r="G929" s="8" t="str">
        <f t="shared" si="28"/>
        <v>ON1</v>
      </c>
      <c r="H929" s="8" t="s">
        <v>21</v>
      </c>
      <c r="I929" s="8" t="s">
        <v>38</v>
      </c>
      <c r="J929" s="8" t="str">
        <f>""</f>
        <v/>
      </c>
      <c r="K929" s="8" t="str">
        <f>"PFES1162730583_0001"</f>
        <v>PFES1162730583_0001</v>
      </c>
      <c r="L929" s="8">
        <v>1</v>
      </c>
      <c r="M929" s="8">
        <v>6</v>
      </c>
    </row>
    <row r="930" spans="1:13">
      <c r="A930" s="6">
        <v>43840</v>
      </c>
      <c r="B930" s="7">
        <v>0.4993055555555555</v>
      </c>
      <c r="C930" s="8" t="str">
        <f>"FES1162730577"</f>
        <v>FES1162730577</v>
      </c>
      <c r="D930" s="8" t="s">
        <v>19</v>
      </c>
      <c r="E930" s="8" t="s">
        <v>44</v>
      </c>
      <c r="F930" s="8" t="str">
        <f>"2170721990 "</f>
        <v xml:space="preserve">2170721990 </v>
      </c>
      <c r="G930" s="8" t="str">
        <f t="shared" si="28"/>
        <v>ON1</v>
      </c>
      <c r="H930" s="8" t="s">
        <v>21</v>
      </c>
      <c r="I930" s="8" t="s">
        <v>249</v>
      </c>
      <c r="J930" s="8" t="str">
        <f>""</f>
        <v/>
      </c>
      <c r="K930" s="8" t="str">
        <f>"PFES1162730577_0001"</f>
        <v>PFES1162730577_0001</v>
      </c>
      <c r="L930" s="8">
        <v>1</v>
      </c>
      <c r="M930" s="8">
        <v>11</v>
      </c>
    </row>
    <row r="931" spans="1:13">
      <c r="A931" s="6">
        <v>43840</v>
      </c>
      <c r="B931" s="7">
        <v>0.4993055555555555</v>
      </c>
      <c r="C931" s="8" t="str">
        <f>"FES1162730631"</f>
        <v>FES1162730631</v>
      </c>
      <c r="D931" s="8" t="s">
        <v>19</v>
      </c>
      <c r="E931" s="8" t="s">
        <v>39</v>
      </c>
      <c r="F931" s="8" t="str">
        <f>"2170722359 "</f>
        <v xml:space="preserve">2170722359 </v>
      </c>
      <c r="G931" s="8" t="str">
        <f>"DBC"</f>
        <v>DBC</v>
      </c>
      <c r="H931" s="8" t="s">
        <v>21</v>
      </c>
      <c r="I931" s="8" t="s">
        <v>40</v>
      </c>
      <c r="J931" s="8" t="str">
        <f>""</f>
        <v/>
      </c>
      <c r="K931" s="8" t="str">
        <f>"PFES1162730631_0001"</f>
        <v>PFES1162730631_0001</v>
      </c>
      <c r="L931" s="8">
        <v>1</v>
      </c>
      <c r="M931" s="8">
        <v>22</v>
      </c>
    </row>
    <row r="932" spans="1:13">
      <c r="A932" s="6">
        <v>43840</v>
      </c>
      <c r="B932" s="7">
        <v>0.4861111111111111</v>
      </c>
      <c r="C932" s="8" t="str">
        <f>"009935712046"</f>
        <v>009935712046</v>
      </c>
      <c r="D932" s="8" t="s">
        <v>19</v>
      </c>
      <c r="E932" s="8" t="s">
        <v>374</v>
      </c>
      <c r="F932" s="8" t="str">
        <f>"1162728354 "</f>
        <v xml:space="preserve">1162728354 </v>
      </c>
      <c r="G932" s="8" t="str">
        <f t="shared" ref="G932:G964" si="29">"ON1"</f>
        <v>ON1</v>
      </c>
      <c r="H932" s="8" t="s">
        <v>21</v>
      </c>
      <c r="I932" s="8" t="s">
        <v>375</v>
      </c>
      <c r="J932" s="8" t="str">
        <f>"SHORT SUPPLIED"</f>
        <v>SHORT SUPPLIED</v>
      </c>
      <c r="K932" s="8" t="str">
        <f>"P009935712046_0001"</f>
        <v>P009935712046_0001</v>
      </c>
      <c r="L932" s="8">
        <v>1</v>
      </c>
      <c r="M932" s="8">
        <v>1</v>
      </c>
    </row>
    <row r="933" spans="1:13">
      <c r="A933" s="6">
        <v>43840</v>
      </c>
      <c r="B933" s="7">
        <v>0.48194444444444445</v>
      </c>
      <c r="C933" s="8" t="str">
        <f>"009935712045"</f>
        <v>009935712045</v>
      </c>
      <c r="D933" s="8" t="s">
        <v>19</v>
      </c>
      <c r="E933" s="8" t="s">
        <v>229</v>
      </c>
      <c r="F933" s="8" t="str">
        <f>"1162728455 "</f>
        <v xml:space="preserve">1162728455 </v>
      </c>
      <c r="G933" s="8" t="str">
        <f t="shared" si="29"/>
        <v>ON1</v>
      </c>
      <c r="H933" s="8" t="s">
        <v>21</v>
      </c>
      <c r="I933" s="8" t="s">
        <v>230</v>
      </c>
      <c r="J933" s="8" t="str">
        <f t="shared" ref="J933:J943" si="30">"RESEND"</f>
        <v>RESEND</v>
      </c>
      <c r="K933" s="8" t="str">
        <f>"P009935712045_0001"</f>
        <v>P009935712045_0001</v>
      </c>
      <c r="L933" s="8">
        <v>1</v>
      </c>
      <c r="M933" s="8">
        <v>1</v>
      </c>
    </row>
    <row r="934" spans="1:13">
      <c r="A934" s="6">
        <v>43840</v>
      </c>
      <c r="B934" s="7">
        <v>0.48194444444444445</v>
      </c>
      <c r="C934" s="8" t="str">
        <f>"009935712044"</f>
        <v>009935712044</v>
      </c>
      <c r="D934" s="8" t="s">
        <v>19</v>
      </c>
      <c r="E934" s="8" t="s">
        <v>590</v>
      </c>
      <c r="F934" s="8" t="str">
        <f>"1162728488 "</f>
        <v xml:space="preserve">1162728488 </v>
      </c>
      <c r="G934" s="8" t="str">
        <f t="shared" si="29"/>
        <v>ON1</v>
      </c>
      <c r="H934" s="8" t="s">
        <v>21</v>
      </c>
      <c r="I934" s="8" t="s">
        <v>466</v>
      </c>
      <c r="J934" s="8" t="str">
        <f t="shared" si="30"/>
        <v>RESEND</v>
      </c>
      <c r="K934" s="8" t="str">
        <f>"P009935712044_0001"</f>
        <v>P009935712044_0001</v>
      </c>
      <c r="L934" s="8">
        <v>1</v>
      </c>
      <c r="M934" s="8">
        <v>1</v>
      </c>
    </row>
    <row r="935" spans="1:13">
      <c r="A935" s="6">
        <v>43840</v>
      </c>
      <c r="B935" s="7">
        <v>0.48125000000000001</v>
      </c>
      <c r="C935" s="8" t="str">
        <f>"009935712043"</f>
        <v>009935712043</v>
      </c>
      <c r="D935" s="8" t="s">
        <v>19</v>
      </c>
      <c r="E935" s="8" t="s">
        <v>591</v>
      </c>
      <c r="F935" s="8" t="str">
        <f>"11627219038 "</f>
        <v xml:space="preserve">11627219038 </v>
      </c>
      <c r="G935" s="8" t="str">
        <f t="shared" si="29"/>
        <v>ON1</v>
      </c>
      <c r="H935" s="8" t="s">
        <v>21</v>
      </c>
      <c r="I935" s="8" t="s">
        <v>247</v>
      </c>
      <c r="J935" s="8" t="str">
        <f t="shared" si="30"/>
        <v>RESEND</v>
      </c>
      <c r="K935" s="8" t="str">
        <f>"P009935712043_0001"</f>
        <v>P009935712043_0001</v>
      </c>
      <c r="L935" s="8">
        <v>1</v>
      </c>
      <c r="M935" s="8">
        <v>1</v>
      </c>
    </row>
    <row r="936" spans="1:13">
      <c r="A936" s="6">
        <v>43840</v>
      </c>
      <c r="B936" s="7">
        <v>0.48055555555555557</v>
      </c>
      <c r="C936" s="8" t="str">
        <f>"009935712042"</f>
        <v>009935712042</v>
      </c>
      <c r="D936" s="8" t="s">
        <v>19</v>
      </c>
      <c r="E936" s="8" t="s">
        <v>30</v>
      </c>
      <c r="F936" s="8" t="str">
        <f>"1162728404 "</f>
        <v xml:space="preserve">1162728404 </v>
      </c>
      <c r="G936" s="8" t="str">
        <f t="shared" si="29"/>
        <v>ON1</v>
      </c>
      <c r="H936" s="8" t="s">
        <v>21</v>
      </c>
      <c r="I936" s="8" t="s">
        <v>31</v>
      </c>
      <c r="J936" s="8" t="str">
        <f t="shared" si="30"/>
        <v>RESEND</v>
      </c>
      <c r="K936" s="8" t="str">
        <f>"P009935712042_0001"</f>
        <v>P009935712042_0001</v>
      </c>
      <c r="L936" s="8">
        <v>1</v>
      </c>
      <c r="M936" s="8">
        <v>1</v>
      </c>
    </row>
    <row r="937" spans="1:13">
      <c r="A937" s="6">
        <v>43840</v>
      </c>
      <c r="B937" s="7">
        <v>0.48055555555555557</v>
      </c>
      <c r="C937" s="8" t="str">
        <f>"009935712041"</f>
        <v>009935712041</v>
      </c>
      <c r="D937" s="8" t="s">
        <v>19</v>
      </c>
      <c r="E937" s="8" t="s">
        <v>478</v>
      </c>
      <c r="F937" s="8" t="str">
        <f>"1162728314 "</f>
        <v xml:space="preserve">1162728314 </v>
      </c>
      <c r="G937" s="8" t="str">
        <f t="shared" si="29"/>
        <v>ON1</v>
      </c>
      <c r="H937" s="8" t="s">
        <v>21</v>
      </c>
      <c r="I937" s="8" t="s">
        <v>277</v>
      </c>
      <c r="J937" s="8" t="str">
        <f t="shared" si="30"/>
        <v>RESEND</v>
      </c>
      <c r="K937" s="8" t="str">
        <f>"P009935712041_0001"</f>
        <v>P009935712041_0001</v>
      </c>
      <c r="L937" s="8">
        <v>1</v>
      </c>
      <c r="M937" s="8">
        <v>1</v>
      </c>
    </row>
    <row r="938" spans="1:13">
      <c r="A938" s="6">
        <v>43840</v>
      </c>
      <c r="B938" s="7">
        <v>0.47986111111111113</v>
      </c>
      <c r="C938" s="8" t="str">
        <f>"009935712040"</f>
        <v>009935712040</v>
      </c>
      <c r="D938" s="8" t="s">
        <v>19</v>
      </c>
      <c r="E938" s="8" t="s">
        <v>174</v>
      </c>
      <c r="F938" s="8" t="str">
        <f>"1162728329 "</f>
        <v xml:space="preserve">1162728329 </v>
      </c>
      <c r="G938" s="8" t="str">
        <f t="shared" si="29"/>
        <v>ON1</v>
      </c>
      <c r="H938" s="8" t="s">
        <v>21</v>
      </c>
      <c r="I938" s="8" t="s">
        <v>175</v>
      </c>
      <c r="J938" s="8" t="str">
        <f t="shared" si="30"/>
        <v>RESEND</v>
      </c>
      <c r="K938" s="8" t="str">
        <f>"P009935712040_0001"</f>
        <v>P009935712040_0001</v>
      </c>
      <c r="L938" s="8">
        <v>1</v>
      </c>
      <c r="M938" s="8">
        <v>1</v>
      </c>
    </row>
    <row r="939" spans="1:13">
      <c r="A939" s="6">
        <v>43840</v>
      </c>
      <c r="B939" s="7">
        <v>0.47916666666666669</v>
      </c>
      <c r="C939" s="8" t="str">
        <f>"009935712039"</f>
        <v>009935712039</v>
      </c>
      <c r="D939" s="8" t="s">
        <v>19</v>
      </c>
      <c r="E939" s="8" t="s">
        <v>592</v>
      </c>
      <c r="F939" s="8" t="str">
        <f>"1162728156 "</f>
        <v xml:space="preserve">1162728156 </v>
      </c>
      <c r="G939" s="8" t="str">
        <f t="shared" si="29"/>
        <v>ON1</v>
      </c>
      <c r="H939" s="8" t="s">
        <v>21</v>
      </c>
      <c r="I939" s="8" t="s">
        <v>85</v>
      </c>
      <c r="J939" s="8" t="str">
        <f t="shared" si="30"/>
        <v>RESEND</v>
      </c>
      <c r="K939" s="8" t="str">
        <f>"P009935712039_0001"</f>
        <v>P009935712039_0001</v>
      </c>
      <c r="L939" s="8">
        <v>1</v>
      </c>
      <c r="M939" s="8">
        <v>1</v>
      </c>
    </row>
    <row r="940" spans="1:13">
      <c r="A940" s="6">
        <v>43840</v>
      </c>
      <c r="B940" s="7">
        <v>0.47916666666666669</v>
      </c>
      <c r="C940" s="8" t="str">
        <f>"009935712038"</f>
        <v>009935712038</v>
      </c>
      <c r="D940" s="8" t="s">
        <v>19</v>
      </c>
      <c r="E940" s="8" t="s">
        <v>229</v>
      </c>
      <c r="F940" s="8" t="str">
        <f>"1162728355 "</f>
        <v xml:space="preserve">1162728355 </v>
      </c>
      <c r="G940" s="8" t="str">
        <f t="shared" si="29"/>
        <v>ON1</v>
      </c>
      <c r="H940" s="8" t="s">
        <v>21</v>
      </c>
      <c r="I940" s="8" t="s">
        <v>230</v>
      </c>
      <c r="J940" s="8" t="str">
        <f t="shared" si="30"/>
        <v>RESEND</v>
      </c>
      <c r="K940" s="8" t="str">
        <f>"P009935712038_0001"</f>
        <v>P009935712038_0001</v>
      </c>
      <c r="L940" s="8">
        <v>1</v>
      </c>
      <c r="M940" s="8">
        <v>1</v>
      </c>
    </row>
    <row r="941" spans="1:13">
      <c r="A941" s="6">
        <v>43840</v>
      </c>
      <c r="B941" s="7">
        <v>0.4777777777777778</v>
      </c>
      <c r="C941" s="8" t="str">
        <f>"009935712037"</f>
        <v>009935712037</v>
      </c>
      <c r="D941" s="8" t="s">
        <v>19</v>
      </c>
      <c r="E941" s="8" t="s">
        <v>456</v>
      </c>
      <c r="F941" s="8" t="str">
        <f>"1162728581 "</f>
        <v xml:space="preserve">1162728581 </v>
      </c>
      <c r="G941" s="8" t="str">
        <f t="shared" si="29"/>
        <v>ON1</v>
      </c>
      <c r="H941" s="8" t="s">
        <v>21</v>
      </c>
      <c r="I941" s="8" t="s">
        <v>344</v>
      </c>
      <c r="J941" s="8" t="str">
        <f t="shared" si="30"/>
        <v>RESEND</v>
      </c>
      <c r="K941" s="8" t="str">
        <f>"P009935712037_0001"</f>
        <v>P009935712037_0001</v>
      </c>
      <c r="L941" s="8">
        <v>1</v>
      </c>
      <c r="M941" s="8">
        <v>1</v>
      </c>
    </row>
    <row r="942" spans="1:13">
      <c r="A942" s="6">
        <v>43840</v>
      </c>
      <c r="B942" s="7">
        <v>0.4777777777777778</v>
      </c>
      <c r="C942" s="8" t="str">
        <f>"009935712036"</f>
        <v>009935712036</v>
      </c>
      <c r="D942" s="8" t="s">
        <v>19</v>
      </c>
      <c r="E942" s="8" t="s">
        <v>593</v>
      </c>
      <c r="F942" s="8" t="str">
        <f>"1162728839 "</f>
        <v xml:space="preserve">1162728839 </v>
      </c>
      <c r="G942" s="8" t="str">
        <f t="shared" si="29"/>
        <v>ON1</v>
      </c>
      <c r="H942" s="8" t="s">
        <v>21</v>
      </c>
      <c r="I942" s="8" t="s">
        <v>179</v>
      </c>
      <c r="J942" s="8" t="str">
        <f t="shared" si="30"/>
        <v>RESEND</v>
      </c>
      <c r="K942" s="8" t="str">
        <f>"P009935712036_0001"</f>
        <v>P009935712036_0001</v>
      </c>
      <c r="L942" s="8">
        <v>1</v>
      </c>
      <c r="M942" s="8">
        <v>2</v>
      </c>
    </row>
    <row r="943" spans="1:13">
      <c r="A943" s="6">
        <v>43840</v>
      </c>
      <c r="B943" s="7">
        <v>0.4770833333333333</v>
      </c>
      <c r="C943" s="8" t="str">
        <f>"009935712035"</f>
        <v>009935712035</v>
      </c>
      <c r="D943" s="8" t="s">
        <v>19</v>
      </c>
      <c r="E943" s="8" t="s">
        <v>594</v>
      </c>
      <c r="F943" s="8" t="str">
        <f>"1162727940 "</f>
        <v xml:space="preserve">1162727940 </v>
      </c>
      <c r="G943" s="8" t="str">
        <f t="shared" si="29"/>
        <v>ON1</v>
      </c>
      <c r="H943" s="8" t="s">
        <v>21</v>
      </c>
      <c r="I943" s="8" t="s">
        <v>247</v>
      </c>
      <c r="J943" s="8" t="str">
        <f t="shared" si="30"/>
        <v>RESEND</v>
      </c>
      <c r="K943" s="8" t="str">
        <f>"P009935712035_0001"</f>
        <v>P009935712035_0001</v>
      </c>
      <c r="L943" s="8">
        <v>1</v>
      </c>
      <c r="M943" s="8">
        <v>14</v>
      </c>
    </row>
    <row r="944" spans="1:13">
      <c r="A944" s="6">
        <v>43840</v>
      </c>
      <c r="B944" s="7">
        <v>0.47638888888888892</v>
      </c>
      <c r="C944" s="8" t="str">
        <f>"009935712034"</f>
        <v>009935712034</v>
      </c>
      <c r="D944" s="8" t="s">
        <v>19</v>
      </c>
      <c r="E944" s="8" t="s">
        <v>456</v>
      </c>
      <c r="F944" s="8" t="str">
        <f>"2170718941 "</f>
        <v xml:space="preserve">2170718941 </v>
      </c>
      <c r="G944" s="8" t="str">
        <f t="shared" si="29"/>
        <v>ON1</v>
      </c>
      <c r="H944" s="8" t="s">
        <v>21</v>
      </c>
      <c r="I944" s="8" t="s">
        <v>344</v>
      </c>
      <c r="J944" s="8" t="str">
        <f>""</f>
        <v/>
      </c>
      <c r="K944" s="8" t="str">
        <f>"P009935712034_0001"</f>
        <v>P009935712034_0001</v>
      </c>
      <c r="L944" s="8">
        <v>1</v>
      </c>
      <c r="M944" s="8">
        <v>2</v>
      </c>
    </row>
    <row r="945" spans="1:13">
      <c r="A945" s="6">
        <v>43840</v>
      </c>
      <c r="B945" s="7">
        <v>0.47569444444444442</v>
      </c>
      <c r="C945" s="8" t="str">
        <f>"009935712033"</f>
        <v>009935712033</v>
      </c>
      <c r="D945" s="8" t="s">
        <v>19</v>
      </c>
      <c r="E945" s="8" t="s">
        <v>595</v>
      </c>
      <c r="F945" s="8" t="str">
        <f>"1162729140 "</f>
        <v xml:space="preserve">1162729140 </v>
      </c>
      <c r="G945" s="8" t="str">
        <f t="shared" si="29"/>
        <v>ON1</v>
      </c>
      <c r="H945" s="8" t="s">
        <v>21</v>
      </c>
      <c r="I945" s="8" t="s">
        <v>338</v>
      </c>
      <c r="J945" s="8" t="str">
        <f>"RESEND"</f>
        <v>RESEND</v>
      </c>
      <c r="K945" s="8" t="str">
        <f>"P009935712033_0001"</f>
        <v>P009935712033_0001</v>
      </c>
      <c r="L945" s="8">
        <v>1</v>
      </c>
      <c r="M945" s="8">
        <v>4</v>
      </c>
    </row>
    <row r="946" spans="1:13">
      <c r="A946" s="6">
        <v>43840</v>
      </c>
      <c r="B946" s="7">
        <v>0.46458333333333335</v>
      </c>
      <c r="C946" s="8" t="str">
        <f>"FES1162730596"</f>
        <v>FES1162730596</v>
      </c>
      <c r="D946" s="8" t="s">
        <v>19</v>
      </c>
      <c r="E946" s="8" t="s">
        <v>262</v>
      </c>
      <c r="F946" s="8" t="str">
        <f>"2170717916 "</f>
        <v xml:space="preserve">2170717916 </v>
      </c>
      <c r="G946" s="8" t="str">
        <f t="shared" si="29"/>
        <v>ON1</v>
      </c>
      <c r="H946" s="8" t="s">
        <v>21</v>
      </c>
      <c r="I946" s="8" t="s">
        <v>114</v>
      </c>
      <c r="J946" s="8" t="str">
        <f>""</f>
        <v/>
      </c>
      <c r="K946" s="8" t="str">
        <f>"PFES1162730596_0001"</f>
        <v>PFES1162730596_0001</v>
      </c>
      <c r="L946" s="8">
        <v>1</v>
      </c>
      <c r="M946" s="8">
        <v>1</v>
      </c>
    </row>
    <row r="947" spans="1:13">
      <c r="A947" s="6">
        <v>43840</v>
      </c>
      <c r="B947" s="7">
        <v>0.46319444444444446</v>
      </c>
      <c r="C947" s="8" t="str">
        <f>"FES1162730610"</f>
        <v>FES1162730610</v>
      </c>
      <c r="D947" s="8" t="s">
        <v>19</v>
      </c>
      <c r="E947" s="8" t="s">
        <v>262</v>
      </c>
      <c r="F947" s="8" t="str">
        <f>"2170721599 "</f>
        <v xml:space="preserve">2170721599 </v>
      </c>
      <c r="G947" s="8" t="str">
        <f t="shared" si="29"/>
        <v>ON1</v>
      </c>
      <c r="H947" s="8" t="s">
        <v>21</v>
      </c>
      <c r="I947" s="8" t="s">
        <v>114</v>
      </c>
      <c r="J947" s="8" t="str">
        <f>""</f>
        <v/>
      </c>
      <c r="K947" s="8" t="str">
        <f>"PFES1162730610_0001"</f>
        <v>PFES1162730610_0001</v>
      </c>
      <c r="L947" s="8">
        <v>1</v>
      </c>
      <c r="M947" s="8">
        <v>1</v>
      </c>
    </row>
    <row r="948" spans="1:13">
      <c r="A948" s="6">
        <v>43840</v>
      </c>
      <c r="B948" s="7">
        <v>0.46249999999999997</v>
      </c>
      <c r="C948" s="8" t="str">
        <f>"FES1162730611"</f>
        <v>FES1162730611</v>
      </c>
      <c r="D948" s="8" t="s">
        <v>19</v>
      </c>
      <c r="E948" s="8" t="s">
        <v>262</v>
      </c>
      <c r="F948" s="8" t="str">
        <f>"2170721619 "</f>
        <v xml:space="preserve">2170721619 </v>
      </c>
      <c r="G948" s="8" t="str">
        <f t="shared" si="29"/>
        <v>ON1</v>
      </c>
      <c r="H948" s="8" t="s">
        <v>21</v>
      </c>
      <c r="I948" s="8" t="s">
        <v>114</v>
      </c>
      <c r="J948" s="8" t="str">
        <f>""</f>
        <v/>
      </c>
      <c r="K948" s="8" t="str">
        <f>"PFES1162730611_0001"</f>
        <v>PFES1162730611_0001</v>
      </c>
      <c r="L948" s="8">
        <v>1</v>
      </c>
      <c r="M948" s="8">
        <v>1</v>
      </c>
    </row>
    <row r="949" spans="1:13">
      <c r="A949" s="6">
        <v>43840</v>
      </c>
      <c r="B949" s="7">
        <v>0.46180555555555558</v>
      </c>
      <c r="C949" s="8" t="str">
        <f>"FES1162730659"</f>
        <v>FES1162730659</v>
      </c>
      <c r="D949" s="8" t="s">
        <v>19</v>
      </c>
      <c r="E949" s="8" t="s">
        <v>596</v>
      </c>
      <c r="F949" s="8" t="str">
        <f>"2170723248 "</f>
        <v xml:space="preserve">2170723248 </v>
      </c>
      <c r="G949" s="8" t="str">
        <f t="shared" si="29"/>
        <v>ON1</v>
      </c>
      <c r="H949" s="8" t="s">
        <v>21</v>
      </c>
      <c r="I949" s="8" t="s">
        <v>31</v>
      </c>
      <c r="J949" s="8" t="str">
        <f>""</f>
        <v/>
      </c>
      <c r="K949" s="8" t="str">
        <f>"PFES1162730659_0001"</f>
        <v>PFES1162730659_0001</v>
      </c>
      <c r="L949" s="8">
        <v>1</v>
      </c>
      <c r="M949" s="8">
        <v>1</v>
      </c>
    </row>
    <row r="950" spans="1:13">
      <c r="A950" s="6">
        <v>43840</v>
      </c>
      <c r="B950" s="7">
        <v>0.46111111111111108</v>
      </c>
      <c r="C950" s="8" t="str">
        <f>"FES1162730624"</f>
        <v>FES1162730624</v>
      </c>
      <c r="D950" s="8" t="s">
        <v>19</v>
      </c>
      <c r="E950" s="8" t="s">
        <v>273</v>
      </c>
      <c r="F950" s="8" t="str">
        <f>"2170722325 "</f>
        <v xml:space="preserve">2170722325 </v>
      </c>
      <c r="G950" s="8" t="str">
        <f t="shared" si="29"/>
        <v>ON1</v>
      </c>
      <c r="H950" s="8" t="s">
        <v>21</v>
      </c>
      <c r="I950" s="8" t="s">
        <v>274</v>
      </c>
      <c r="J950" s="8" t="str">
        <f>""</f>
        <v/>
      </c>
      <c r="K950" s="8" t="str">
        <f>"PFES1162730624_0001"</f>
        <v>PFES1162730624_0001</v>
      </c>
      <c r="L950" s="8">
        <v>1</v>
      </c>
      <c r="M950" s="8">
        <v>1</v>
      </c>
    </row>
    <row r="951" spans="1:13">
      <c r="A951" s="6">
        <v>43840</v>
      </c>
      <c r="B951" s="7">
        <v>0.4604166666666667</v>
      </c>
      <c r="C951" s="8" t="str">
        <f>"FES1162730641"</f>
        <v>FES1162730641</v>
      </c>
      <c r="D951" s="8" t="s">
        <v>19</v>
      </c>
      <c r="E951" s="8" t="s">
        <v>160</v>
      </c>
      <c r="F951" s="8" t="str">
        <f>"2170722806 "</f>
        <v xml:space="preserve">2170722806 </v>
      </c>
      <c r="G951" s="8" t="str">
        <f t="shared" si="29"/>
        <v>ON1</v>
      </c>
      <c r="H951" s="8" t="s">
        <v>21</v>
      </c>
      <c r="I951" s="8" t="s">
        <v>161</v>
      </c>
      <c r="J951" s="8" t="str">
        <f>""</f>
        <v/>
      </c>
      <c r="K951" s="8" t="str">
        <f>"PFES1162730641_0001"</f>
        <v>PFES1162730641_0001</v>
      </c>
      <c r="L951" s="8">
        <v>1</v>
      </c>
      <c r="M951" s="8">
        <v>1</v>
      </c>
    </row>
    <row r="952" spans="1:13">
      <c r="A952" s="6">
        <v>43840</v>
      </c>
      <c r="B952" s="7">
        <v>0.4597222222222222</v>
      </c>
      <c r="C952" s="8" t="str">
        <f>"FES1162730612"</f>
        <v>FES1162730612</v>
      </c>
      <c r="D952" s="8" t="s">
        <v>19</v>
      </c>
      <c r="E952" s="8" t="s">
        <v>23</v>
      </c>
      <c r="F952" s="8" t="str">
        <f>"2170722022 "</f>
        <v xml:space="preserve">2170722022 </v>
      </c>
      <c r="G952" s="8" t="str">
        <f t="shared" si="29"/>
        <v>ON1</v>
      </c>
      <c r="H952" s="8" t="s">
        <v>21</v>
      </c>
      <c r="I952" s="8" t="s">
        <v>24</v>
      </c>
      <c r="J952" s="8" t="str">
        <f>""</f>
        <v/>
      </c>
      <c r="K952" s="8" t="str">
        <f>"PFES1162730612_0001"</f>
        <v>PFES1162730612_0001</v>
      </c>
      <c r="L952" s="8">
        <v>1</v>
      </c>
      <c r="M952" s="8">
        <v>1</v>
      </c>
    </row>
    <row r="953" spans="1:13">
      <c r="A953" s="6">
        <v>43840</v>
      </c>
      <c r="B953" s="7">
        <v>0.45833333333333331</v>
      </c>
      <c r="C953" s="8" t="str">
        <f>"FES1162730625"</f>
        <v>FES1162730625</v>
      </c>
      <c r="D953" s="8" t="s">
        <v>19</v>
      </c>
      <c r="E953" s="8" t="s">
        <v>597</v>
      </c>
      <c r="F953" s="8" t="str">
        <f>"2170722326 "</f>
        <v xml:space="preserve">2170722326 </v>
      </c>
      <c r="G953" s="8" t="str">
        <f t="shared" si="29"/>
        <v>ON1</v>
      </c>
      <c r="H953" s="8" t="s">
        <v>21</v>
      </c>
      <c r="I953" s="8" t="s">
        <v>119</v>
      </c>
      <c r="J953" s="8" t="str">
        <f>""</f>
        <v/>
      </c>
      <c r="K953" s="8" t="str">
        <f>"PFES1162730625_0001"</f>
        <v>PFES1162730625_0001</v>
      </c>
      <c r="L953" s="8">
        <v>1</v>
      </c>
      <c r="M953" s="8">
        <v>1</v>
      </c>
    </row>
    <row r="954" spans="1:13">
      <c r="A954" s="6">
        <v>43840</v>
      </c>
      <c r="B954" s="7">
        <v>0.45624999999999999</v>
      </c>
      <c r="C954" s="8" t="str">
        <f>"FES1162730591"</f>
        <v>FES1162730591</v>
      </c>
      <c r="D954" s="8" t="s">
        <v>19</v>
      </c>
      <c r="E954" s="8" t="s">
        <v>337</v>
      </c>
      <c r="F954" s="8" t="str">
        <f>"2170723136 "</f>
        <v xml:space="preserve">2170723136 </v>
      </c>
      <c r="G954" s="8" t="str">
        <f t="shared" si="29"/>
        <v>ON1</v>
      </c>
      <c r="H954" s="8" t="s">
        <v>21</v>
      </c>
      <c r="I954" s="8" t="s">
        <v>338</v>
      </c>
      <c r="J954" s="8" t="str">
        <f>""</f>
        <v/>
      </c>
      <c r="K954" s="8" t="str">
        <f>"PFES1162730591_0001"</f>
        <v>PFES1162730591_0001</v>
      </c>
      <c r="L954" s="8">
        <v>1</v>
      </c>
      <c r="M954" s="8">
        <v>1</v>
      </c>
    </row>
    <row r="955" spans="1:13">
      <c r="A955" s="6">
        <v>43840</v>
      </c>
      <c r="B955" s="7">
        <v>0.45555555555555555</v>
      </c>
      <c r="C955" s="8" t="str">
        <f>"FES1162730629"</f>
        <v>FES1162730629</v>
      </c>
      <c r="D955" s="8" t="s">
        <v>19</v>
      </c>
      <c r="E955" s="8" t="s">
        <v>199</v>
      </c>
      <c r="F955" s="8" t="str">
        <f>"2170722342 "</f>
        <v xml:space="preserve">2170722342 </v>
      </c>
      <c r="G955" s="8" t="str">
        <f t="shared" si="29"/>
        <v>ON1</v>
      </c>
      <c r="H955" s="8" t="s">
        <v>21</v>
      </c>
      <c r="I955" s="8" t="s">
        <v>200</v>
      </c>
      <c r="J955" s="8" t="str">
        <f>""</f>
        <v/>
      </c>
      <c r="K955" s="8" t="str">
        <f>"PFES1162730629_0001"</f>
        <v>PFES1162730629_0001</v>
      </c>
      <c r="L955" s="8">
        <v>1</v>
      </c>
      <c r="M955" s="8">
        <v>1</v>
      </c>
    </row>
    <row r="956" spans="1:13">
      <c r="A956" s="6">
        <v>43840</v>
      </c>
      <c r="B956" s="7">
        <v>0.45416666666666666</v>
      </c>
      <c r="C956" s="8" t="str">
        <f>"FES1162730613"</f>
        <v>FES1162730613</v>
      </c>
      <c r="D956" s="8" t="s">
        <v>19</v>
      </c>
      <c r="E956" s="8" t="s">
        <v>275</v>
      </c>
      <c r="F956" s="8" t="str">
        <f>"2170722141 "</f>
        <v xml:space="preserve">2170722141 </v>
      </c>
      <c r="G956" s="8" t="str">
        <f t="shared" si="29"/>
        <v>ON1</v>
      </c>
      <c r="H956" s="8" t="s">
        <v>21</v>
      </c>
      <c r="I956" s="8" t="s">
        <v>202</v>
      </c>
      <c r="J956" s="8" t="str">
        <f>""</f>
        <v/>
      </c>
      <c r="K956" s="8" t="str">
        <f>"PFES1162730613_0001"</f>
        <v>PFES1162730613_0001</v>
      </c>
      <c r="L956" s="8">
        <v>1</v>
      </c>
      <c r="M956" s="8">
        <v>1</v>
      </c>
    </row>
    <row r="957" spans="1:13">
      <c r="A957" s="6">
        <v>43840</v>
      </c>
      <c r="B957" s="7">
        <v>0.45347222222222222</v>
      </c>
      <c r="C957" s="8" t="str">
        <f>"FES1162730615"</f>
        <v>FES1162730615</v>
      </c>
      <c r="D957" s="8" t="s">
        <v>19</v>
      </c>
      <c r="E957" s="8" t="s">
        <v>232</v>
      </c>
      <c r="F957" s="8" t="str">
        <f>"2170722226 "</f>
        <v xml:space="preserve">2170722226 </v>
      </c>
      <c r="G957" s="8" t="str">
        <f t="shared" si="29"/>
        <v>ON1</v>
      </c>
      <c r="H957" s="8" t="s">
        <v>21</v>
      </c>
      <c r="I957" s="8" t="s">
        <v>247</v>
      </c>
      <c r="J957" s="8" t="str">
        <f>""</f>
        <v/>
      </c>
      <c r="K957" s="8" t="str">
        <f>"PFES1162730615_0001"</f>
        <v>PFES1162730615_0001</v>
      </c>
      <c r="L957" s="8">
        <v>1</v>
      </c>
      <c r="M957" s="8">
        <v>1</v>
      </c>
    </row>
    <row r="958" spans="1:13">
      <c r="A958" s="6">
        <v>43840</v>
      </c>
      <c r="B958" s="7">
        <v>0.45277777777777778</v>
      </c>
      <c r="C958" s="8" t="str">
        <f>"FES1162730606"</f>
        <v>FES1162730606</v>
      </c>
      <c r="D958" s="8" t="s">
        <v>19</v>
      </c>
      <c r="E958" s="8" t="s">
        <v>598</v>
      </c>
      <c r="F958" s="8" t="str">
        <f>"2170720731 "</f>
        <v xml:space="preserve">2170720731 </v>
      </c>
      <c r="G958" s="8" t="str">
        <f t="shared" si="29"/>
        <v>ON1</v>
      </c>
      <c r="H958" s="8" t="s">
        <v>21</v>
      </c>
      <c r="I958" s="8" t="s">
        <v>31</v>
      </c>
      <c r="J958" s="8" t="str">
        <f>""</f>
        <v/>
      </c>
      <c r="K958" s="8" t="str">
        <f>"PFES1162730606_0001"</f>
        <v>PFES1162730606_0001</v>
      </c>
      <c r="L958" s="8">
        <v>1</v>
      </c>
      <c r="M958" s="8">
        <v>1</v>
      </c>
    </row>
    <row r="959" spans="1:13">
      <c r="A959" s="6">
        <v>43840</v>
      </c>
      <c r="B959" s="7">
        <v>0.45208333333333334</v>
      </c>
      <c r="C959" s="8" t="str">
        <f>"FES1162730650"</f>
        <v>FES1162730650</v>
      </c>
      <c r="D959" s="8" t="s">
        <v>19</v>
      </c>
      <c r="E959" s="8" t="s">
        <v>87</v>
      </c>
      <c r="F959" s="8" t="str">
        <f>"2170723235 "</f>
        <v xml:space="preserve">2170723235 </v>
      </c>
      <c r="G959" s="8" t="str">
        <f t="shared" si="29"/>
        <v>ON1</v>
      </c>
      <c r="H959" s="8" t="s">
        <v>21</v>
      </c>
      <c r="I959" s="8" t="s">
        <v>88</v>
      </c>
      <c r="J959" s="8" t="str">
        <f>""</f>
        <v/>
      </c>
      <c r="K959" s="8" t="str">
        <f>"PFES1162730650_0001"</f>
        <v>PFES1162730650_0001</v>
      </c>
      <c r="L959" s="8">
        <v>1</v>
      </c>
      <c r="M959" s="8">
        <v>1</v>
      </c>
    </row>
    <row r="960" spans="1:13">
      <c r="A960" s="6">
        <v>43840</v>
      </c>
      <c r="B960" s="7">
        <v>0.4513888888888889</v>
      </c>
      <c r="C960" s="8" t="str">
        <f>"FES1162730643"</f>
        <v>FES1162730643</v>
      </c>
      <c r="D960" s="8" t="s">
        <v>19</v>
      </c>
      <c r="E960" s="8" t="s">
        <v>251</v>
      </c>
      <c r="F960" s="8" t="str">
        <f>"2170723181 "</f>
        <v xml:space="preserve">2170723181 </v>
      </c>
      <c r="G960" s="8" t="str">
        <f t="shared" si="29"/>
        <v>ON1</v>
      </c>
      <c r="H960" s="8" t="s">
        <v>21</v>
      </c>
      <c r="I960" s="8" t="s">
        <v>96</v>
      </c>
      <c r="J960" s="8" t="str">
        <f>""</f>
        <v/>
      </c>
      <c r="K960" s="8" t="str">
        <f>"PFES1162730643_0001"</f>
        <v>PFES1162730643_0001</v>
      </c>
      <c r="L960" s="8">
        <v>1</v>
      </c>
      <c r="M960" s="8">
        <v>1</v>
      </c>
    </row>
    <row r="961" spans="1:13">
      <c r="A961" s="6">
        <v>43840</v>
      </c>
      <c r="B961" s="7">
        <v>0.45069444444444445</v>
      </c>
      <c r="C961" s="8" t="str">
        <f>"FES1162730614"</f>
        <v>FES1162730614</v>
      </c>
      <c r="D961" s="8" t="s">
        <v>19</v>
      </c>
      <c r="E961" s="8" t="s">
        <v>37</v>
      </c>
      <c r="F961" s="8" t="str">
        <f>"2170722193 "</f>
        <v xml:space="preserve">2170722193 </v>
      </c>
      <c r="G961" s="8" t="str">
        <f t="shared" si="29"/>
        <v>ON1</v>
      </c>
      <c r="H961" s="8" t="s">
        <v>21</v>
      </c>
      <c r="I961" s="8" t="s">
        <v>38</v>
      </c>
      <c r="J961" s="8" t="str">
        <f>""</f>
        <v/>
      </c>
      <c r="K961" s="8" t="str">
        <f>"PFES1162730614_0001"</f>
        <v>PFES1162730614_0001</v>
      </c>
      <c r="L961" s="8">
        <v>1</v>
      </c>
      <c r="M961" s="8">
        <v>1</v>
      </c>
    </row>
    <row r="962" spans="1:13">
      <c r="A962" s="6">
        <v>43840</v>
      </c>
      <c r="B962" s="7">
        <v>0.44861111111111113</v>
      </c>
      <c r="C962" s="8" t="str">
        <f>"FES1162730670"</f>
        <v>FES1162730670</v>
      </c>
      <c r="D962" s="8" t="s">
        <v>19</v>
      </c>
      <c r="E962" s="8" t="s">
        <v>59</v>
      </c>
      <c r="F962" s="8" t="str">
        <f>"2170723246 "</f>
        <v xml:space="preserve">2170723246 </v>
      </c>
      <c r="G962" s="8" t="str">
        <f t="shared" si="29"/>
        <v>ON1</v>
      </c>
      <c r="H962" s="8" t="s">
        <v>21</v>
      </c>
      <c r="I962" s="8" t="s">
        <v>60</v>
      </c>
      <c r="J962" s="8" t="str">
        <f>""</f>
        <v/>
      </c>
      <c r="K962" s="8" t="str">
        <f>"PFES1162730670_0001"</f>
        <v>PFES1162730670_0001</v>
      </c>
      <c r="L962" s="8">
        <v>1</v>
      </c>
      <c r="M962" s="8">
        <v>1</v>
      </c>
    </row>
    <row r="963" spans="1:13">
      <c r="A963" s="6">
        <v>43840</v>
      </c>
      <c r="B963" s="7">
        <v>0.44791666666666669</v>
      </c>
      <c r="C963" s="8" t="str">
        <f>"FES1162730626"</f>
        <v>FES1162730626</v>
      </c>
      <c r="D963" s="8" t="s">
        <v>19</v>
      </c>
      <c r="E963" s="8" t="s">
        <v>64</v>
      </c>
      <c r="F963" s="8" t="str">
        <f>"2170722330 "</f>
        <v xml:space="preserve">2170722330 </v>
      </c>
      <c r="G963" s="8" t="str">
        <f t="shared" si="29"/>
        <v>ON1</v>
      </c>
      <c r="H963" s="8" t="s">
        <v>21</v>
      </c>
      <c r="I963" s="8" t="s">
        <v>60</v>
      </c>
      <c r="J963" s="8" t="str">
        <f>""</f>
        <v/>
      </c>
      <c r="K963" s="8" t="str">
        <f>"PFES1162730626_0001"</f>
        <v>PFES1162730626_0001</v>
      </c>
      <c r="L963" s="8">
        <v>1</v>
      </c>
      <c r="M963" s="8">
        <v>1</v>
      </c>
    </row>
    <row r="964" spans="1:13">
      <c r="A964" s="6">
        <v>43840</v>
      </c>
      <c r="B964" s="7">
        <v>0.4465277777777778</v>
      </c>
      <c r="C964" s="8" t="str">
        <f>"FES1162730599"</f>
        <v>FES1162730599</v>
      </c>
      <c r="D964" s="8" t="s">
        <v>19</v>
      </c>
      <c r="E964" s="8" t="s">
        <v>218</v>
      </c>
      <c r="F964" s="8" t="str">
        <f>"2170719594 "</f>
        <v xml:space="preserve">2170719594 </v>
      </c>
      <c r="G964" s="8" t="str">
        <f t="shared" si="29"/>
        <v>ON1</v>
      </c>
      <c r="H964" s="8" t="s">
        <v>21</v>
      </c>
      <c r="I964" s="8" t="s">
        <v>49</v>
      </c>
      <c r="J964" s="8" t="str">
        <f>""</f>
        <v/>
      </c>
      <c r="K964" s="8" t="str">
        <f>"PFES1162730599_0001"</f>
        <v>PFES1162730599_0001</v>
      </c>
      <c r="L964" s="8">
        <v>1</v>
      </c>
      <c r="M964" s="8">
        <v>1</v>
      </c>
    </row>
    <row r="965" spans="1:13">
      <c r="A965" s="6">
        <v>43843</v>
      </c>
      <c r="B965" s="7">
        <v>0.6777777777777777</v>
      </c>
      <c r="C965" s="9" t="str">
        <f>"FES1162730958"</f>
        <v>FES1162730958</v>
      </c>
      <c r="D965" s="9" t="s">
        <v>19</v>
      </c>
      <c r="E965" s="9" t="s">
        <v>410</v>
      </c>
      <c r="F965" s="9" t="str">
        <f>"217072355 "</f>
        <v xml:space="preserve">217072355 </v>
      </c>
      <c r="G965" s="9" t="str">
        <f>"ON1"</f>
        <v>ON1</v>
      </c>
      <c r="H965" s="9" t="s">
        <v>21</v>
      </c>
      <c r="I965" s="9" t="s">
        <v>96</v>
      </c>
      <c r="J965" s="9" t="str">
        <f>""</f>
        <v/>
      </c>
      <c r="K965" s="9" t="str">
        <f>"PFES1162730958_0001"</f>
        <v>PFES1162730958_0001</v>
      </c>
      <c r="L965" s="9">
        <v>1</v>
      </c>
      <c r="M965" s="9">
        <v>1</v>
      </c>
    </row>
    <row r="966" spans="1:13">
      <c r="A966" s="6">
        <v>43843</v>
      </c>
      <c r="B966" s="7">
        <v>0.67708333333333337</v>
      </c>
      <c r="C966" s="9" t="str">
        <f>"FES1162730957"</f>
        <v>FES1162730957</v>
      </c>
      <c r="D966" s="9" t="s">
        <v>19</v>
      </c>
      <c r="E966" s="9" t="s">
        <v>349</v>
      </c>
      <c r="F966" s="9" t="str">
        <f>"2170723485 "</f>
        <v xml:space="preserve">2170723485 </v>
      </c>
      <c r="G966" s="9" t="str">
        <f>"DBC"</f>
        <v>DBC</v>
      </c>
      <c r="H966" s="9" t="s">
        <v>21</v>
      </c>
      <c r="I966" s="9" t="s">
        <v>85</v>
      </c>
      <c r="J966" s="9" t="str">
        <f>""</f>
        <v/>
      </c>
      <c r="K966" s="9" t="str">
        <f>"PFES1162730957_0001"</f>
        <v>PFES1162730957_0001</v>
      </c>
      <c r="L966" s="9">
        <v>1</v>
      </c>
      <c r="M966" s="9">
        <v>20</v>
      </c>
    </row>
    <row r="967" spans="1:13">
      <c r="A967" s="6">
        <v>43843</v>
      </c>
      <c r="B967" s="7">
        <v>0.67638888888888893</v>
      </c>
      <c r="C967" s="9" t="str">
        <f>"FES1162730923"</f>
        <v>FES1162730923</v>
      </c>
      <c r="D967" s="9" t="s">
        <v>19</v>
      </c>
      <c r="E967" s="9" t="s">
        <v>599</v>
      </c>
      <c r="F967" s="9" t="str">
        <f>"2170723525 "</f>
        <v xml:space="preserve">2170723525 </v>
      </c>
      <c r="G967" s="9" t="str">
        <f t="shared" ref="G967:G1030" si="31">"ON1"</f>
        <v>ON1</v>
      </c>
      <c r="H967" s="9" t="s">
        <v>21</v>
      </c>
      <c r="I967" s="9" t="s">
        <v>576</v>
      </c>
      <c r="J967" s="9" t="str">
        <f>""</f>
        <v/>
      </c>
      <c r="K967" s="9" t="str">
        <f>"PFES1162730923_0001"</f>
        <v>PFES1162730923_0001</v>
      </c>
      <c r="L967" s="9">
        <v>1</v>
      </c>
      <c r="M967" s="9">
        <v>8</v>
      </c>
    </row>
    <row r="968" spans="1:13">
      <c r="A968" s="6">
        <v>43843</v>
      </c>
      <c r="B968" s="7">
        <v>0.6743055555555556</v>
      </c>
      <c r="C968" s="9" t="str">
        <f>"FES1162730866"</f>
        <v>FES1162730866</v>
      </c>
      <c r="D968" s="9" t="s">
        <v>19</v>
      </c>
      <c r="E968" s="9" t="s">
        <v>111</v>
      </c>
      <c r="F968" s="9" t="str">
        <f>"2170723458 "</f>
        <v xml:space="preserve">2170723458 </v>
      </c>
      <c r="G968" s="9" t="str">
        <f t="shared" si="31"/>
        <v>ON1</v>
      </c>
      <c r="H968" s="9" t="s">
        <v>21</v>
      </c>
      <c r="I968" s="9" t="s">
        <v>320</v>
      </c>
      <c r="J968" s="9" t="str">
        <f>""</f>
        <v/>
      </c>
      <c r="K968" s="9" t="str">
        <f>"PFES1162730866_0001"</f>
        <v>PFES1162730866_0001</v>
      </c>
      <c r="L968" s="9">
        <v>1</v>
      </c>
      <c r="M968" s="9">
        <v>3</v>
      </c>
    </row>
    <row r="969" spans="1:13">
      <c r="A969" s="6">
        <v>43843</v>
      </c>
      <c r="B969" s="7">
        <v>0.6743055555555556</v>
      </c>
      <c r="C969" s="9" t="str">
        <f>"FES1162730954"</f>
        <v>FES1162730954</v>
      </c>
      <c r="D969" s="9" t="s">
        <v>19</v>
      </c>
      <c r="E969" s="9" t="s">
        <v>101</v>
      </c>
      <c r="F969" s="9" t="str">
        <f>"2170723369 "</f>
        <v xml:space="preserve">2170723369 </v>
      </c>
      <c r="G969" s="9" t="str">
        <f t="shared" si="31"/>
        <v>ON1</v>
      </c>
      <c r="H969" s="9" t="s">
        <v>21</v>
      </c>
      <c r="I969" s="9" t="s">
        <v>102</v>
      </c>
      <c r="J969" s="9" t="str">
        <f>""</f>
        <v/>
      </c>
      <c r="K969" s="9" t="str">
        <f>"PFES1162730954_0001"</f>
        <v>PFES1162730954_0001</v>
      </c>
      <c r="L969" s="9">
        <v>1</v>
      </c>
      <c r="M969" s="9">
        <v>10</v>
      </c>
    </row>
    <row r="970" spans="1:13">
      <c r="A970" s="6">
        <v>43843</v>
      </c>
      <c r="B970" s="7">
        <v>0.67361111111111116</v>
      </c>
      <c r="C970" s="9" t="str">
        <f>"FES1162730950"</f>
        <v>FES1162730950</v>
      </c>
      <c r="D970" s="9" t="s">
        <v>19</v>
      </c>
      <c r="E970" s="9" t="s">
        <v>216</v>
      </c>
      <c r="F970" s="9" t="str">
        <f>"2170723217 "</f>
        <v xml:space="preserve">2170723217 </v>
      </c>
      <c r="G970" s="9" t="str">
        <f t="shared" si="31"/>
        <v>ON1</v>
      </c>
      <c r="H970" s="9" t="s">
        <v>21</v>
      </c>
      <c r="I970" s="9" t="s">
        <v>217</v>
      </c>
      <c r="J970" s="9" t="str">
        <f>""</f>
        <v/>
      </c>
      <c r="K970" s="9" t="str">
        <f>"PFES1162730950_0001"</f>
        <v>PFES1162730950_0001</v>
      </c>
      <c r="L970" s="9">
        <v>1</v>
      </c>
      <c r="M970" s="9">
        <v>2</v>
      </c>
    </row>
    <row r="971" spans="1:13">
      <c r="A971" s="6">
        <v>43843</v>
      </c>
      <c r="B971" s="7">
        <v>0.67291666666666661</v>
      </c>
      <c r="C971" s="9" t="str">
        <f>"FES1162730952"</f>
        <v>FES1162730952</v>
      </c>
      <c r="D971" s="9" t="s">
        <v>19</v>
      </c>
      <c r="E971" s="9" t="s">
        <v>600</v>
      </c>
      <c r="F971" s="9" t="str">
        <f>"2170723328 "</f>
        <v xml:space="preserve">2170723328 </v>
      </c>
      <c r="G971" s="9" t="str">
        <f t="shared" si="31"/>
        <v>ON1</v>
      </c>
      <c r="H971" s="9" t="s">
        <v>21</v>
      </c>
      <c r="I971" s="9" t="s">
        <v>601</v>
      </c>
      <c r="J971" s="9" t="str">
        <f>""</f>
        <v/>
      </c>
      <c r="K971" s="9" t="str">
        <f>"PFES1162730952_0001"</f>
        <v>PFES1162730952_0001</v>
      </c>
      <c r="L971" s="9">
        <v>1</v>
      </c>
      <c r="M971" s="9">
        <v>3</v>
      </c>
    </row>
    <row r="972" spans="1:13">
      <c r="A972" s="6">
        <v>43843</v>
      </c>
      <c r="B972" s="7">
        <v>0.67222222222222217</v>
      </c>
      <c r="C972" s="9" t="str">
        <f>"FES1162730931"</f>
        <v>FES1162730931</v>
      </c>
      <c r="D972" s="9" t="s">
        <v>19</v>
      </c>
      <c r="E972" s="9" t="s">
        <v>410</v>
      </c>
      <c r="F972" s="9" t="str">
        <f>"21707 "</f>
        <v xml:space="preserve">21707 </v>
      </c>
      <c r="G972" s="9" t="str">
        <f t="shared" si="31"/>
        <v>ON1</v>
      </c>
      <c r="H972" s="9" t="s">
        <v>21</v>
      </c>
      <c r="I972" s="9" t="s">
        <v>96</v>
      </c>
      <c r="J972" s="9" t="str">
        <f>""</f>
        <v/>
      </c>
      <c r="K972" s="9" t="str">
        <f>"PFES1162730931_0001"</f>
        <v>PFES1162730931_0001</v>
      </c>
      <c r="L972" s="9">
        <v>1</v>
      </c>
      <c r="M972" s="9">
        <v>2</v>
      </c>
    </row>
    <row r="973" spans="1:13">
      <c r="A973" s="6">
        <v>43843</v>
      </c>
      <c r="B973" s="7">
        <v>0.67152777777777783</v>
      </c>
      <c r="C973" s="9" t="str">
        <f>"FES1162730939"</f>
        <v>FES1162730939</v>
      </c>
      <c r="D973" s="9" t="s">
        <v>19</v>
      </c>
      <c r="E973" s="9" t="s">
        <v>216</v>
      </c>
      <c r="F973" s="9" t="str">
        <f>"2170723545 "</f>
        <v xml:space="preserve">2170723545 </v>
      </c>
      <c r="G973" s="9" t="str">
        <f t="shared" si="31"/>
        <v>ON1</v>
      </c>
      <c r="H973" s="9" t="s">
        <v>21</v>
      </c>
      <c r="I973" s="9" t="s">
        <v>217</v>
      </c>
      <c r="J973" s="9" t="str">
        <f>""</f>
        <v/>
      </c>
      <c r="K973" s="9" t="str">
        <f>"PFES1162730939_0001"</f>
        <v>PFES1162730939_0001</v>
      </c>
      <c r="L973" s="9">
        <v>1</v>
      </c>
      <c r="M973" s="9">
        <v>1</v>
      </c>
    </row>
    <row r="974" spans="1:13">
      <c r="A974" s="6">
        <v>43843</v>
      </c>
      <c r="B974" s="7">
        <v>0.66111111111111109</v>
      </c>
      <c r="C974" s="9" t="str">
        <f>"FES1162730908"</f>
        <v>FES1162730908</v>
      </c>
      <c r="D974" s="9" t="s">
        <v>19</v>
      </c>
      <c r="E974" s="9" t="s">
        <v>546</v>
      </c>
      <c r="F974" s="9" t="str">
        <f>"2170723504 "</f>
        <v xml:space="preserve">2170723504 </v>
      </c>
      <c r="G974" s="9" t="str">
        <f t="shared" si="31"/>
        <v>ON1</v>
      </c>
      <c r="H974" s="9" t="s">
        <v>21</v>
      </c>
      <c r="I974" s="9" t="s">
        <v>389</v>
      </c>
      <c r="J974" s="9" t="str">
        <f>""</f>
        <v/>
      </c>
      <c r="K974" s="9" t="str">
        <f>"PFES1162730908_0001"</f>
        <v>PFES1162730908_0001</v>
      </c>
      <c r="L974" s="9">
        <v>1</v>
      </c>
      <c r="M974" s="9">
        <v>1</v>
      </c>
    </row>
    <row r="975" spans="1:13">
      <c r="A975" s="6">
        <v>43843</v>
      </c>
      <c r="B975" s="7">
        <v>0.66111111111111109</v>
      </c>
      <c r="C975" s="9" t="str">
        <f>"FES1162730757"</f>
        <v>FES1162730757</v>
      </c>
      <c r="D975" s="9" t="s">
        <v>19</v>
      </c>
      <c r="E975" s="9" t="s">
        <v>602</v>
      </c>
      <c r="F975" s="9" t="str">
        <f>"2170723360 "</f>
        <v xml:space="preserve">2170723360 </v>
      </c>
      <c r="G975" s="9" t="str">
        <f t="shared" si="31"/>
        <v>ON1</v>
      </c>
      <c r="H975" s="9" t="s">
        <v>21</v>
      </c>
      <c r="I975" s="9" t="s">
        <v>381</v>
      </c>
      <c r="J975" s="9" t="str">
        <f>""</f>
        <v/>
      </c>
      <c r="K975" s="9" t="str">
        <f>"PFES1162730757_0001"</f>
        <v>PFES1162730757_0001</v>
      </c>
      <c r="L975" s="9">
        <v>1</v>
      </c>
      <c r="M975" s="9">
        <v>1</v>
      </c>
    </row>
    <row r="976" spans="1:13">
      <c r="A976" s="6">
        <v>43843</v>
      </c>
      <c r="B976" s="7">
        <v>0.66041666666666665</v>
      </c>
      <c r="C976" s="9" t="str">
        <f>"FES1162730882"</f>
        <v>FES1162730882</v>
      </c>
      <c r="D976" s="9" t="s">
        <v>19</v>
      </c>
      <c r="E976" s="9" t="s">
        <v>603</v>
      </c>
      <c r="F976" s="9" t="str">
        <f>"2170723469 "</f>
        <v xml:space="preserve">2170723469 </v>
      </c>
      <c r="G976" s="9" t="str">
        <f t="shared" si="31"/>
        <v>ON1</v>
      </c>
      <c r="H976" s="9" t="s">
        <v>21</v>
      </c>
      <c r="I976" s="9" t="s">
        <v>604</v>
      </c>
      <c r="J976" s="9" t="str">
        <f>""</f>
        <v/>
      </c>
      <c r="K976" s="9" t="str">
        <f>"PFES1162730882_0001"</f>
        <v>PFES1162730882_0001</v>
      </c>
      <c r="L976" s="9">
        <v>1</v>
      </c>
      <c r="M976" s="9">
        <v>1</v>
      </c>
    </row>
    <row r="977" spans="1:13">
      <c r="A977" s="6">
        <v>43843</v>
      </c>
      <c r="B977" s="7">
        <v>0.66041666666666665</v>
      </c>
      <c r="C977" s="9" t="str">
        <f>"FES1162730932"</f>
        <v>FES1162730932</v>
      </c>
      <c r="D977" s="9" t="s">
        <v>19</v>
      </c>
      <c r="E977" s="9" t="s">
        <v>605</v>
      </c>
      <c r="F977" s="9" t="str">
        <f>"2170723523 "</f>
        <v xml:space="preserve">2170723523 </v>
      </c>
      <c r="G977" s="9" t="str">
        <f t="shared" si="31"/>
        <v>ON1</v>
      </c>
      <c r="H977" s="9" t="s">
        <v>21</v>
      </c>
      <c r="I977" s="9" t="s">
        <v>85</v>
      </c>
      <c r="J977" s="9" t="str">
        <f>""</f>
        <v/>
      </c>
      <c r="K977" s="9" t="str">
        <f>"PFES1162730932_0001"</f>
        <v>PFES1162730932_0001</v>
      </c>
      <c r="L977" s="9">
        <v>1</v>
      </c>
      <c r="M977" s="9">
        <v>3</v>
      </c>
    </row>
    <row r="978" spans="1:13">
      <c r="A978" s="6">
        <v>43843</v>
      </c>
      <c r="B978" s="7">
        <v>0.65972222222222221</v>
      </c>
      <c r="C978" s="9" t="str">
        <f>"FES1162730838"</f>
        <v>FES1162730838</v>
      </c>
      <c r="D978" s="9" t="s">
        <v>19</v>
      </c>
      <c r="E978" s="9" t="s">
        <v>293</v>
      </c>
      <c r="F978" s="9" t="str">
        <f>"2170716796 "</f>
        <v xml:space="preserve">2170716796 </v>
      </c>
      <c r="G978" s="9" t="str">
        <f t="shared" si="31"/>
        <v>ON1</v>
      </c>
      <c r="H978" s="9" t="s">
        <v>21</v>
      </c>
      <c r="I978" s="9" t="s">
        <v>294</v>
      </c>
      <c r="J978" s="9" t="str">
        <f>""</f>
        <v/>
      </c>
      <c r="K978" s="9" t="str">
        <f>"PFES1162730838_0001"</f>
        <v>PFES1162730838_0001</v>
      </c>
      <c r="L978" s="9">
        <v>1</v>
      </c>
      <c r="M978" s="9">
        <v>3</v>
      </c>
    </row>
    <row r="979" spans="1:13">
      <c r="A979" s="6">
        <v>43843</v>
      </c>
      <c r="B979" s="7">
        <v>0.65972222222222221</v>
      </c>
      <c r="C979" s="9" t="str">
        <f>"FES1162730875"</f>
        <v>FES1162730875</v>
      </c>
      <c r="D979" s="9" t="s">
        <v>19</v>
      </c>
      <c r="E979" s="9" t="s">
        <v>465</v>
      </c>
      <c r="F979" s="9" t="str">
        <f>"2170723464 "</f>
        <v xml:space="preserve">2170723464 </v>
      </c>
      <c r="G979" s="9" t="str">
        <f t="shared" si="31"/>
        <v>ON1</v>
      </c>
      <c r="H979" s="9" t="s">
        <v>21</v>
      </c>
      <c r="I979" s="9" t="s">
        <v>466</v>
      </c>
      <c r="J979" s="9" t="str">
        <f>""</f>
        <v/>
      </c>
      <c r="K979" s="9" t="str">
        <f>"PFES1162730875_0001"</f>
        <v>PFES1162730875_0001</v>
      </c>
      <c r="L979" s="9">
        <v>1</v>
      </c>
      <c r="M979" s="9">
        <v>3</v>
      </c>
    </row>
    <row r="980" spans="1:13">
      <c r="A980" s="6">
        <v>43843</v>
      </c>
      <c r="B980" s="7">
        <v>0.65972222222222221</v>
      </c>
      <c r="C980" s="9" t="str">
        <f>"FES1162730816"</f>
        <v>FES1162730816</v>
      </c>
      <c r="D980" s="9" t="s">
        <v>19</v>
      </c>
      <c r="E980" s="9" t="s">
        <v>478</v>
      </c>
      <c r="F980" s="9" t="str">
        <f>"2170723405 "</f>
        <v xml:space="preserve">2170723405 </v>
      </c>
      <c r="G980" s="9" t="str">
        <f t="shared" si="31"/>
        <v>ON1</v>
      </c>
      <c r="H980" s="9" t="s">
        <v>21</v>
      </c>
      <c r="I980" s="9" t="s">
        <v>277</v>
      </c>
      <c r="J980" s="9" t="str">
        <f>""</f>
        <v/>
      </c>
      <c r="K980" s="9" t="str">
        <f>"PFES1162730816_0001"</f>
        <v>PFES1162730816_0001</v>
      </c>
      <c r="L980" s="9">
        <v>1</v>
      </c>
      <c r="M980" s="9">
        <v>6</v>
      </c>
    </row>
    <row r="981" spans="1:13">
      <c r="A981" s="6">
        <v>43843</v>
      </c>
      <c r="B981" s="7">
        <v>0.65902777777777777</v>
      </c>
      <c r="C981" s="9" t="str">
        <f>"FES1162730893"</f>
        <v>FES1162730893</v>
      </c>
      <c r="D981" s="9" t="s">
        <v>19</v>
      </c>
      <c r="E981" s="9" t="s">
        <v>222</v>
      </c>
      <c r="F981" s="9" t="str">
        <f>"2170723486 "</f>
        <v xml:space="preserve">2170723486 </v>
      </c>
      <c r="G981" s="9" t="str">
        <f t="shared" si="31"/>
        <v>ON1</v>
      </c>
      <c r="H981" s="9" t="s">
        <v>21</v>
      </c>
      <c r="I981" s="9" t="s">
        <v>28</v>
      </c>
      <c r="J981" s="9" t="str">
        <f>""</f>
        <v/>
      </c>
      <c r="K981" s="9" t="str">
        <f>"PFES1162730893_0001"</f>
        <v>PFES1162730893_0001</v>
      </c>
      <c r="L981" s="9">
        <v>1</v>
      </c>
      <c r="M981" s="9">
        <v>3</v>
      </c>
    </row>
    <row r="982" spans="1:13">
      <c r="A982" s="6">
        <v>43843</v>
      </c>
      <c r="B982" s="7">
        <v>0.65902777777777777</v>
      </c>
      <c r="C982" s="9" t="str">
        <f>"FES1162730892"</f>
        <v>FES1162730892</v>
      </c>
      <c r="D982" s="9" t="s">
        <v>19</v>
      </c>
      <c r="E982" s="9" t="s">
        <v>222</v>
      </c>
      <c r="F982" s="9" t="str">
        <f>"2170723483 "</f>
        <v xml:space="preserve">2170723483 </v>
      </c>
      <c r="G982" s="9" t="str">
        <f t="shared" si="31"/>
        <v>ON1</v>
      </c>
      <c r="H982" s="9" t="s">
        <v>21</v>
      </c>
      <c r="I982" s="9" t="s">
        <v>28</v>
      </c>
      <c r="J982" s="9" t="str">
        <f>""</f>
        <v/>
      </c>
      <c r="K982" s="9" t="str">
        <f>"PFES1162730892_0001"</f>
        <v>PFES1162730892_0001</v>
      </c>
      <c r="L982" s="9">
        <v>1</v>
      </c>
      <c r="M982" s="9">
        <v>3</v>
      </c>
    </row>
    <row r="983" spans="1:13">
      <c r="A983" s="6">
        <v>43843</v>
      </c>
      <c r="B983" s="7">
        <v>0.65902777777777777</v>
      </c>
      <c r="C983" s="9" t="str">
        <f>"FES1162730860"</f>
        <v>FES1162730860</v>
      </c>
      <c r="D983" s="9" t="s">
        <v>19</v>
      </c>
      <c r="E983" s="9" t="s">
        <v>606</v>
      </c>
      <c r="F983" s="9" t="str">
        <f>"2170723452 "</f>
        <v xml:space="preserve">2170723452 </v>
      </c>
      <c r="G983" s="9" t="str">
        <f t="shared" si="31"/>
        <v>ON1</v>
      </c>
      <c r="H983" s="9" t="s">
        <v>21</v>
      </c>
      <c r="I983" s="9" t="s">
        <v>235</v>
      </c>
      <c r="J983" s="9" t="str">
        <f>""</f>
        <v/>
      </c>
      <c r="K983" s="9" t="str">
        <f>"PFES1162730860_0001"</f>
        <v>PFES1162730860_0001</v>
      </c>
      <c r="L983" s="9">
        <v>1</v>
      </c>
      <c r="M983" s="9">
        <v>3</v>
      </c>
    </row>
    <row r="984" spans="1:13">
      <c r="A984" s="6">
        <v>43843</v>
      </c>
      <c r="B984" s="7">
        <v>0.65833333333333333</v>
      </c>
      <c r="C984" s="9" t="str">
        <f>"FES1162730941"</f>
        <v>FES1162730941</v>
      </c>
      <c r="D984" s="9" t="s">
        <v>19</v>
      </c>
      <c r="E984" s="9" t="s">
        <v>101</v>
      </c>
      <c r="F984" s="9" t="str">
        <f>"2170723548 "</f>
        <v xml:space="preserve">2170723548 </v>
      </c>
      <c r="G984" s="9" t="str">
        <f t="shared" si="31"/>
        <v>ON1</v>
      </c>
      <c r="H984" s="9" t="s">
        <v>21</v>
      </c>
      <c r="I984" s="9" t="s">
        <v>102</v>
      </c>
      <c r="J984" s="9" t="str">
        <f>""</f>
        <v/>
      </c>
      <c r="K984" s="9" t="str">
        <f>"PFES1162730941_0001"</f>
        <v>PFES1162730941_0001</v>
      </c>
      <c r="L984" s="9">
        <v>1</v>
      </c>
      <c r="M984" s="9">
        <v>3</v>
      </c>
    </row>
    <row r="985" spans="1:13">
      <c r="A985" s="6">
        <v>43843</v>
      </c>
      <c r="B985" s="7">
        <v>0.65833333333333333</v>
      </c>
      <c r="C985" s="9" t="str">
        <f>"FES1162730872"</f>
        <v>FES1162730872</v>
      </c>
      <c r="D985" s="9" t="s">
        <v>19</v>
      </c>
      <c r="E985" s="9" t="s">
        <v>41</v>
      </c>
      <c r="F985" s="9" t="str">
        <f>"2170722355 "</f>
        <v xml:space="preserve">2170722355 </v>
      </c>
      <c r="G985" s="9" t="str">
        <f t="shared" si="31"/>
        <v>ON1</v>
      </c>
      <c r="H985" s="9" t="s">
        <v>21</v>
      </c>
      <c r="I985" s="9" t="s">
        <v>31</v>
      </c>
      <c r="J985" s="9" t="str">
        <f>""</f>
        <v/>
      </c>
      <c r="K985" s="9" t="str">
        <f>"PFES1162730872_0001"</f>
        <v>PFES1162730872_0001</v>
      </c>
      <c r="L985" s="9">
        <v>1</v>
      </c>
      <c r="M985" s="9">
        <v>18</v>
      </c>
    </row>
    <row r="986" spans="1:13">
      <c r="A986" s="6">
        <v>43843</v>
      </c>
      <c r="B986" s="7">
        <v>0.65763888888888888</v>
      </c>
      <c r="C986" s="9" t="str">
        <f>"FES1162730943"</f>
        <v>FES1162730943</v>
      </c>
      <c r="D986" s="9" t="s">
        <v>19</v>
      </c>
      <c r="E986" s="9" t="s">
        <v>101</v>
      </c>
      <c r="F986" s="9" t="str">
        <f>"2170723550 "</f>
        <v xml:space="preserve">2170723550 </v>
      </c>
      <c r="G986" s="9" t="str">
        <f t="shared" si="31"/>
        <v>ON1</v>
      </c>
      <c r="H986" s="9" t="s">
        <v>21</v>
      </c>
      <c r="I986" s="9" t="s">
        <v>102</v>
      </c>
      <c r="J986" s="9" t="str">
        <f>""</f>
        <v/>
      </c>
      <c r="K986" s="9" t="str">
        <f>"PFES1162730943_0001"</f>
        <v>PFES1162730943_0001</v>
      </c>
      <c r="L986" s="9">
        <v>1</v>
      </c>
      <c r="M986" s="9">
        <v>7</v>
      </c>
    </row>
    <row r="987" spans="1:13">
      <c r="A987" s="6">
        <v>43843</v>
      </c>
      <c r="B987" s="7">
        <v>0.65763888888888888</v>
      </c>
      <c r="C987" s="9" t="str">
        <f>"FES1162730891"</f>
        <v>FES1162730891</v>
      </c>
      <c r="D987" s="9" t="s">
        <v>19</v>
      </c>
      <c r="E987" s="9" t="s">
        <v>261</v>
      </c>
      <c r="F987" s="9" t="str">
        <f>"2170723484 "</f>
        <v xml:space="preserve">2170723484 </v>
      </c>
      <c r="G987" s="9" t="str">
        <f t="shared" si="31"/>
        <v>ON1</v>
      </c>
      <c r="H987" s="9" t="s">
        <v>21</v>
      </c>
      <c r="I987" s="9" t="s">
        <v>152</v>
      </c>
      <c r="J987" s="9" t="str">
        <f>""</f>
        <v/>
      </c>
      <c r="K987" s="9" t="str">
        <f>"PFES1162730891_0001"</f>
        <v>PFES1162730891_0001</v>
      </c>
      <c r="L987" s="9">
        <v>1</v>
      </c>
      <c r="M987" s="9">
        <v>5</v>
      </c>
    </row>
    <row r="988" spans="1:13">
      <c r="A988" s="6">
        <v>43843</v>
      </c>
      <c r="B988" s="7">
        <v>0.65694444444444444</v>
      </c>
      <c r="C988" s="9" t="str">
        <f>"FES1162730885"</f>
        <v>FES1162730885</v>
      </c>
      <c r="D988" s="9" t="s">
        <v>19</v>
      </c>
      <c r="E988" s="9" t="s">
        <v>607</v>
      </c>
      <c r="F988" s="9" t="str">
        <f>"2170723475 "</f>
        <v xml:space="preserve">2170723475 </v>
      </c>
      <c r="G988" s="9" t="str">
        <f t="shared" si="31"/>
        <v>ON1</v>
      </c>
      <c r="H988" s="9" t="s">
        <v>21</v>
      </c>
      <c r="I988" s="9" t="s">
        <v>416</v>
      </c>
      <c r="J988" s="9" t="str">
        <f>""</f>
        <v/>
      </c>
      <c r="K988" s="9" t="str">
        <f>"PFES1162730885_A001"</f>
        <v>PFES1162730885_A001</v>
      </c>
      <c r="L988" s="9">
        <v>2</v>
      </c>
      <c r="M988" s="9">
        <v>8</v>
      </c>
    </row>
    <row r="989" spans="1:13">
      <c r="A989" s="6">
        <v>43496</v>
      </c>
      <c r="B989" s="7">
        <v>0.66736111111111107</v>
      </c>
      <c r="C989" s="9" t="str">
        <f>"FES1162730885"</f>
        <v>FES1162730885</v>
      </c>
      <c r="D989" s="9" t="s">
        <v>19</v>
      </c>
      <c r="E989" s="9" t="s">
        <v>54</v>
      </c>
      <c r="F989" s="9" t="str">
        <f>"2170671927 "</f>
        <v xml:space="preserve">2170671927 </v>
      </c>
      <c r="G989" s="9" t="str">
        <f t="shared" si="31"/>
        <v>ON1</v>
      </c>
      <c r="H989" s="9" t="s">
        <v>21</v>
      </c>
      <c r="I989" s="9" t="s">
        <v>31</v>
      </c>
      <c r="J989" s="9" t="str">
        <f>""</f>
        <v/>
      </c>
      <c r="K989" s="9" t="str">
        <f>"PFES1162730885_A002"</f>
        <v>PFES1162730885_A002</v>
      </c>
      <c r="L989" s="9">
        <v>1</v>
      </c>
      <c r="M989" s="9">
        <v>1</v>
      </c>
    </row>
    <row r="990" spans="1:13">
      <c r="A990" s="6">
        <v>43843</v>
      </c>
      <c r="B990" s="7">
        <v>0.65069444444444446</v>
      </c>
      <c r="C990" s="9" t="str">
        <f>"FES1162730925"</f>
        <v>FES1162730925</v>
      </c>
      <c r="D990" s="9" t="s">
        <v>19</v>
      </c>
      <c r="E990" s="9" t="s">
        <v>142</v>
      </c>
      <c r="F990" s="9" t="str">
        <f>"2170723527 "</f>
        <v xml:space="preserve">2170723527 </v>
      </c>
      <c r="G990" s="9" t="str">
        <f t="shared" si="31"/>
        <v>ON1</v>
      </c>
      <c r="H990" s="9" t="s">
        <v>21</v>
      </c>
      <c r="I990" s="9" t="s">
        <v>123</v>
      </c>
      <c r="J990" s="9" t="str">
        <f>""</f>
        <v/>
      </c>
      <c r="K990" s="9" t="str">
        <f>"PFES1162730925_0001"</f>
        <v>PFES1162730925_0001</v>
      </c>
      <c r="L990" s="9">
        <v>1</v>
      </c>
      <c r="M990" s="9">
        <v>1</v>
      </c>
    </row>
    <row r="991" spans="1:13">
      <c r="A991" s="6">
        <v>43843</v>
      </c>
      <c r="B991" s="7">
        <v>0.65069444444444446</v>
      </c>
      <c r="C991" s="9" t="str">
        <f>"FES1162730881"</f>
        <v>FES1162730881</v>
      </c>
      <c r="D991" s="9" t="s">
        <v>19</v>
      </c>
      <c r="E991" s="9" t="s">
        <v>134</v>
      </c>
      <c r="F991" s="9" t="str">
        <f>"217072348 "</f>
        <v xml:space="preserve">217072348 </v>
      </c>
      <c r="G991" s="9" t="str">
        <f t="shared" si="31"/>
        <v>ON1</v>
      </c>
      <c r="H991" s="9" t="s">
        <v>21</v>
      </c>
      <c r="I991" s="9" t="s">
        <v>135</v>
      </c>
      <c r="J991" s="9" t="str">
        <f>""</f>
        <v/>
      </c>
      <c r="K991" s="9" t="str">
        <f>"PFES1162730881_0001"</f>
        <v>PFES1162730881_0001</v>
      </c>
      <c r="L991" s="9">
        <v>1</v>
      </c>
      <c r="M991" s="9">
        <v>1</v>
      </c>
    </row>
    <row r="992" spans="1:13">
      <c r="A992" s="6">
        <v>43843</v>
      </c>
      <c r="B992" s="7">
        <v>0.65069444444444446</v>
      </c>
      <c r="C992" s="9" t="str">
        <f>"FES1162730897"</f>
        <v>FES1162730897</v>
      </c>
      <c r="D992" s="9" t="s">
        <v>19</v>
      </c>
      <c r="E992" s="9" t="s">
        <v>261</v>
      </c>
      <c r="F992" s="9" t="str">
        <f>"2170723490 "</f>
        <v xml:space="preserve">2170723490 </v>
      </c>
      <c r="G992" s="9" t="str">
        <f t="shared" si="31"/>
        <v>ON1</v>
      </c>
      <c r="H992" s="9" t="s">
        <v>21</v>
      </c>
      <c r="I992" s="9" t="s">
        <v>152</v>
      </c>
      <c r="J992" s="9" t="str">
        <f>""</f>
        <v/>
      </c>
      <c r="K992" s="9" t="str">
        <f>"PFES1162730897_0001"</f>
        <v>PFES1162730897_0001</v>
      </c>
      <c r="L992" s="9">
        <v>1</v>
      </c>
      <c r="M992" s="9">
        <v>1</v>
      </c>
    </row>
    <row r="993" spans="1:13">
      <c r="A993" s="6">
        <v>43843</v>
      </c>
      <c r="B993" s="7">
        <v>0.64930555555555558</v>
      </c>
      <c r="C993" s="9" t="str">
        <f>"FES1162730940"</f>
        <v>FES1162730940</v>
      </c>
      <c r="D993" s="9" t="s">
        <v>19</v>
      </c>
      <c r="E993" s="9" t="s">
        <v>608</v>
      </c>
      <c r="F993" s="9" t="str">
        <f>"2170723546 "</f>
        <v xml:space="preserve">2170723546 </v>
      </c>
      <c r="G993" s="9" t="str">
        <f t="shared" si="31"/>
        <v>ON1</v>
      </c>
      <c r="H993" s="9" t="s">
        <v>21</v>
      </c>
      <c r="I993" s="9" t="s">
        <v>609</v>
      </c>
      <c r="J993" s="9" t="str">
        <f>""</f>
        <v/>
      </c>
      <c r="K993" s="9" t="str">
        <f>"PFES1162730940_0001"</f>
        <v>PFES1162730940_0001</v>
      </c>
      <c r="L993" s="9">
        <v>1</v>
      </c>
      <c r="M993" s="9">
        <v>2</v>
      </c>
    </row>
    <row r="994" spans="1:13">
      <c r="A994" s="6">
        <v>43843</v>
      </c>
      <c r="B994" s="7">
        <v>0.64861111111111114</v>
      </c>
      <c r="C994" s="9" t="str">
        <f>"FES1162730847"</f>
        <v>FES1162730847</v>
      </c>
      <c r="D994" s="9" t="s">
        <v>19</v>
      </c>
      <c r="E994" s="9" t="s">
        <v>105</v>
      </c>
      <c r="F994" s="9" t="str">
        <f>"2170723437 "</f>
        <v xml:space="preserve">2170723437 </v>
      </c>
      <c r="G994" s="9" t="str">
        <f t="shared" si="31"/>
        <v>ON1</v>
      </c>
      <c r="H994" s="9" t="s">
        <v>21</v>
      </c>
      <c r="I994" s="9" t="s">
        <v>106</v>
      </c>
      <c r="J994" s="9" t="str">
        <f>""</f>
        <v/>
      </c>
      <c r="K994" s="9" t="str">
        <f>"PFES1162730847_0001"</f>
        <v>PFES1162730847_0001</v>
      </c>
      <c r="L994" s="9">
        <v>1</v>
      </c>
      <c r="M994" s="9">
        <v>4</v>
      </c>
    </row>
    <row r="995" spans="1:13">
      <c r="A995" s="6">
        <v>43843</v>
      </c>
      <c r="B995" s="7">
        <v>0.64861111111111114</v>
      </c>
      <c r="C995" s="9" t="str">
        <f>"FES1162730901"</f>
        <v>FES1162730901</v>
      </c>
      <c r="D995" s="9" t="s">
        <v>19</v>
      </c>
      <c r="E995" s="9" t="s">
        <v>339</v>
      </c>
      <c r="F995" s="9" t="str">
        <f>"2170723494 "</f>
        <v xml:space="preserve">2170723494 </v>
      </c>
      <c r="G995" s="9" t="str">
        <f t="shared" si="31"/>
        <v>ON1</v>
      </c>
      <c r="H995" s="9" t="s">
        <v>21</v>
      </c>
      <c r="I995" s="9" t="s">
        <v>340</v>
      </c>
      <c r="J995" s="9" t="str">
        <f>""</f>
        <v/>
      </c>
      <c r="K995" s="9" t="str">
        <f>"PFES1162730901_0001"</f>
        <v>PFES1162730901_0001</v>
      </c>
      <c r="L995" s="9">
        <v>1</v>
      </c>
      <c r="M995" s="9">
        <v>1</v>
      </c>
    </row>
    <row r="996" spans="1:13">
      <c r="A996" s="6">
        <v>43843</v>
      </c>
      <c r="B996" s="7">
        <v>0.64722222222222225</v>
      </c>
      <c r="C996" s="9" t="str">
        <f>"FES1162730878"</f>
        <v>FES1162730878</v>
      </c>
      <c r="D996" s="9" t="s">
        <v>19</v>
      </c>
      <c r="E996" s="9" t="s">
        <v>566</v>
      </c>
      <c r="F996" s="9" t="str">
        <f>"2170709212 "</f>
        <v xml:space="preserve">2170709212 </v>
      </c>
      <c r="G996" s="9" t="str">
        <f t="shared" si="31"/>
        <v>ON1</v>
      </c>
      <c r="H996" s="9" t="s">
        <v>21</v>
      </c>
      <c r="I996" s="9" t="s">
        <v>249</v>
      </c>
      <c r="J996" s="9" t="str">
        <f>""</f>
        <v/>
      </c>
      <c r="K996" s="9" t="str">
        <f>"PFES1162730878_0001"</f>
        <v>PFES1162730878_0001</v>
      </c>
      <c r="L996" s="9">
        <v>1</v>
      </c>
      <c r="M996" s="9">
        <v>2</v>
      </c>
    </row>
    <row r="997" spans="1:13">
      <c r="A997" s="6">
        <v>43843</v>
      </c>
      <c r="B997" s="7">
        <v>0.64652777777777781</v>
      </c>
      <c r="C997" s="9" t="str">
        <f>"FES1162730879"</f>
        <v>FES1162730879</v>
      </c>
      <c r="D997" s="9" t="s">
        <v>19</v>
      </c>
      <c r="E997" s="9" t="s">
        <v>157</v>
      </c>
      <c r="F997" s="9" t="str">
        <f>"2170717760 "</f>
        <v xml:space="preserve">2170717760 </v>
      </c>
      <c r="G997" s="9" t="str">
        <f t="shared" si="31"/>
        <v>ON1</v>
      </c>
      <c r="H997" s="9" t="s">
        <v>21</v>
      </c>
      <c r="I997" s="9" t="s">
        <v>158</v>
      </c>
      <c r="J997" s="9" t="str">
        <f>""</f>
        <v/>
      </c>
      <c r="K997" s="9" t="str">
        <f>"PFES1162730879_0001"</f>
        <v>PFES1162730879_0001</v>
      </c>
      <c r="L997" s="9">
        <v>1</v>
      </c>
      <c r="M997" s="9">
        <v>1</v>
      </c>
    </row>
    <row r="998" spans="1:13">
      <c r="A998" s="6">
        <v>43843</v>
      </c>
      <c r="B998" s="7">
        <v>0.64652777777777781</v>
      </c>
      <c r="C998" s="9" t="str">
        <f>"FES1162730905"</f>
        <v>FES1162730905</v>
      </c>
      <c r="D998" s="9" t="s">
        <v>19</v>
      </c>
      <c r="E998" s="9" t="s">
        <v>358</v>
      </c>
      <c r="F998" s="9" t="str">
        <f>"2170723499 "</f>
        <v xml:space="preserve">2170723499 </v>
      </c>
      <c r="G998" s="9" t="str">
        <f t="shared" si="31"/>
        <v>ON1</v>
      </c>
      <c r="H998" s="9" t="s">
        <v>21</v>
      </c>
      <c r="I998" s="9" t="s">
        <v>119</v>
      </c>
      <c r="J998" s="9" t="str">
        <f>""</f>
        <v/>
      </c>
      <c r="K998" s="9" t="str">
        <f>"PFES1162730905_0001"</f>
        <v>PFES1162730905_0001</v>
      </c>
      <c r="L998" s="9">
        <v>1</v>
      </c>
      <c r="M998" s="9">
        <v>2</v>
      </c>
    </row>
    <row r="999" spans="1:13">
      <c r="A999" s="6">
        <v>43843</v>
      </c>
      <c r="B999" s="7">
        <v>0.64652777777777781</v>
      </c>
      <c r="C999" s="9" t="str">
        <f>"FES1162730946"</f>
        <v>FES1162730946</v>
      </c>
      <c r="D999" s="9" t="s">
        <v>19</v>
      </c>
      <c r="E999" s="9" t="s">
        <v>610</v>
      </c>
      <c r="F999" s="9" t="str">
        <f>"2170723553 "</f>
        <v xml:space="preserve">2170723553 </v>
      </c>
      <c r="G999" s="9" t="str">
        <f t="shared" si="31"/>
        <v>ON1</v>
      </c>
      <c r="H999" s="9" t="s">
        <v>21</v>
      </c>
      <c r="I999" s="9" t="s">
        <v>47</v>
      </c>
      <c r="J999" s="9" t="str">
        <f>""</f>
        <v/>
      </c>
      <c r="K999" s="9" t="str">
        <f>"PFES1162730946_0001"</f>
        <v>PFES1162730946_0001</v>
      </c>
      <c r="L999" s="9">
        <v>1</v>
      </c>
      <c r="M999" s="9">
        <v>1</v>
      </c>
    </row>
    <row r="1000" spans="1:13">
      <c r="A1000" s="6">
        <v>43843</v>
      </c>
      <c r="B1000" s="7">
        <v>0.64583333333333337</v>
      </c>
      <c r="C1000" s="9" t="str">
        <f>"FES1162730913"</f>
        <v>FES1162730913</v>
      </c>
      <c r="D1000" s="9" t="s">
        <v>19</v>
      </c>
      <c r="E1000" s="9" t="s">
        <v>136</v>
      </c>
      <c r="F1000" s="9" t="str">
        <f>"2170723515 "</f>
        <v xml:space="preserve">2170723515 </v>
      </c>
      <c r="G1000" s="9" t="str">
        <f t="shared" si="31"/>
        <v>ON1</v>
      </c>
      <c r="H1000" s="9" t="s">
        <v>21</v>
      </c>
      <c r="I1000" s="9" t="s">
        <v>137</v>
      </c>
      <c r="J1000" s="9" t="str">
        <f>""</f>
        <v/>
      </c>
      <c r="K1000" s="9" t="str">
        <f>"PFES1162730913_0001"</f>
        <v>PFES1162730913_0001</v>
      </c>
      <c r="L1000" s="9">
        <v>1</v>
      </c>
      <c r="M1000" s="9">
        <v>1</v>
      </c>
    </row>
    <row r="1001" spans="1:13">
      <c r="A1001" s="6">
        <v>43843</v>
      </c>
      <c r="B1001" s="7">
        <v>0.64583333333333337</v>
      </c>
      <c r="C1001" s="9" t="str">
        <f>"FES1162730927"</f>
        <v>FES1162730927</v>
      </c>
      <c r="D1001" s="9" t="s">
        <v>19</v>
      </c>
      <c r="E1001" s="9" t="s">
        <v>142</v>
      </c>
      <c r="F1001" s="9" t="str">
        <f>"2170723531 "</f>
        <v xml:space="preserve">2170723531 </v>
      </c>
      <c r="G1001" s="9" t="str">
        <f t="shared" si="31"/>
        <v>ON1</v>
      </c>
      <c r="H1001" s="9" t="s">
        <v>21</v>
      </c>
      <c r="I1001" s="9" t="s">
        <v>123</v>
      </c>
      <c r="J1001" s="9" t="str">
        <f>""</f>
        <v/>
      </c>
      <c r="K1001" s="9" t="str">
        <f>"PFES1162730927_0001"</f>
        <v>PFES1162730927_0001</v>
      </c>
      <c r="L1001" s="9">
        <v>1</v>
      </c>
      <c r="M1001" s="9">
        <v>1</v>
      </c>
    </row>
    <row r="1002" spans="1:13">
      <c r="A1002" s="6">
        <v>43843</v>
      </c>
      <c r="B1002" s="7">
        <v>0.64444444444444449</v>
      </c>
      <c r="C1002" s="9" t="str">
        <f>"FES1162730944"</f>
        <v>FES1162730944</v>
      </c>
      <c r="D1002" s="9" t="s">
        <v>19</v>
      </c>
      <c r="E1002" s="9" t="s">
        <v>37</v>
      </c>
      <c r="F1002" s="9" t="str">
        <f>"2170723551 "</f>
        <v xml:space="preserve">2170723551 </v>
      </c>
      <c r="G1002" s="9" t="str">
        <f t="shared" si="31"/>
        <v>ON1</v>
      </c>
      <c r="H1002" s="9" t="s">
        <v>21</v>
      </c>
      <c r="I1002" s="9" t="s">
        <v>38</v>
      </c>
      <c r="J1002" s="9" t="str">
        <f>""</f>
        <v/>
      </c>
      <c r="K1002" s="9" t="str">
        <f>"PFES1162730944_0001"</f>
        <v>PFES1162730944_0001</v>
      </c>
      <c r="L1002" s="9">
        <v>1</v>
      </c>
      <c r="M1002" s="9">
        <v>1</v>
      </c>
    </row>
    <row r="1003" spans="1:13">
      <c r="A1003" s="6">
        <v>43843</v>
      </c>
      <c r="B1003" s="7">
        <v>0.64444444444444449</v>
      </c>
      <c r="C1003" s="9" t="str">
        <f>"FES1162730945"</f>
        <v>FES1162730945</v>
      </c>
      <c r="D1003" s="9" t="s">
        <v>19</v>
      </c>
      <c r="E1003" s="9" t="s">
        <v>363</v>
      </c>
      <c r="F1003" s="9" t="str">
        <f>"2170723552 "</f>
        <v xml:space="preserve">2170723552 </v>
      </c>
      <c r="G1003" s="9" t="str">
        <f t="shared" si="31"/>
        <v>ON1</v>
      </c>
      <c r="H1003" s="9" t="s">
        <v>21</v>
      </c>
      <c r="I1003" s="9" t="s">
        <v>364</v>
      </c>
      <c r="J1003" s="9" t="str">
        <f>""</f>
        <v/>
      </c>
      <c r="K1003" s="9" t="str">
        <f>"PFES1162730945_0001"</f>
        <v>PFES1162730945_0001</v>
      </c>
      <c r="L1003" s="9">
        <v>1</v>
      </c>
      <c r="M1003" s="9">
        <v>1</v>
      </c>
    </row>
    <row r="1004" spans="1:13">
      <c r="A1004" s="6">
        <v>43843</v>
      </c>
      <c r="B1004" s="7">
        <v>0.64374999999999993</v>
      </c>
      <c r="C1004" s="9" t="str">
        <f>"FES1162730942"</f>
        <v>FES1162730942</v>
      </c>
      <c r="D1004" s="9" t="s">
        <v>19</v>
      </c>
      <c r="E1004" s="9" t="s">
        <v>101</v>
      </c>
      <c r="F1004" s="9" t="str">
        <f>"2170723549 "</f>
        <v xml:space="preserve">2170723549 </v>
      </c>
      <c r="G1004" s="9" t="str">
        <f t="shared" si="31"/>
        <v>ON1</v>
      </c>
      <c r="H1004" s="9" t="s">
        <v>21</v>
      </c>
      <c r="I1004" s="9" t="s">
        <v>102</v>
      </c>
      <c r="J1004" s="9" t="str">
        <f>""</f>
        <v/>
      </c>
      <c r="K1004" s="9" t="str">
        <f>"PFES1162730942_0001"</f>
        <v>PFES1162730942_0001</v>
      </c>
      <c r="L1004" s="9">
        <v>1</v>
      </c>
      <c r="M1004" s="9">
        <v>1</v>
      </c>
    </row>
    <row r="1005" spans="1:13">
      <c r="A1005" s="6">
        <v>43843</v>
      </c>
      <c r="B1005" s="7">
        <v>0.64374999999999993</v>
      </c>
      <c r="C1005" s="9" t="str">
        <f>"FES1162730910"</f>
        <v>FES1162730910</v>
      </c>
      <c r="D1005" s="9" t="s">
        <v>19</v>
      </c>
      <c r="E1005" s="9" t="s">
        <v>383</v>
      </c>
      <c r="F1005" s="9" t="str">
        <f>"2170723507 "</f>
        <v xml:space="preserve">2170723507 </v>
      </c>
      <c r="G1005" s="9" t="str">
        <f t="shared" si="31"/>
        <v>ON1</v>
      </c>
      <c r="H1005" s="9" t="s">
        <v>21</v>
      </c>
      <c r="I1005" s="9" t="s">
        <v>148</v>
      </c>
      <c r="J1005" s="9" t="str">
        <f>""</f>
        <v/>
      </c>
      <c r="K1005" s="9" t="str">
        <f>"PFES1162730910_0001"</f>
        <v>PFES1162730910_0001</v>
      </c>
      <c r="L1005" s="9">
        <v>1</v>
      </c>
      <c r="M1005" s="9">
        <v>1</v>
      </c>
    </row>
    <row r="1006" spans="1:13">
      <c r="A1006" s="6">
        <v>43843</v>
      </c>
      <c r="B1006" s="7">
        <v>0.63680555555555551</v>
      </c>
      <c r="C1006" s="9" t="str">
        <f>"FES1162730937"</f>
        <v>FES1162730937</v>
      </c>
      <c r="D1006" s="9" t="s">
        <v>19</v>
      </c>
      <c r="E1006" s="9" t="s">
        <v>611</v>
      </c>
      <c r="F1006" s="9" t="str">
        <f>"217072354 "</f>
        <v xml:space="preserve">217072354 </v>
      </c>
      <c r="G1006" s="9" t="str">
        <f t="shared" si="31"/>
        <v>ON1</v>
      </c>
      <c r="H1006" s="9" t="s">
        <v>21</v>
      </c>
      <c r="I1006" s="9" t="s">
        <v>36</v>
      </c>
      <c r="J1006" s="9" t="str">
        <f>""</f>
        <v/>
      </c>
      <c r="K1006" s="9" t="str">
        <f>"PFES1162730937_0001"</f>
        <v>PFES1162730937_0001</v>
      </c>
      <c r="L1006" s="9">
        <v>1</v>
      </c>
      <c r="M1006" s="9">
        <v>1</v>
      </c>
    </row>
    <row r="1007" spans="1:13">
      <c r="A1007" s="6">
        <v>43843</v>
      </c>
      <c r="B1007" s="7">
        <v>0.63611111111111118</v>
      </c>
      <c r="C1007" s="9" t="str">
        <f>"FES1162730790"</f>
        <v>FES1162730790</v>
      </c>
      <c r="D1007" s="9" t="s">
        <v>19</v>
      </c>
      <c r="E1007" s="9" t="s">
        <v>480</v>
      </c>
      <c r="F1007" s="9" t="str">
        <f>"2170723372 "</f>
        <v xml:space="preserve">2170723372 </v>
      </c>
      <c r="G1007" s="9" t="str">
        <f t="shared" si="31"/>
        <v>ON1</v>
      </c>
      <c r="H1007" s="9" t="s">
        <v>21</v>
      </c>
      <c r="I1007" s="9" t="s">
        <v>481</v>
      </c>
      <c r="J1007" s="9" t="str">
        <f>""</f>
        <v/>
      </c>
      <c r="K1007" s="9" t="str">
        <f>"PFES1162730790_0001"</f>
        <v>PFES1162730790_0001</v>
      </c>
      <c r="L1007" s="9">
        <v>1</v>
      </c>
      <c r="M1007" s="9">
        <v>1</v>
      </c>
    </row>
    <row r="1008" spans="1:13">
      <c r="A1008" s="6">
        <v>43843</v>
      </c>
      <c r="B1008" s="7">
        <v>0.63611111111111118</v>
      </c>
      <c r="C1008" s="9" t="str">
        <f>"FES1162730803"</f>
        <v>FES1162730803</v>
      </c>
      <c r="D1008" s="9" t="s">
        <v>19</v>
      </c>
      <c r="E1008" s="9" t="s">
        <v>105</v>
      </c>
      <c r="F1008" s="9" t="str">
        <f>"2170723392 "</f>
        <v xml:space="preserve">2170723392 </v>
      </c>
      <c r="G1008" s="9" t="str">
        <f t="shared" si="31"/>
        <v>ON1</v>
      </c>
      <c r="H1008" s="9" t="s">
        <v>21</v>
      </c>
      <c r="I1008" s="9" t="s">
        <v>106</v>
      </c>
      <c r="J1008" s="9" t="str">
        <f>""</f>
        <v/>
      </c>
      <c r="K1008" s="9" t="str">
        <f>"PFES1162730803_0001"</f>
        <v>PFES1162730803_0001</v>
      </c>
      <c r="L1008" s="9">
        <v>1</v>
      </c>
      <c r="M1008" s="9">
        <v>1</v>
      </c>
    </row>
    <row r="1009" spans="1:13">
      <c r="A1009" s="6">
        <v>43843</v>
      </c>
      <c r="B1009" s="7">
        <v>0.63402777777777775</v>
      </c>
      <c r="C1009" s="9" t="str">
        <f>"FES1162730804"</f>
        <v>FES1162730804</v>
      </c>
      <c r="D1009" s="9" t="s">
        <v>19</v>
      </c>
      <c r="E1009" s="9" t="s">
        <v>105</v>
      </c>
      <c r="F1009" s="9" t="str">
        <f>"2170723393 "</f>
        <v xml:space="preserve">2170723393 </v>
      </c>
      <c r="G1009" s="9" t="str">
        <f t="shared" si="31"/>
        <v>ON1</v>
      </c>
      <c r="H1009" s="9" t="s">
        <v>21</v>
      </c>
      <c r="I1009" s="9" t="s">
        <v>106</v>
      </c>
      <c r="J1009" s="9" t="str">
        <f>""</f>
        <v/>
      </c>
      <c r="K1009" s="9" t="str">
        <f>"PFES1162730804_0001"</f>
        <v>PFES1162730804_0001</v>
      </c>
      <c r="L1009" s="9">
        <v>1</v>
      </c>
      <c r="M1009" s="9">
        <v>5</v>
      </c>
    </row>
    <row r="1010" spans="1:13">
      <c r="A1010" s="6">
        <v>43843</v>
      </c>
      <c r="B1010" s="7">
        <v>0.6333333333333333</v>
      </c>
      <c r="C1010" s="9" t="str">
        <f>"FES1162730858"</f>
        <v>FES1162730858</v>
      </c>
      <c r="D1010" s="9" t="s">
        <v>19</v>
      </c>
      <c r="E1010" s="9" t="s">
        <v>516</v>
      </c>
      <c r="F1010" s="9" t="str">
        <f>"2170723450 "</f>
        <v xml:space="preserve">2170723450 </v>
      </c>
      <c r="G1010" s="9" t="str">
        <f t="shared" si="31"/>
        <v>ON1</v>
      </c>
      <c r="H1010" s="9" t="s">
        <v>21</v>
      </c>
      <c r="I1010" s="9" t="s">
        <v>517</v>
      </c>
      <c r="J1010" s="9" t="str">
        <f>""</f>
        <v/>
      </c>
      <c r="K1010" s="9" t="str">
        <f>"PFES1162730858_0001"</f>
        <v>PFES1162730858_0001</v>
      </c>
      <c r="L1010" s="9">
        <v>1</v>
      </c>
      <c r="M1010" s="9">
        <v>1</v>
      </c>
    </row>
    <row r="1011" spans="1:13">
      <c r="A1011" s="6">
        <v>43843</v>
      </c>
      <c r="B1011" s="7">
        <v>0.6333333333333333</v>
      </c>
      <c r="C1011" s="9" t="str">
        <f>"FES1162730938"</f>
        <v>FES1162730938</v>
      </c>
      <c r="D1011" s="9" t="s">
        <v>19</v>
      </c>
      <c r="E1011" s="9" t="s">
        <v>86</v>
      </c>
      <c r="F1011" s="9" t="str">
        <f>"2170723544 "</f>
        <v xml:space="preserve">2170723544 </v>
      </c>
      <c r="G1011" s="9" t="str">
        <f t="shared" si="31"/>
        <v>ON1</v>
      </c>
      <c r="H1011" s="9" t="s">
        <v>21</v>
      </c>
      <c r="I1011" s="9" t="s">
        <v>63</v>
      </c>
      <c r="J1011" s="9" t="str">
        <f>""</f>
        <v/>
      </c>
      <c r="K1011" s="9" t="str">
        <f>"PFES1162730938_0001"</f>
        <v>PFES1162730938_0001</v>
      </c>
      <c r="L1011" s="9">
        <v>1</v>
      </c>
      <c r="M1011" s="9">
        <v>1</v>
      </c>
    </row>
    <row r="1012" spans="1:13">
      <c r="A1012" s="6">
        <v>43843</v>
      </c>
      <c r="B1012" s="7">
        <v>0.63263888888888886</v>
      </c>
      <c r="C1012" s="9" t="str">
        <f>"FES1162730933"</f>
        <v>FES1162730933</v>
      </c>
      <c r="D1012" s="9" t="s">
        <v>19</v>
      </c>
      <c r="E1012" s="9" t="s">
        <v>120</v>
      </c>
      <c r="F1012" s="9" t="str">
        <f>"2170723539 "</f>
        <v xml:space="preserve">2170723539 </v>
      </c>
      <c r="G1012" s="9" t="str">
        <f t="shared" si="31"/>
        <v>ON1</v>
      </c>
      <c r="H1012" s="9" t="s">
        <v>21</v>
      </c>
      <c r="I1012" s="9" t="s">
        <v>121</v>
      </c>
      <c r="J1012" s="9" t="str">
        <f>""</f>
        <v/>
      </c>
      <c r="K1012" s="9" t="str">
        <f>"PFES1162730933_0001"</f>
        <v>PFES1162730933_0001</v>
      </c>
      <c r="L1012" s="9">
        <v>1</v>
      </c>
      <c r="M1012" s="9">
        <v>1</v>
      </c>
    </row>
    <row r="1013" spans="1:13">
      <c r="A1013" s="6">
        <v>43843</v>
      </c>
      <c r="B1013" s="7">
        <v>0.63263888888888886</v>
      </c>
      <c r="C1013" s="9" t="str">
        <f>"FES1162730794"</f>
        <v>FES1162730794</v>
      </c>
      <c r="D1013" s="9" t="s">
        <v>19</v>
      </c>
      <c r="E1013" s="9" t="s">
        <v>413</v>
      </c>
      <c r="F1013" s="9" t="str">
        <f>"2170723376 "</f>
        <v xml:space="preserve">2170723376 </v>
      </c>
      <c r="G1013" s="9" t="str">
        <f t="shared" si="31"/>
        <v>ON1</v>
      </c>
      <c r="H1013" s="9" t="s">
        <v>21</v>
      </c>
      <c r="I1013" s="9" t="s">
        <v>414</v>
      </c>
      <c r="J1013" s="9" t="str">
        <f>""</f>
        <v/>
      </c>
      <c r="K1013" s="9" t="str">
        <f>"PFES1162730794_0001"</f>
        <v>PFES1162730794_0001</v>
      </c>
      <c r="L1013" s="9">
        <v>1</v>
      </c>
      <c r="M1013" s="9">
        <v>1</v>
      </c>
    </row>
    <row r="1014" spans="1:13">
      <c r="A1014" s="6">
        <v>43843</v>
      </c>
      <c r="B1014" s="7">
        <v>0.63194444444444442</v>
      </c>
      <c r="C1014" s="9" t="str">
        <f>"FES1162730792"</f>
        <v>FES1162730792</v>
      </c>
      <c r="D1014" s="9" t="s">
        <v>19</v>
      </c>
      <c r="E1014" s="9" t="s">
        <v>612</v>
      </c>
      <c r="F1014" s="9" t="str">
        <f>"2170723374 "</f>
        <v xml:space="preserve">2170723374 </v>
      </c>
      <c r="G1014" s="9" t="str">
        <f t="shared" si="31"/>
        <v>ON1</v>
      </c>
      <c r="H1014" s="9" t="s">
        <v>21</v>
      </c>
      <c r="I1014" s="9" t="s">
        <v>601</v>
      </c>
      <c r="J1014" s="9" t="str">
        <f>""</f>
        <v/>
      </c>
      <c r="K1014" s="9" t="str">
        <f>"PFES1162730792_0001"</f>
        <v>PFES1162730792_0001</v>
      </c>
      <c r="L1014" s="9">
        <v>1</v>
      </c>
      <c r="M1014" s="9">
        <v>1</v>
      </c>
    </row>
    <row r="1015" spans="1:13">
      <c r="A1015" s="6">
        <v>43843</v>
      </c>
      <c r="B1015" s="7">
        <v>0.62916666666666665</v>
      </c>
      <c r="C1015" s="9" t="str">
        <f>"FES1162730904"</f>
        <v>FES1162730904</v>
      </c>
      <c r="D1015" s="9" t="s">
        <v>19</v>
      </c>
      <c r="E1015" s="9" t="s">
        <v>597</v>
      </c>
      <c r="F1015" s="9" t="str">
        <f>"2170723497 "</f>
        <v xml:space="preserve">2170723497 </v>
      </c>
      <c r="G1015" s="9" t="str">
        <f t="shared" si="31"/>
        <v>ON1</v>
      </c>
      <c r="H1015" s="9" t="s">
        <v>21</v>
      </c>
      <c r="I1015" s="9" t="s">
        <v>119</v>
      </c>
      <c r="J1015" s="9" t="str">
        <f>""</f>
        <v/>
      </c>
      <c r="K1015" s="9" t="str">
        <f>"PFES1162730904_0001"</f>
        <v>PFES1162730904_0001</v>
      </c>
      <c r="L1015" s="9">
        <v>1</v>
      </c>
      <c r="M1015" s="9">
        <v>1</v>
      </c>
    </row>
    <row r="1016" spans="1:13">
      <c r="A1016" s="6">
        <v>43843</v>
      </c>
      <c r="B1016" s="7">
        <v>0.62847222222222221</v>
      </c>
      <c r="C1016" s="9" t="str">
        <f>"FES1162730846"</f>
        <v>FES1162730846</v>
      </c>
      <c r="D1016" s="9" t="s">
        <v>19</v>
      </c>
      <c r="E1016" s="9" t="s">
        <v>613</v>
      </c>
      <c r="F1016" s="9" t="str">
        <f>"2170723436 "</f>
        <v xml:space="preserve">2170723436 </v>
      </c>
      <c r="G1016" s="9" t="str">
        <f t="shared" si="31"/>
        <v>ON1</v>
      </c>
      <c r="H1016" s="9" t="s">
        <v>21</v>
      </c>
      <c r="I1016" s="9" t="s">
        <v>614</v>
      </c>
      <c r="J1016" s="9" t="str">
        <f>""</f>
        <v/>
      </c>
      <c r="K1016" s="9" t="str">
        <f>"PFES1162730846_0001"</f>
        <v>PFES1162730846_0001</v>
      </c>
      <c r="L1016" s="9">
        <v>1</v>
      </c>
      <c r="M1016" s="9">
        <v>6</v>
      </c>
    </row>
    <row r="1017" spans="1:13">
      <c r="A1017" s="6">
        <v>43843</v>
      </c>
      <c r="B1017" s="7">
        <v>0.62847222222222221</v>
      </c>
      <c r="C1017" s="9" t="str">
        <f>"FES1162730785"</f>
        <v>FES1162730785</v>
      </c>
      <c r="D1017" s="9" t="s">
        <v>19</v>
      </c>
      <c r="E1017" s="9" t="s">
        <v>378</v>
      </c>
      <c r="F1017" s="9" t="str">
        <f>"2170723364 "</f>
        <v xml:space="preserve">2170723364 </v>
      </c>
      <c r="G1017" s="9" t="str">
        <f t="shared" si="31"/>
        <v>ON1</v>
      </c>
      <c r="H1017" s="9" t="s">
        <v>21</v>
      </c>
      <c r="I1017" s="9" t="s">
        <v>379</v>
      </c>
      <c r="J1017" s="9" t="str">
        <f>""</f>
        <v/>
      </c>
      <c r="K1017" s="9" t="str">
        <f>"PFES1162730785_0001"</f>
        <v>PFES1162730785_0001</v>
      </c>
      <c r="L1017" s="9">
        <v>1</v>
      </c>
      <c r="M1017" s="9">
        <v>1</v>
      </c>
    </row>
    <row r="1018" spans="1:13">
      <c r="A1018" s="6">
        <v>43843</v>
      </c>
      <c r="B1018" s="7">
        <v>0.62777777777777777</v>
      </c>
      <c r="C1018" s="9" t="str">
        <f>"FES1162730824"</f>
        <v>FES1162730824</v>
      </c>
      <c r="D1018" s="9" t="s">
        <v>19</v>
      </c>
      <c r="E1018" s="9" t="s">
        <v>293</v>
      </c>
      <c r="F1018" s="9" t="str">
        <f>"2170723418 "</f>
        <v xml:space="preserve">2170723418 </v>
      </c>
      <c r="G1018" s="9" t="str">
        <f t="shared" si="31"/>
        <v>ON1</v>
      </c>
      <c r="H1018" s="9" t="s">
        <v>21</v>
      </c>
      <c r="I1018" s="9" t="s">
        <v>294</v>
      </c>
      <c r="J1018" s="9" t="str">
        <f>""</f>
        <v/>
      </c>
      <c r="K1018" s="9" t="str">
        <f>"PFES1162730824_0001"</f>
        <v>PFES1162730824_0001</v>
      </c>
      <c r="L1018" s="9">
        <v>1</v>
      </c>
      <c r="M1018" s="9">
        <v>17</v>
      </c>
    </row>
    <row r="1019" spans="1:13">
      <c r="A1019" s="6">
        <v>43843</v>
      </c>
      <c r="B1019" s="7">
        <v>0.62777777777777777</v>
      </c>
      <c r="C1019" s="9" t="str">
        <f>"FES1162730894"</f>
        <v>FES1162730894</v>
      </c>
      <c r="D1019" s="9" t="s">
        <v>19</v>
      </c>
      <c r="E1019" s="9" t="s">
        <v>359</v>
      </c>
      <c r="F1019" s="9" t="str">
        <f>"2170723487 "</f>
        <v xml:space="preserve">2170723487 </v>
      </c>
      <c r="G1019" s="9" t="str">
        <f t="shared" si="31"/>
        <v>ON1</v>
      </c>
      <c r="H1019" s="9" t="s">
        <v>21</v>
      </c>
      <c r="I1019" s="9" t="s">
        <v>165</v>
      </c>
      <c r="J1019" s="9" t="str">
        <f>""</f>
        <v/>
      </c>
      <c r="K1019" s="9" t="str">
        <f>"PFES1162730894_0001"</f>
        <v>PFES1162730894_0001</v>
      </c>
      <c r="L1019" s="9">
        <v>1</v>
      </c>
      <c r="M1019" s="9">
        <v>1</v>
      </c>
    </row>
    <row r="1020" spans="1:13">
      <c r="A1020" s="6">
        <v>43843</v>
      </c>
      <c r="B1020" s="7">
        <v>0.62708333333333333</v>
      </c>
      <c r="C1020" s="9" t="str">
        <f>"FES1162730805"</f>
        <v>FES1162730805</v>
      </c>
      <c r="D1020" s="9" t="s">
        <v>19</v>
      </c>
      <c r="E1020" s="9" t="s">
        <v>615</v>
      </c>
      <c r="F1020" s="9" t="str">
        <f>"2170723395 "</f>
        <v xml:space="preserve">2170723395 </v>
      </c>
      <c r="G1020" s="9" t="str">
        <f t="shared" si="31"/>
        <v>ON1</v>
      </c>
      <c r="H1020" s="9" t="s">
        <v>21</v>
      </c>
      <c r="I1020" s="9" t="s">
        <v>416</v>
      </c>
      <c r="J1020" s="9" t="str">
        <f>""</f>
        <v/>
      </c>
      <c r="K1020" s="9" t="str">
        <f>"PFES1162730805_0001"</f>
        <v>PFES1162730805_0001</v>
      </c>
      <c r="L1020" s="9">
        <v>1</v>
      </c>
      <c r="M1020" s="9">
        <v>1</v>
      </c>
    </row>
    <row r="1021" spans="1:13">
      <c r="A1021" s="6">
        <v>43843</v>
      </c>
      <c r="B1021" s="7">
        <v>0.62708333333333333</v>
      </c>
      <c r="C1021" s="9" t="str">
        <f>"FES1162730889"</f>
        <v>FES1162730889</v>
      </c>
      <c r="D1021" s="9" t="s">
        <v>19</v>
      </c>
      <c r="E1021" s="9" t="s">
        <v>349</v>
      </c>
      <c r="F1021" s="9" t="str">
        <f>"2170723482 "</f>
        <v xml:space="preserve">2170723482 </v>
      </c>
      <c r="G1021" s="9" t="str">
        <f t="shared" si="31"/>
        <v>ON1</v>
      </c>
      <c r="H1021" s="9" t="s">
        <v>21</v>
      </c>
      <c r="I1021" s="9" t="s">
        <v>85</v>
      </c>
      <c r="J1021" s="9" t="str">
        <f>""</f>
        <v/>
      </c>
      <c r="K1021" s="9" t="str">
        <f>"PFES1162730889_0001"</f>
        <v>PFES1162730889_0001</v>
      </c>
      <c r="L1021" s="9">
        <v>1</v>
      </c>
      <c r="M1021" s="9">
        <v>1</v>
      </c>
    </row>
    <row r="1022" spans="1:13">
      <c r="A1022" s="6">
        <v>43843</v>
      </c>
      <c r="B1022" s="7">
        <v>0.62638888888888888</v>
      </c>
      <c r="C1022" s="9" t="str">
        <f>"FES1162730829"</f>
        <v>FES1162730829</v>
      </c>
      <c r="D1022" s="9" t="s">
        <v>19</v>
      </c>
      <c r="E1022" s="9" t="s">
        <v>321</v>
      </c>
      <c r="F1022" s="9" t="str">
        <f>"2170723424 "</f>
        <v xml:space="preserve">2170723424 </v>
      </c>
      <c r="G1022" s="9" t="str">
        <f t="shared" si="31"/>
        <v>ON1</v>
      </c>
      <c r="H1022" s="9" t="s">
        <v>21</v>
      </c>
      <c r="I1022" s="9" t="s">
        <v>127</v>
      </c>
      <c r="J1022" s="9" t="str">
        <f>""</f>
        <v/>
      </c>
      <c r="K1022" s="9" t="str">
        <f>"PFES1162730829_0001"</f>
        <v>PFES1162730829_0001</v>
      </c>
      <c r="L1022" s="9">
        <v>1</v>
      </c>
      <c r="M1022" s="9">
        <v>1</v>
      </c>
    </row>
    <row r="1023" spans="1:13">
      <c r="A1023" s="6">
        <v>43843</v>
      </c>
      <c r="B1023" s="7">
        <v>0.62569444444444444</v>
      </c>
      <c r="C1023" s="9" t="str">
        <f>"FES1162730856"</f>
        <v>FES1162730856</v>
      </c>
      <c r="D1023" s="9" t="s">
        <v>19</v>
      </c>
      <c r="E1023" s="9" t="s">
        <v>101</v>
      </c>
      <c r="F1023" s="9" t="str">
        <f>"2170723446 "</f>
        <v xml:space="preserve">2170723446 </v>
      </c>
      <c r="G1023" s="9" t="str">
        <f t="shared" si="31"/>
        <v>ON1</v>
      </c>
      <c r="H1023" s="9" t="s">
        <v>21</v>
      </c>
      <c r="I1023" s="9" t="s">
        <v>102</v>
      </c>
      <c r="J1023" s="9" t="str">
        <f>""</f>
        <v/>
      </c>
      <c r="K1023" s="9" t="str">
        <f>"PFES1162730856_0001"</f>
        <v>PFES1162730856_0001</v>
      </c>
      <c r="L1023" s="9">
        <v>1</v>
      </c>
      <c r="M1023" s="9">
        <v>1</v>
      </c>
    </row>
    <row r="1024" spans="1:13">
      <c r="A1024" s="6">
        <v>43843</v>
      </c>
      <c r="B1024" s="7">
        <v>0.62569444444444444</v>
      </c>
      <c r="C1024" s="9" t="str">
        <f>"FES1162730840"</f>
        <v>FES1162730840</v>
      </c>
      <c r="D1024" s="9" t="s">
        <v>19</v>
      </c>
      <c r="E1024" s="9" t="s">
        <v>411</v>
      </c>
      <c r="F1024" s="9" t="str">
        <f>"2170721943 "</f>
        <v xml:space="preserve">2170721943 </v>
      </c>
      <c r="G1024" s="9" t="str">
        <f t="shared" si="31"/>
        <v>ON1</v>
      </c>
      <c r="H1024" s="9" t="s">
        <v>21</v>
      </c>
      <c r="I1024" s="9" t="s">
        <v>412</v>
      </c>
      <c r="J1024" s="9" t="str">
        <f>""</f>
        <v/>
      </c>
      <c r="K1024" s="9" t="str">
        <f>"PFES1162730840_0001"</f>
        <v>PFES1162730840_0001</v>
      </c>
      <c r="L1024" s="9">
        <v>1</v>
      </c>
      <c r="M1024" s="9">
        <v>1</v>
      </c>
    </row>
    <row r="1025" spans="1:13">
      <c r="A1025" s="6">
        <v>43843</v>
      </c>
      <c r="B1025" s="7">
        <v>0.625</v>
      </c>
      <c r="C1025" s="9" t="str">
        <f>"FES1162730854"</f>
        <v>FES1162730854</v>
      </c>
      <c r="D1025" s="9" t="s">
        <v>19</v>
      </c>
      <c r="E1025" s="9" t="s">
        <v>101</v>
      </c>
      <c r="F1025" s="9" t="str">
        <f>"2170723444 "</f>
        <v xml:space="preserve">2170723444 </v>
      </c>
      <c r="G1025" s="9" t="str">
        <f t="shared" si="31"/>
        <v>ON1</v>
      </c>
      <c r="H1025" s="9" t="s">
        <v>21</v>
      </c>
      <c r="I1025" s="9" t="s">
        <v>102</v>
      </c>
      <c r="J1025" s="9" t="str">
        <f>""</f>
        <v/>
      </c>
      <c r="K1025" s="9" t="str">
        <f>"PFES1162730854_0001"</f>
        <v>PFES1162730854_0001</v>
      </c>
      <c r="L1025" s="9">
        <v>1</v>
      </c>
      <c r="M1025" s="9">
        <v>1</v>
      </c>
    </row>
    <row r="1026" spans="1:13">
      <c r="A1026" s="6">
        <v>43843</v>
      </c>
      <c r="B1026" s="7">
        <v>0.62430555555555556</v>
      </c>
      <c r="C1026" s="9" t="str">
        <f>"FES1162730874"</f>
        <v>FES1162730874</v>
      </c>
      <c r="D1026" s="9" t="s">
        <v>19</v>
      </c>
      <c r="E1026" s="9" t="s">
        <v>616</v>
      </c>
      <c r="F1026" s="9" t="str">
        <f>"2170723463 "</f>
        <v xml:space="preserve">2170723463 </v>
      </c>
      <c r="G1026" s="9" t="str">
        <f t="shared" si="31"/>
        <v>ON1</v>
      </c>
      <c r="H1026" s="9" t="s">
        <v>21</v>
      </c>
      <c r="I1026" s="9" t="s">
        <v>617</v>
      </c>
      <c r="J1026" s="9" t="str">
        <f>""</f>
        <v/>
      </c>
      <c r="K1026" s="9" t="str">
        <f>"PFES1162730874_0001"</f>
        <v>PFES1162730874_0001</v>
      </c>
      <c r="L1026" s="9">
        <v>1</v>
      </c>
      <c r="M1026" s="9">
        <v>1</v>
      </c>
    </row>
    <row r="1027" spans="1:13">
      <c r="A1027" s="6">
        <v>43843</v>
      </c>
      <c r="B1027" s="7">
        <v>0.62430555555555556</v>
      </c>
      <c r="C1027" s="9" t="str">
        <f>"FES1162730851"</f>
        <v>FES1162730851</v>
      </c>
      <c r="D1027" s="9" t="s">
        <v>19</v>
      </c>
      <c r="E1027" s="9" t="s">
        <v>618</v>
      </c>
      <c r="F1027" s="9" t="str">
        <f>"2170723441 "</f>
        <v xml:space="preserve">2170723441 </v>
      </c>
      <c r="G1027" s="9" t="str">
        <f t="shared" si="31"/>
        <v>ON1</v>
      </c>
      <c r="H1027" s="9" t="s">
        <v>21</v>
      </c>
      <c r="I1027" s="9" t="s">
        <v>247</v>
      </c>
      <c r="J1027" s="9" t="str">
        <f>""</f>
        <v/>
      </c>
      <c r="K1027" s="9" t="str">
        <f>"PFES1162730851_0001"</f>
        <v>PFES1162730851_0001</v>
      </c>
      <c r="L1027" s="9">
        <v>1</v>
      </c>
      <c r="M1027" s="9">
        <v>1</v>
      </c>
    </row>
    <row r="1028" spans="1:13">
      <c r="A1028" s="6">
        <v>43843</v>
      </c>
      <c r="B1028" s="7">
        <v>0.62361111111111112</v>
      </c>
      <c r="C1028" s="9" t="str">
        <f>"FES1162730841"</f>
        <v>FES1162730841</v>
      </c>
      <c r="D1028" s="9" t="s">
        <v>19</v>
      </c>
      <c r="E1028" s="9" t="s">
        <v>75</v>
      </c>
      <c r="F1028" s="9" t="str">
        <f>"2170722529 "</f>
        <v xml:space="preserve">2170722529 </v>
      </c>
      <c r="G1028" s="9" t="str">
        <f t="shared" si="31"/>
        <v>ON1</v>
      </c>
      <c r="H1028" s="9" t="s">
        <v>21</v>
      </c>
      <c r="I1028" s="9" t="s">
        <v>76</v>
      </c>
      <c r="J1028" s="9" t="str">
        <f>""</f>
        <v/>
      </c>
      <c r="K1028" s="9" t="str">
        <f>"PFES1162730841_0001"</f>
        <v>PFES1162730841_0001</v>
      </c>
      <c r="L1028" s="9">
        <v>1</v>
      </c>
      <c r="M1028" s="9">
        <v>1</v>
      </c>
    </row>
    <row r="1029" spans="1:13">
      <c r="A1029" s="6">
        <v>43843</v>
      </c>
      <c r="B1029" s="7">
        <v>0.6118055555555556</v>
      </c>
      <c r="C1029" s="9" t="str">
        <f>"FES1162730798"</f>
        <v>FES1162730798</v>
      </c>
      <c r="D1029" s="9" t="s">
        <v>19</v>
      </c>
      <c r="E1029" s="9" t="s">
        <v>619</v>
      </c>
      <c r="F1029" s="9" t="str">
        <f>"2170723382 "</f>
        <v xml:space="preserve">2170723382 </v>
      </c>
      <c r="G1029" s="9" t="str">
        <f t="shared" si="31"/>
        <v>ON1</v>
      </c>
      <c r="H1029" s="9" t="s">
        <v>21</v>
      </c>
      <c r="I1029" s="9" t="s">
        <v>135</v>
      </c>
      <c r="J1029" s="9" t="str">
        <f>""</f>
        <v/>
      </c>
      <c r="K1029" s="9" t="str">
        <f>"PFES1162730798_0001"</f>
        <v>PFES1162730798_0001</v>
      </c>
      <c r="L1029" s="9">
        <v>1</v>
      </c>
      <c r="M1029" s="9">
        <v>6</v>
      </c>
    </row>
    <row r="1030" spans="1:13">
      <c r="A1030" s="6">
        <v>43843</v>
      </c>
      <c r="B1030" s="7">
        <v>0.61111111111111105</v>
      </c>
      <c r="C1030" s="9" t="str">
        <f>"FES1162730845"</f>
        <v>FES1162730845</v>
      </c>
      <c r="D1030" s="9" t="s">
        <v>19</v>
      </c>
      <c r="E1030" s="9" t="s">
        <v>293</v>
      </c>
      <c r="F1030" s="9" t="str">
        <f>"2170723418 "</f>
        <v xml:space="preserve">2170723418 </v>
      </c>
      <c r="G1030" s="9" t="str">
        <f t="shared" si="31"/>
        <v>ON1</v>
      </c>
      <c r="H1030" s="9" t="s">
        <v>21</v>
      </c>
      <c r="I1030" s="9" t="s">
        <v>294</v>
      </c>
      <c r="J1030" s="9" t="str">
        <f>""</f>
        <v/>
      </c>
      <c r="K1030" s="9" t="str">
        <f>"PFES1162730845_0001"</f>
        <v>PFES1162730845_0001</v>
      </c>
      <c r="L1030" s="9">
        <v>1</v>
      </c>
      <c r="M1030" s="9">
        <v>9</v>
      </c>
    </row>
    <row r="1031" spans="1:13">
      <c r="A1031" s="6">
        <v>43843</v>
      </c>
      <c r="B1031" s="7">
        <v>0.61041666666666672</v>
      </c>
      <c r="C1031" s="9" t="str">
        <f>"FES1162730819"</f>
        <v>FES1162730819</v>
      </c>
      <c r="D1031" s="9" t="s">
        <v>19</v>
      </c>
      <c r="E1031" s="9" t="s">
        <v>293</v>
      </c>
      <c r="F1031" s="9" t="str">
        <f>"2170723410 "</f>
        <v xml:space="preserve">2170723410 </v>
      </c>
      <c r="G1031" s="9" t="str">
        <f t="shared" ref="G1031:G1094" si="32">"ON1"</f>
        <v>ON1</v>
      </c>
      <c r="H1031" s="9" t="s">
        <v>21</v>
      </c>
      <c r="I1031" s="9" t="s">
        <v>294</v>
      </c>
      <c r="J1031" s="9" t="str">
        <f>""</f>
        <v/>
      </c>
      <c r="K1031" s="9" t="str">
        <f>"PFES1162730819_0001"</f>
        <v>PFES1162730819_0001</v>
      </c>
      <c r="L1031" s="9">
        <v>1</v>
      </c>
      <c r="M1031" s="9">
        <v>4</v>
      </c>
    </row>
    <row r="1032" spans="1:13">
      <c r="A1032" s="6">
        <v>43843</v>
      </c>
      <c r="B1032" s="7">
        <v>0.60972222222222217</v>
      </c>
      <c r="C1032" s="9" t="str">
        <f>"FES1162730887"</f>
        <v>FES1162730887</v>
      </c>
      <c r="D1032" s="9" t="s">
        <v>19</v>
      </c>
      <c r="E1032" s="9" t="s">
        <v>620</v>
      </c>
      <c r="F1032" s="9" t="str">
        <f>"2170723477 "</f>
        <v xml:space="preserve">2170723477 </v>
      </c>
      <c r="G1032" s="9" t="str">
        <f t="shared" si="32"/>
        <v>ON1</v>
      </c>
      <c r="H1032" s="9" t="s">
        <v>21</v>
      </c>
      <c r="I1032" s="9" t="s">
        <v>277</v>
      </c>
      <c r="J1032" s="9" t="str">
        <f>""</f>
        <v/>
      </c>
      <c r="K1032" s="9" t="str">
        <f>"PFES1162730887_0001"</f>
        <v>PFES1162730887_0001</v>
      </c>
      <c r="L1032" s="9">
        <v>1</v>
      </c>
      <c r="M1032" s="9">
        <v>1</v>
      </c>
    </row>
    <row r="1033" spans="1:13">
      <c r="A1033" s="6">
        <v>43843</v>
      </c>
      <c r="B1033" s="7">
        <v>0.60833333333333328</v>
      </c>
      <c r="C1033" s="9" t="str">
        <f>"FES1162730876"</f>
        <v>FES1162730876</v>
      </c>
      <c r="D1033" s="9" t="s">
        <v>19</v>
      </c>
      <c r="E1033" s="9" t="s">
        <v>387</v>
      </c>
      <c r="F1033" s="9" t="str">
        <f>"2170723465 "</f>
        <v xml:space="preserve">2170723465 </v>
      </c>
      <c r="G1033" s="9" t="str">
        <f t="shared" si="32"/>
        <v>ON1</v>
      </c>
      <c r="H1033" s="9" t="s">
        <v>21</v>
      </c>
      <c r="I1033" s="9" t="s">
        <v>202</v>
      </c>
      <c r="J1033" s="9" t="str">
        <f>""</f>
        <v/>
      </c>
      <c r="K1033" s="9" t="str">
        <f>"PFES1162730876_0001"</f>
        <v>PFES1162730876_0001</v>
      </c>
      <c r="L1033" s="9">
        <v>1</v>
      </c>
      <c r="M1033" s="9">
        <v>1</v>
      </c>
    </row>
    <row r="1034" spans="1:13">
      <c r="A1034" s="6">
        <v>43843</v>
      </c>
      <c r="B1034" s="7">
        <v>0.60763888888888895</v>
      </c>
      <c r="C1034" s="9" t="str">
        <f>"FES1162730814"</f>
        <v>FES1162730814</v>
      </c>
      <c r="D1034" s="9" t="s">
        <v>19</v>
      </c>
      <c r="E1034" s="9" t="s">
        <v>367</v>
      </c>
      <c r="F1034" s="9" t="str">
        <f>"2170723378 "</f>
        <v xml:space="preserve">2170723378 </v>
      </c>
      <c r="G1034" s="9" t="str">
        <f t="shared" si="32"/>
        <v>ON1</v>
      </c>
      <c r="H1034" s="9" t="s">
        <v>21</v>
      </c>
      <c r="I1034" s="9" t="s">
        <v>368</v>
      </c>
      <c r="J1034" s="9" t="str">
        <f>""</f>
        <v/>
      </c>
      <c r="K1034" s="9" t="str">
        <f>"PFES1162730814_0001"</f>
        <v>PFES1162730814_0001</v>
      </c>
      <c r="L1034" s="9">
        <v>1</v>
      </c>
      <c r="M1034" s="9">
        <v>1</v>
      </c>
    </row>
    <row r="1035" spans="1:13">
      <c r="A1035" s="6">
        <v>43843</v>
      </c>
      <c r="B1035" s="7">
        <v>0.6069444444444444</v>
      </c>
      <c r="C1035" s="9" t="str">
        <f>"FES1162730864"</f>
        <v>FES1162730864</v>
      </c>
      <c r="D1035" s="9" t="s">
        <v>19</v>
      </c>
      <c r="E1035" s="9" t="s">
        <v>587</v>
      </c>
      <c r="F1035" s="9" t="str">
        <f>"2170723456 "</f>
        <v xml:space="preserve">2170723456 </v>
      </c>
      <c r="G1035" s="9" t="str">
        <f t="shared" si="32"/>
        <v>ON1</v>
      </c>
      <c r="H1035" s="9" t="s">
        <v>21</v>
      </c>
      <c r="I1035" s="9" t="s">
        <v>277</v>
      </c>
      <c r="J1035" s="9" t="str">
        <f>""</f>
        <v/>
      </c>
      <c r="K1035" s="9" t="str">
        <f>"PFES1162730864_0001"</f>
        <v>PFES1162730864_0001</v>
      </c>
      <c r="L1035" s="9">
        <v>1</v>
      </c>
      <c r="M1035" s="9">
        <v>1</v>
      </c>
    </row>
    <row r="1036" spans="1:13">
      <c r="A1036" s="6">
        <v>43843</v>
      </c>
      <c r="B1036" s="7">
        <v>0.60625000000000007</v>
      </c>
      <c r="C1036" s="9" t="str">
        <f>"FES1162730777"</f>
        <v>FES1162730777</v>
      </c>
      <c r="D1036" s="9" t="s">
        <v>19</v>
      </c>
      <c r="E1036" s="9" t="s">
        <v>101</v>
      </c>
      <c r="F1036" s="9" t="str">
        <f>"2170722242 "</f>
        <v xml:space="preserve">2170722242 </v>
      </c>
      <c r="G1036" s="9" t="str">
        <f t="shared" si="32"/>
        <v>ON1</v>
      </c>
      <c r="H1036" s="9" t="s">
        <v>21</v>
      </c>
      <c r="I1036" s="9" t="s">
        <v>102</v>
      </c>
      <c r="J1036" s="9" t="str">
        <f>""</f>
        <v/>
      </c>
      <c r="K1036" s="9" t="str">
        <f>"PFES1162730777_0001"</f>
        <v>PFES1162730777_0001</v>
      </c>
      <c r="L1036" s="9">
        <v>1</v>
      </c>
      <c r="M1036" s="9">
        <v>1</v>
      </c>
    </row>
    <row r="1037" spans="1:13">
      <c r="A1037" s="6">
        <v>43843</v>
      </c>
      <c r="B1037" s="7">
        <v>0.60555555555555551</v>
      </c>
      <c r="C1037" s="9" t="str">
        <f>"FES1162730797"</f>
        <v>FES1162730797</v>
      </c>
      <c r="D1037" s="9" t="s">
        <v>19</v>
      </c>
      <c r="E1037" s="9" t="s">
        <v>140</v>
      </c>
      <c r="F1037" s="9" t="str">
        <f>"2170723381 "</f>
        <v xml:space="preserve">2170723381 </v>
      </c>
      <c r="G1037" s="9" t="str">
        <f t="shared" si="32"/>
        <v>ON1</v>
      </c>
      <c r="H1037" s="9" t="s">
        <v>21</v>
      </c>
      <c r="I1037" s="9" t="s">
        <v>78</v>
      </c>
      <c r="J1037" s="9" t="str">
        <f>""</f>
        <v/>
      </c>
      <c r="K1037" s="9" t="str">
        <f>"PFES1162730797_0001"</f>
        <v>PFES1162730797_0001</v>
      </c>
      <c r="L1037" s="9">
        <v>1</v>
      </c>
      <c r="M1037" s="9">
        <v>1</v>
      </c>
    </row>
    <row r="1038" spans="1:13">
      <c r="A1038" s="6">
        <v>43843</v>
      </c>
      <c r="B1038" s="7">
        <v>0.60555555555555551</v>
      </c>
      <c r="C1038" s="9" t="str">
        <f>"FES1162730810"</f>
        <v>FES1162730810</v>
      </c>
      <c r="D1038" s="9" t="s">
        <v>19</v>
      </c>
      <c r="E1038" s="9" t="s">
        <v>621</v>
      </c>
      <c r="F1038" s="9" t="str">
        <f>"2170723401 "</f>
        <v xml:space="preserve">2170723401 </v>
      </c>
      <c r="G1038" s="9" t="str">
        <f t="shared" si="32"/>
        <v>ON1</v>
      </c>
      <c r="H1038" s="9" t="s">
        <v>21</v>
      </c>
      <c r="I1038" s="9" t="s">
        <v>622</v>
      </c>
      <c r="J1038" s="9" t="str">
        <f>""</f>
        <v/>
      </c>
      <c r="K1038" s="9" t="str">
        <f>"PFES1162730810_0001"</f>
        <v>PFES1162730810_0001</v>
      </c>
      <c r="L1038" s="9">
        <v>1</v>
      </c>
      <c r="M1038" s="9">
        <v>1</v>
      </c>
    </row>
    <row r="1039" spans="1:13">
      <c r="A1039" s="6">
        <v>43843</v>
      </c>
      <c r="B1039" s="7">
        <v>0.60416666666666663</v>
      </c>
      <c r="C1039" s="9" t="str">
        <f>"FES1162730781"</f>
        <v>FES1162730781</v>
      </c>
      <c r="D1039" s="9" t="s">
        <v>19</v>
      </c>
      <c r="E1039" s="9" t="s">
        <v>623</v>
      </c>
      <c r="F1039" s="9" t="str">
        <f>"2170722458 "</f>
        <v xml:space="preserve">2170722458 </v>
      </c>
      <c r="G1039" s="9" t="str">
        <f t="shared" si="32"/>
        <v>ON1</v>
      </c>
      <c r="H1039" s="9" t="s">
        <v>21</v>
      </c>
      <c r="I1039" s="9" t="s">
        <v>96</v>
      </c>
      <c r="J1039" s="9" t="str">
        <f>""</f>
        <v/>
      </c>
      <c r="K1039" s="9" t="str">
        <f>"PFES1162730781_0001"</f>
        <v>PFES1162730781_0001</v>
      </c>
      <c r="L1039" s="9">
        <v>1</v>
      </c>
      <c r="M1039" s="9">
        <v>1</v>
      </c>
    </row>
    <row r="1040" spans="1:13">
      <c r="A1040" s="6">
        <v>43843</v>
      </c>
      <c r="B1040" s="7">
        <v>0.60347222222222219</v>
      </c>
      <c r="C1040" s="9" t="str">
        <f>"FES1162730918"</f>
        <v>FES1162730918</v>
      </c>
      <c r="D1040" s="9" t="s">
        <v>19</v>
      </c>
      <c r="E1040" s="9" t="s">
        <v>120</v>
      </c>
      <c r="F1040" s="9" t="str">
        <f>"2170723522 "</f>
        <v xml:space="preserve">2170723522 </v>
      </c>
      <c r="G1040" s="9" t="str">
        <f t="shared" si="32"/>
        <v>ON1</v>
      </c>
      <c r="H1040" s="9" t="s">
        <v>21</v>
      </c>
      <c r="I1040" s="9" t="s">
        <v>121</v>
      </c>
      <c r="J1040" s="9" t="str">
        <f>""</f>
        <v/>
      </c>
      <c r="K1040" s="9" t="str">
        <f>"PFES1162730918_0001"</f>
        <v>PFES1162730918_0001</v>
      </c>
      <c r="L1040" s="9">
        <v>1</v>
      </c>
      <c r="M1040" s="9">
        <v>1</v>
      </c>
    </row>
    <row r="1041" spans="1:13">
      <c r="A1041" s="6">
        <v>43843</v>
      </c>
      <c r="B1041" s="7">
        <v>0.59513888888888888</v>
      </c>
      <c r="C1041" s="9" t="str">
        <f>"FES1162730828"</f>
        <v>FES1162730828</v>
      </c>
      <c r="D1041" s="9" t="s">
        <v>19</v>
      </c>
      <c r="E1041" s="9" t="s">
        <v>287</v>
      </c>
      <c r="F1041" s="9" t="str">
        <f>"2170723423 "</f>
        <v xml:space="preserve">2170723423 </v>
      </c>
      <c r="G1041" s="9" t="str">
        <f t="shared" si="32"/>
        <v>ON1</v>
      </c>
      <c r="H1041" s="9" t="s">
        <v>21</v>
      </c>
      <c r="I1041" s="9" t="s">
        <v>288</v>
      </c>
      <c r="J1041" s="9" t="str">
        <f>""</f>
        <v/>
      </c>
      <c r="K1041" s="9" t="str">
        <f>"PFES1162730828_0001"</f>
        <v>PFES1162730828_0001</v>
      </c>
      <c r="L1041" s="9">
        <v>1</v>
      </c>
      <c r="M1041" s="9">
        <v>6</v>
      </c>
    </row>
    <row r="1042" spans="1:13">
      <c r="A1042" s="6">
        <v>43843</v>
      </c>
      <c r="B1042" s="7">
        <v>0.59444444444444444</v>
      </c>
      <c r="C1042" s="9" t="str">
        <f>"FES1162730895"</f>
        <v>FES1162730895</v>
      </c>
      <c r="D1042" s="9" t="s">
        <v>19</v>
      </c>
      <c r="E1042" s="9" t="s">
        <v>46</v>
      </c>
      <c r="F1042" s="9" t="str">
        <f>"2170723488 "</f>
        <v xml:space="preserve">2170723488 </v>
      </c>
      <c r="G1042" s="9" t="str">
        <f t="shared" si="32"/>
        <v>ON1</v>
      </c>
      <c r="H1042" s="9" t="s">
        <v>21</v>
      </c>
      <c r="I1042" s="9" t="s">
        <v>47</v>
      </c>
      <c r="J1042" s="9" t="str">
        <f>""</f>
        <v/>
      </c>
      <c r="K1042" s="9" t="str">
        <f>"PFES1162730895_0001"</f>
        <v>PFES1162730895_0001</v>
      </c>
      <c r="L1042" s="9">
        <v>1</v>
      </c>
      <c r="M1042" s="9">
        <v>9</v>
      </c>
    </row>
    <row r="1043" spans="1:13">
      <c r="A1043" s="6">
        <v>43843</v>
      </c>
      <c r="B1043" s="7">
        <v>0.59444444444444444</v>
      </c>
      <c r="C1043" s="9" t="str">
        <f>"FES1162730776"</f>
        <v>FES1162730776</v>
      </c>
      <c r="D1043" s="9" t="s">
        <v>19</v>
      </c>
      <c r="E1043" s="9" t="s">
        <v>624</v>
      </c>
      <c r="F1043" s="9" t="str">
        <f>"2170722151 "</f>
        <v xml:space="preserve">2170722151 </v>
      </c>
      <c r="G1043" s="9" t="str">
        <f t="shared" si="32"/>
        <v>ON1</v>
      </c>
      <c r="H1043" s="9" t="s">
        <v>21</v>
      </c>
      <c r="I1043" s="9" t="s">
        <v>165</v>
      </c>
      <c r="J1043" s="9" t="str">
        <f>""</f>
        <v/>
      </c>
      <c r="K1043" s="9" t="str">
        <f>"PFES1162730776_0001"</f>
        <v>PFES1162730776_0001</v>
      </c>
      <c r="L1043" s="9">
        <v>1</v>
      </c>
      <c r="M1043" s="9">
        <v>10</v>
      </c>
    </row>
    <row r="1044" spans="1:13">
      <c r="A1044" s="6">
        <v>43843</v>
      </c>
      <c r="B1044" s="7">
        <v>0.59444444444444444</v>
      </c>
      <c r="C1044" s="9" t="str">
        <f>"FES1162730772"</f>
        <v>FES1162730772</v>
      </c>
      <c r="D1044" s="9" t="s">
        <v>19</v>
      </c>
      <c r="E1044" s="9" t="s">
        <v>221</v>
      </c>
      <c r="F1044" s="9" t="str">
        <f>"2170720940 "</f>
        <v xml:space="preserve">2170720940 </v>
      </c>
      <c r="G1044" s="9" t="str">
        <f t="shared" si="32"/>
        <v>ON1</v>
      </c>
      <c r="H1044" s="9" t="s">
        <v>21</v>
      </c>
      <c r="I1044" s="9" t="s">
        <v>31</v>
      </c>
      <c r="J1044" s="9" t="str">
        <f>""</f>
        <v/>
      </c>
      <c r="K1044" s="9" t="str">
        <f>"PFES1162730772_0001"</f>
        <v>PFES1162730772_0001</v>
      </c>
      <c r="L1044" s="9">
        <v>1</v>
      </c>
      <c r="M1044" s="9">
        <v>11</v>
      </c>
    </row>
    <row r="1045" spans="1:13">
      <c r="A1045" s="6">
        <v>43843</v>
      </c>
      <c r="B1045" s="7">
        <v>0.59375</v>
      </c>
      <c r="C1045" s="9" t="str">
        <f>"FES1162730780"</f>
        <v>FES1162730780</v>
      </c>
      <c r="D1045" s="9" t="s">
        <v>19</v>
      </c>
      <c r="E1045" s="9" t="s">
        <v>222</v>
      </c>
      <c r="F1045" s="9" t="str">
        <f>"21707222275 "</f>
        <v xml:space="preserve">21707222275 </v>
      </c>
      <c r="G1045" s="9" t="str">
        <f t="shared" si="32"/>
        <v>ON1</v>
      </c>
      <c r="H1045" s="9" t="s">
        <v>21</v>
      </c>
      <c r="I1045" s="9" t="s">
        <v>28</v>
      </c>
      <c r="J1045" s="9" t="str">
        <f>""</f>
        <v/>
      </c>
      <c r="K1045" s="9" t="str">
        <f>"PFES1162730780_0001"</f>
        <v>PFES1162730780_0001</v>
      </c>
      <c r="L1045" s="9">
        <v>1</v>
      </c>
      <c r="M1045" s="9">
        <v>3</v>
      </c>
    </row>
    <row r="1046" spans="1:13">
      <c r="A1046" s="6">
        <v>43843</v>
      </c>
      <c r="B1046" s="7">
        <v>0.59375</v>
      </c>
      <c r="C1046" s="9" t="str">
        <f>"FES1162730880"</f>
        <v>FES1162730880</v>
      </c>
      <c r="D1046" s="9" t="s">
        <v>19</v>
      </c>
      <c r="E1046" s="9" t="s">
        <v>222</v>
      </c>
      <c r="F1046" s="9" t="str">
        <f>"2170722874 "</f>
        <v xml:space="preserve">2170722874 </v>
      </c>
      <c r="G1046" s="9" t="str">
        <f t="shared" si="32"/>
        <v>ON1</v>
      </c>
      <c r="H1046" s="9" t="s">
        <v>21</v>
      </c>
      <c r="I1046" s="9" t="s">
        <v>28</v>
      </c>
      <c r="J1046" s="9" t="str">
        <f>""</f>
        <v/>
      </c>
      <c r="K1046" s="9" t="str">
        <f>"PFES1162730880_0001"</f>
        <v>PFES1162730880_0001</v>
      </c>
      <c r="L1046" s="9">
        <v>1</v>
      </c>
      <c r="M1046" s="9">
        <v>2</v>
      </c>
    </row>
    <row r="1047" spans="1:13">
      <c r="A1047" s="6">
        <v>43843</v>
      </c>
      <c r="B1047" s="7">
        <v>0.68888888888888899</v>
      </c>
      <c r="C1047" s="9" t="str">
        <f>"FES1162730839"</f>
        <v>FES1162730839</v>
      </c>
      <c r="D1047" s="9" t="s">
        <v>19</v>
      </c>
      <c r="E1047" s="9" t="s">
        <v>172</v>
      </c>
      <c r="F1047" s="9" t="str">
        <f>"2170721525 "</f>
        <v xml:space="preserve">2170721525 </v>
      </c>
      <c r="G1047" s="9" t="str">
        <f t="shared" si="32"/>
        <v>ON1</v>
      </c>
      <c r="H1047" s="9" t="s">
        <v>21</v>
      </c>
      <c r="I1047" s="9" t="s">
        <v>173</v>
      </c>
      <c r="J1047" s="9" t="str">
        <f>""</f>
        <v/>
      </c>
      <c r="K1047" s="9" t="str">
        <f>"PFES1162730839_0001"</f>
        <v>PFES1162730839_0001</v>
      </c>
      <c r="L1047" s="9">
        <v>1</v>
      </c>
      <c r="M1047" s="9">
        <v>1</v>
      </c>
    </row>
    <row r="1048" spans="1:13">
      <c r="A1048" s="6">
        <v>43843</v>
      </c>
      <c r="B1048" s="7">
        <v>0.68888888888888899</v>
      </c>
      <c r="C1048" s="9" t="str">
        <f>"FES1162730877"</f>
        <v>FES1162730877</v>
      </c>
      <c r="D1048" s="9" t="s">
        <v>19</v>
      </c>
      <c r="E1048" s="9" t="s">
        <v>164</v>
      </c>
      <c r="F1048" s="9" t="str">
        <f>"2170723467 "</f>
        <v xml:space="preserve">2170723467 </v>
      </c>
      <c r="G1048" s="9" t="str">
        <f t="shared" si="32"/>
        <v>ON1</v>
      </c>
      <c r="H1048" s="9" t="s">
        <v>21</v>
      </c>
      <c r="I1048" s="9" t="s">
        <v>165</v>
      </c>
      <c r="J1048" s="9" t="str">
        <f>""</f>
        <v/>
      </c>
      <c r="K1048" s="9" t="str">
        <f>"PFES1162730877_0001"</f>
        <v>PFES1162730877_0001</v>
      </c>
      <c r="L1048" s="9">
        <v>1</v>
      </c>
      <c r="M1048" s="9">
        <v>1</v>
      </c>
    </row>
    <row r="1049" spans="1:13">
      <c r="A1049" s="6">
        <v>43843</v>
      </c>
      <c r="B1049" s="7">
        <v>0.68888888888888899</v>
      </c>
      <c r="C1049" s="9" t="str">
        <f>"FES1162730886"</f>
        <v>FES1162730886</v>
      </c>
      <c r="D1049" s="9" t="s">
        <v>19</v>
      </c>
      <c r="E1049" s="9" t="s">
        <v>222</v>
      </c>
      <c r="F1049" s="9" t="str">
        <f>"2170723476 "</f>
        <v xml:space="preserve">2170723476 </v>
      </c>
      <c r="G1049" s="9" t="str">
        <f t="shared" si="32"/>
        <v>ON1</v>
      </c>
      <c r="H1049" s="9" t="s">
        <v>21</v>
      </c>
      <c r="I1049" s="9" t="s">
        <v>28</v>
      </c>
      <c r="J1049" s="9" t="str">
        <f>""</f>
        <v/>
      </c>
      <c r="K1049" s="9" t="str">
        <f>"PFES1162730886_0001"</f>
        <v>PFES1162730886_0001</v>
      </c>
      <c r="L1049" s="9">
        <v>1</v>
      </c>
      <c r="M1049" s="9">
        <v>1</v>
      </c>
    </row>
    <row r="1050" spans="1:13">
      <c r="A1050" s="6">
        <v>43843</v>
      </c>
      <c r="B1050" s="7">
        <v>0.68819444444444444</v>
      </c>
      <c r="C1050" s="9" t="str">
        <f>"FES1162730902"</f>
        <v>FES1162730902</v>
      </c>
      <c r="D1050" s="9" t="s">
        <v>19</v>
      </c>
      <c r="E1050" s="9" t="s">
        <v>465</v>
      </c>
      <c r="F1050" s="9" t="str">
        <f>"2170723495 "</f>
        <v xml:space="preserve">2170723495 </v>
      </c>
      <c r="G1050" s="9" t="str">
        <f t="shared" si="32"/>
        <v>ON1</v>
      </c>
      <c r="H1050" s="9" t="s">
        <v>21</v>
      </c>
      <c r="I1050" s="9" t="s">
        <v>466</v>
      </c>
      <c r="J1050" s="9" t="str">
        <f>""</f>
        <v/>
      </c>
      <c r="K1050" s="9" t="str">
        <f>"PFES1162730902_0001"</f>
        <v>PFES1162730902_0001</v>
      </c>
      <c r="L1050" s="9">
        <v>1</v>
      </c>
      <c r="M1050" s="9">
        <v>1</v>
      </c>
    </row>
    <row r="1051" spans="1:13">
      <c r="A1051" s="6">
        <v>43843</v>
      </c>
      <c r="B1051" s="7">
        <v>0.68819444444444444</v>
      </c>
      <c r="C1051" s="9" t="str">
        <f>"FES1162730919"</f>
        <v>FES1162730919</v>
      </c>
      <c r="D1051" s="9" t="s">
        <v>19</v>
      </c>
      <c r="E1051" s="9" t="s">
        <v>54</v>
      </c>
      <c r="F1051" s="9" t="str">
        <f>"2170723524 "</f>
        <v xml:space="preserve">2170723524 </v>
      </c>
      <c r="G1051" s="9" t="str">
        <f t="shared" si="32"/>
        <v>ON1</v>
      </c>
      <c r="H1051" s="9" t="s">
        <v>21</v>
      </c>
      <c r="I1051" s="9" t="s">
        <v>31</v>
      </c>
      <c r="J1051" s="9" t="str">
        <f>""</f>
        <v/>
      </c>
      <c r="K1051" s="9" t="str">
        <f>"PFES1162730919_0001"</f>
        <v>PFES1162730919_0001</v>
      </c>
      <c r="L1051" s="9">
        <v>1</v>
      </c>
      <c r="M1051" s="9">
        <v>1</v>
      </c>
    </row>
    <row r="1052" spans="1:13">
      <c r="A1052" s="6">
        <v>43843</v>
      </c>
      <c r="B1052" s="7">
        <v>0.6875</v>
      </c>
      <c r="C1052" s="9" t="str">
        <f>"FES1162730907"</f>
        <v>FES1162730907</v>
      </c>
      <c r="D1052" s="9" t="s">
        <v>19</v>
      </c>
      <c r="E1052" s="9" t="s">
        <v>61</v>
      </c>
      <c r="F1052" s="9" t="str">
        <f>"2170723503 "</f>
        <v xml:space="preserve">2170723503 </v>
      </c>
      <c r="G1052" s="9" t="str">
        <f t="shared" si="32"/>
        <v>ON1</v>
      </c>
      <c r="H1052" s="9" t="s">
        <v>21</v>
      </c>
      <c r="I1052" s="9" t="s">
        <v>28</v>
      </c>
      <c r="J1052" s="9" t="str">
        <f>""</f>
        <v/>
      </c>
      <c r="K1052" s="9" t="str">
        <f>"PFES1162730907_0001"</f>
        <v>PFES1162730907_0001</v>
      </c>
      <c r="L1052" s="9">
        <v>1</v>
      </c>
      <c r="M1052" s="9">
        <v>1</v>
      </c>
    </row>
    <row r="1053" spans="1:13">
      <c r="A1053" s="6">
        <v>43843</v>
      </c>
      <c r="B1053" s="7">
        <v>0.68680555555555556</v>
      </c>
      <c r="C1053" s="9" t="str">
        <f>"FES1162730947"</f>
        <v>FES1162730947</v>
      </c>
      <c r="D1053" s="9" t="s">
        <v>19</v>
      </c>
      <c r="E1053" s="9" t="s">
        <v>625</v>
      </c>
      <c r="F1053" s="9" t="str">
        <f>"21707235544 "</f>
        <v xml:space="preserve">21707235544 </v>
      </c>
      <c r="G1053" s="9" t="str">
        <f t="shared" si="32"/>
        <v>ON1</v>
      </c>
      <c r="H1053" s="9" t="s">
        <v>21</v>
      </c>
      <c r="I1053" s="9" t="s">
        <v>237</v>
      </c>
      <c r="J1053" s="9" t="str">
        <f>""</f>
        <v/>
      </c>
      <c r="K1053" s="9" t="str">
        <f>"PFES1162730947_0001"</f>
        <v>PFES1162730947_0001</v>
      </c>
      <c r="L1053" s="9">
        <v>2</v>
      </c>
      <c r="M1053" s="9">
        <v>4</v>
      </c>
    </row>
    <row r="1054" spans="1:13">
      <c r="A1054" s="6">
        <v>43843</v>
      </c>
      <c r="B1054" s="7">
        <v>0.68680555555555556</v>
      </c>
      <c r="C1054" s="9" t="str">
        <f>"FES1162730947"</f>
        <v>FES1162730947</v>
      </c>
      <c r="D1054" s="9" t="s">
        <v>19</v>
      </c>
      <c r="E1054" s="9" t="s">
        <v>625</v>
      </c>
      <c r="F1054" s="9" t="str">
        <f>"21707235544 "</f>
        <v xml:space="preserve">21707235544 </v>
      </c>
      <c r="G1054" s="9" t="str">
        <f t="shared" si="32"/>
        <v>ON1</v>
      </c>
      <c r="H1054" s="9" t="s">
        <v>21</v>
      </c>
      <c r="I1054" s="9" t="s">
        <v>237</v>
      </c>
      <c r="J1054" s="9"/>
      <c r="K1054" s="9" t="str">
        <f>"PFES1162730947_0002"</f>
        <v>PFES1162730947_0002</v>
      </c>
      <c r="L1054" s="9">
        <v>2</v>
      </c>
      <c r="M1054" s="9">
        <v>4</v>
      </c>
    </row>
    <row r="1055" spans="1:13">
      <c r="A1055" s="6">
        <v>43843</v>
      </c>
      <c r="B1055" s="7">
        <v>0.68680555555555556</v>
      </c>
      <c r="C1055" s="9" t="str">
        <f>"FES1162730873"</f>
        <v>FES1162730873</v>
      </c>
      <c r="D1055" s="9" t="s">
        <v>19</v>
      </c>
      <c r="E1055" s="9" t="s">
        <v>593</v>
      </c>
      <c r="F1055" s="9" t="str">
        <f>"2170723462 "</f>
        <v xml:space="preserve">2170723462 </v>
      </c>
      <c r="G1055" s="9" t="str">
        <f t="shared" si="32"/>
        <v>ON1</v>
      </c>
      <c r="H1055" s="9" t="s">
        <v>21</v>
      </c>
      <c r="I1055" s="9" t="s">
        <v>179</v>
      </c>
      <c r="J1055" s="9" t="str">
        <f>""</f>
        <v/>
      </c>
      <c r="K1055" s="9" t="str">
        <f>"PFES1162730873_0001"</f>
        <v>PFES1162730873_0001</v>
      </c>
      <c r="L1055" s="9">
        <v>1</v>
      </c>
      <c r="M1055" s="9">
        <v>4</v>
      </c>
    </row>
    <row r="1056" spans="1:13">
      <c r="A1056" s="6">
        <v>43843</v>
      </c>
      <c r="B1056" s="7">
        <v>0.68680555555555556</v>
      </c>
      <c r="C1056" s="9" t="str">
        <f>"FES1162730903"</f>
        <v>FES1162730903</v>
      </c>
      <c r="D1056" s="9" t="s">
        <v>19</v>
      </c>
      <c r="E1056" s="9" t="s">
        <v>597</v>
      </c>
      <c r="F1056" s="9" t="str">
        <f>"217072349 "</f>
        <v xml:space="preserve">217072349 </v>
      </c>
      <c r="G1056" s="9" t="str">
        <f t="shared" si="32"/>
        <v>ON1</v>
      </c>
      <c r="H1056" s="9" t="s">
        <v>21</v>
      </c>
      <c r="I1056" s="9" t="s">
        <v>119</v>
      </c>
      <c r="J1056" s="9" t="str">
        <f>""</f>
        <v/>
      </c>
      <c r="K1056" s="9" t="str">
        <f>"PFES1162730903_0001"</f>
        <v>PFES1162730903_0001</v>
      </c>
      <c r="L1056" s="9">
        <v>1</v>
      </c>
      <c r="M1056" s="9">
        <v>5</v>
      </c>
    </row>
    <row r="1057" spans="1:13">
      <c r="A1057" s="6">
        <v>43843</v>
      </c>
      <c r="B1057" s="7">
        <v>0.6777777777777777</v>
      </c>
      <c r="C1057" s="9" t="str">
        <f>"FES1162730960"</f>
        <v>FES1162730960</v>
      </c>
      <c r="D1057" s="9" t="s">
        <v>19</v>
      </c>
      <c r="E1057" s="9" t="s">
        <v>626</v>
      </c>
      <c r="F1057" s="9" t="str">
        <f>"217073556 "</f>
        <v xml:space="preserve">217073556 </v>
      </c>
      <c r="G1057" s="9" t="str">
        <f t="shared" si="32"/>
        <v>ON1</v>
      </c>
      <c r="H1057" s="9" t="s">
        <v>21</v>
      </c>
      <c r="I1057" s="9" t="s">
        <v>139</v>
      </c>
      <c r="J1057" s="9" t="str">
        <f>""</f>
        <v/>
      </c>
      <c r="K1057" s="9" t="str">
        <f>"PFES1162730960_0001"</f>
        <v>PFES1162730960_0001</v>
      </c>
      <c r="L1057" s="9">
        <v>1</v>
      </c>
      <c r="M1057" s="9">
        <v>4</v>
      </c>
    </row>
    <row r="1058" spans="1:13">
      <c r="A1058" s="6">
        <v>43843</v>
      </c>
      <c r="B1058" s="7">
        <v>0.59305555555555556</v>
      </c>
      <c r="C1058" s="9" t="str">
        <f>"FES1162730775"</f>
        <v>FES1162730775</v>
      </c>
      <c r="D1058" s="9" t="s">
        <v>19</v>
      </c>
      <c r="E1058" s="9" t="s">
        <v>465</v>
      </c>
      <c r="F1058" s="9" t="str">
        <f>"2170722150 "</f>
        <v xml:space="preserve">2170722150 </v>
      </c>
      <c r="G1058" s="9" t="str">
        <f t="shared" si="32"/>
        <v>ON1</v>
      </c>
      <c r="H1058" s="9" t="s">
        <v>21</v>
      </c>
      <c r="I1058" s="9" t="s">
        <v>466</v>
      </c>
      <c r="J1058" s="9" t="str">
        <f>""</f>
        <v/>
      </c>
      <c r="K1058" s="9" t="str">
        <f>"PFES1162730775_0001"</f>
        <v>PFES1162730775_0001</v>
      </c>
      <c r="L1058" s="9">
        <v>1</v>
      </c>
      <c r="M1058" s="9">
        <v>3</v>
      </c>
    </row>
    <row r="1059" spans="1:13">
      <c r="A1059" s="6">
        <v>43843</v>
      </c>
      <c r="B1059" s="7">
        <v>0.59305555555555556</v>
      </c>
      <c r="C1059" s="9" t="str">
        <f>"FES1162730774"</f>
        <v>FES1162730774</v>
      </c>
      <c r="D1059" s="9" t="s">
        <v>19</v>
      </c>
      <c r="E1059" s="9" t="s">
        <v>603</v>
      </c>
      <c r="F1059" s="9" t="str">
        <f>"2170722143 "</f>
        <v xml:space="preserve">2170722143 </v>
      </c>
      <c r="G1059" s="9" t="str">
        <f t="shared" si="32"/>
        <v>ON1</v>
      </c>
      <c r="H1059" s="9" t="s">
        <v>21</v>
      </c>
      <c r="I1059" s="9" t="s">
        <v>604</v>
      </c>
      <c r="J1059" s="9" t="str">
        <f>""</f>
        <v/>
      </c>
      <c r="K1059" s="9" t="str">
        <f>"PFES1162730774_0001"</f>
        <v>PFES1162730774_0001</v>
      </c>
      <c r="L1059" s="9">
        <v>1</v>
      </c>
      <c r="M1059" s="9">
        <v>3</v>
      </c>
    </row>
    <row r="1060" spans="1:13">
      <c r="A1060" s="6">
        <v>43843</v>
      </c>
      <c r="B1060" s="7">
        <v>0.59236111111111112</v>
      </c>
      <c r="C1060" s="9" t="str">
        <f>"FES1162730801"</f>
        <v>FES1162730801</v>
      </c>
      <c r="D1060" s="9" t="s">
        <v>19</v>
      </c>
      <c r="E1060" s="9" t="s">
        <v>168</v>
      </c>
      <c r="F1060" s="9" t="str">
        <f>"2170723389 "</f>
        <v xml:space="preserve">2170723389 </v>
      </c>
      <c r="G1060" s="9" t="str">
        <f t="shared" si="32"/>
        <v>ON1</v>
      </c>
      <c r="H1060" s="9" t="s">
        <v>21</v>
      </c>
      <c r="I1060" s="9" t="s">
        <v>169</v>
      </c>
      <c r="J1060" s="9" t="str">
        <f>""</f>
        <v/>
      </c>
      <c r="K1060" s="9" t="str">
        <f>"PFES1162730801_0001"</f>
        <v>PFES1162730801_0001</v>
      </c>
      <c r="L1060" s="9">
        <v>1</v>
      </c>
      <c r="M1060" s="9">
        <v>2</v>
      </c>
    </row>
    <row r="1061" spans="1:13">
      <c r="A1061" s="6">
        <v>43843</v>
      </c>
      <c r="B1061" s="7">
        <v>0.59236111111111112</v>
      </c>
      <c r="C1061" s="9" t="str">
        <f>"FES1162730791"</f>
        <v>FES1162730791</v>
      </c>
      <c r="D1061" s="9" t="s">
        <v>19</v>
      </c>
      <c r="E1061" s="9" t="s">
        <v>627</v>
      </c>
      <c r="F1061" s="9" t="str">
        <f>"2170723373 "</f>
        <v xml:space="preserve">2170723373 </v>
      </c>
      <c r="G1061" s="9" t="str">
        <f t="shared" si="32"/>
        <v>ON1</v>
      </c>
      <c r="H1061" s="9" t="s">
        <v>21</v>
      </c>
      <c r="I1061" s="9" t="s">
        <v>628</v>
      </c>
      <c r="J1061" s="9" t="str">
        <f>""</f>
        <v/>
      </c>
      <c r="K1061" s="9" t="str">
        <f>"PFES1162730791_0001"</f>
        <v>PFES1162730791_0001</v>
      </c>
      <c r="L1061" s="9">
        <v>1</v>
      </c>
      <c r="M1061" s="9">
        <v>14</v>
      </c>
    </row>
    <row r="1062" spans="1:13">
      <c r="A1062" s="6">
        <v>43843</v>
      </c>
      <c r="B1062" s="7">
        <v>0.59166666666666667</v>
      </c>
      <c r="C1062" s="9" t="str">
        <f>"FES1162730836"</f>
        <v>FES1162730836</v>
      </c>
      <c r="D1062" s="9" t="s">
        <v>19</v>
      </c>
      <c r="E1062" s="9" t="s">
        <v>426</v>
      </c>
      <c r="F1062" s="9" t="str">
        <f>"2170723433 "</f>
        <v xml:space="preserve">2170723433 </v>
      </c>
      <c r="G1062" s="9" t="str">
        <f t="shared" si="32"/>
        <v>ON1</v>
      </c>
      <c r="H1062" s="9" t="s">
        <v>21</v>
      </c>
      <c r="I1062" s="9" t="s">
        <v>26</v>
      </c>
      <c r="J1062" s="9" t="str">
        <f>""</f>
        <v/>
      </c>
      <c r="K1062" s="9" t="str">
        <f>"PFES1162730836_0001"</f>
        <v>PFES1162730836_0001</v>
      </c>
      <c r="L1062" s="9">
        <v>1</v>
      </c>
      <c r="M1062" s="9">
        <v>1</v>
      </c>
    </row>
    <row r="1063" spans="1:13">
      <c r="A1063" s="6">
        <v>43843</v>
      </c>
      <c r="B1063" s="7">
        <v>0.59166666666666667</v>
      </c>
      <c r="C1063" s="9" t="str">
        <f>"FES1162730835"</f>
        <v>FES1162730835</v>
      </c>
      <c r="D1063" s="9" t="s">
        <v>19</v>
      </c>
      <c r="E1063" s="9" t="s">
        <v>629</v>
      </c>
      <c r="F1063" s="9" t="str">
        <f>"2170723431 "</f>
        <v xml:space="preserve">2170723431 </v>
      </c>
      <c r="G1063" s="9" t="str">
        <f t="shared" si="32"/>
        <v>ON1</v>
      </c>
      <c r="H1063" s="9" t="s">
        <v>21</v>
      </c>
      <c r="I1063" s="9" t="s">
        <v>85</v>
      </c>
      <c r="J1063" s="9" t="str">
        <f>""</f>
        <v/>
      </c>
      <c r="K1063" s="9" t="str">
        <f>"PFES1162730835_0001"</f>
        <v>PFES1162730835_0001</v>
      </c>
      <c r="L1063" s="9">
        <v>1</v>
      </c>
      <c r="M1063" s="9">
        <v>1</v>
      </c>
    </row>
    <row r="1064" spans="1:13">
      <c r="A1064" s="6">
        <v>43843</v>
      </c>
      <c r="B1064" s="7">
        <v>0.59097222222222223</v>
      </c>
      <c r="C1064" s="9" t="str">
        <f>"FES1162730784"</f>
        <v>FES1162730784</v>
      </c>
      <c r="D1064" s="9" t="s">
        <v>19</v>
      </c>
      <c r="E1064" s="9" t="s">
        <v>427</v>
      </c>
      <c r="F1064" s="9" t="str">
        <f>"2170723309 "</f>
        <v xml:space="preserve">2170723309 </v>
      </c>
      <c r="G1064" s="9" t="str">
        <f t="shared" si="32"/>
        <v>ON1</v>
      </c>
      <c r="H1064" s="9" t="s">
        <v>21</v>
      </c>
      <c r="I1064" s="9" t="s">
        <v>428</v>
      </c>
      <c r="J1064" s="9" t="str">
        <f>""</f>
        <v/>
      </c>
      <c r="K1064" s="9" t="str">
        <f>"PFES1162730784_0001"</f>
        <v>PFES1162730784_0001</v>
      </c>
      <c r="L1064" s="9">
        <v>1</v>
      </c>
      <c r="M1064" s="9">
        <v>1</v>
      </c>
    </row>
    <row r="1065" spans="1:13">
      <c r="A1065" s="6">
        <v>43843</v>
      </c>
      <c r="B1065" s="7">
        <v>0.59097222222222223</v>
      </c>
      <c r="C1065" s="9" t="str">
        <f>"FES1162730837"</f>
        <v>FES1162730837</v>
      </c>
      <c r="D1065" s="9" t="s">
        <v>19</v>
      </c>
      <c r="E1065" s="9" t="s">
        <v>426</v>
      </c>
      <c r="F1065" s="9" t="str">
        <f>"2170723435 "</f>
        <v xml:space="preserve">2170723435 </v>
      </c>
      <c r="G1065" s="9" t="str">
        <f t="shared" si="32"/>
        <v>ON1</v>
      </c>
      <c r="H1065" s="9" t="s">
        <v>21</v>
      </c>
      <c r="I1065" s="9" t="s">
        <v>26</v>
      </c>
      <c r="J1065" s="9" t="str">
        <f>""</f>
        <v/>
      </c>
      <c r="K1065" s="9" t="str">
        <f>"PFES1162730837_0001"</f>
        <v>PFES1162730837_0001</v>
      </c>
      <c r="L1065" s="9">
        <v>1</v>
      </c>
      <c r="M1065" s="9">
        <v>1</v>
      </c>
    </row>
    <row r="1066" spans="1:13">
      <c r="A1066" s="6">
        <v>43843</v>
      </c>
      <c r="B1066" s="7">
        <v>0.59027777777777779</v>
      </c>
      <c r="C1066" s="9" t="str">
        <f>"FES1162730795"</f>
        <v>FES1162730795</v>
      </c>
      <c r="D1066" s="9" t="s">
        <v>19</v>
      </c>
      <c r="E1066" s="9" t="s">
        <v>162</v>
      </c>
      <c r="F1066" s="9" t="str">
        <f>"2170723379 "</f>
        <v xml:space="preserve">2170723379 </v>
      </c>
      <c r="G1066" s="9" t="str">
        <f t="shared" si="32"/>
        <v>ON1</v>
      </c>
      <c r="H1066" s="9" t="s">
        <v>21</v>
      </c>
      <c r="I1066" s="9" t="s">
        <v>163</v>
      </c>
      <c r="J1066" s="9" t="str">
        <f>""</f>
        <v/>
      </c>
      <c r="K1066" s="9" t="str">
        <f>"PFES1162730795_0001"</f>
        <v>PFES1162730795_0001</v>
      </c>
      <c r="L1066" s="9">
        <v>1</v>
      </c>
      <c r="M1066" s="9">
        <v>1</v>
      </c>
    </row>
    <row r="1067" spans="1:13">
      <c r="A1067" s="6">
        <v>43843</v>
      </c>
      <c r="B1067" s="7">
        <v>0.59027777777777779</v>
      </c>
      <c r="C1067" s="9" t="str">
        <f>"FES1162730796"</f>
        <v>FES1162730796</v>
      </c>
      <c r="D1067" s="9" t="s">
        <v>19</v>
      </c>
      <c r="E1067" s="9" t="s">
        <v>437</v>
      </c>
      <c r="F1067" s="9" t="str">
        <f>"2170723380 "</f>
        <v xml:space="preserve">2170723380 </v>
      </c>
      <c r="G1067" s="9" t="str">
        <f t="shared" si="32"/>
        <v>ON1</v>
      </c>
      <c r="H1067" s="9" t="s">
        <v>21</v>
      </c>
      <c r="I1067" s="9" t="s">
        <v>438</v>
      </c>
      <c r="J1067" s="9" t="str">
        <f>""</f>
        <v/>
      </c>
      <c r="K1067" s="9" t="str">
        <f>"PFES1162730796_0001"</f>
        <v>PFES1162730796_0001</v>
      </c>
      <c r="L1067" s="9">
        <v>1</v>
      </c>
      <c r="M1067" s="9">
        <v>1</v>
      </c>
    </row>
    <row r="1068" spans="1:13">
      <c r="A1068" s="6">
        <v>43843</v>
      </c>
      <c r="B1068" s="7">
        <v>0.58958333333333335</v>
      </c>
      <c r="C1068" s="9" t="str">
        <f>"FES1162730811"</f>
        <v>FES1162730811</v>
      </c>
      <c r="D1068" s="9" t="s">
        <v>19</v>
      </c>
      <c r="E1068" s="9" t="s">
        <v>312</v>
      </c>
      <c r="F1068" s="9" t="str">
        <f>"2170723402 "</f>
        <v xml:space="preserve">2170723402 </v>
      </c>
      <c r="G1068" s="9" t="str">
        <f t="shared" si="32"/>
        <v>ON1</v>
      </c>
      <c r="H1068" s="9" t="s">
        <v>21</v>
      </c>
      <c r="I1068" s="9" t="s">
        <v>313</v>
      </c>
      <c r="J1068" s="9" t="str">
        <f>""</f>
        <v/>
      </c>
      <c r="K1068" s="9" t="str">
        <f>"PFES1162730811_0001"</f>
        <v>PFES1162730811_0001</v>
      </c>
      <c r="L1068" s="9">
        <v>1</v>
      </c>
      <c r="M1068" s="9">
        <v>1</v>
      </c>
    </row>
    <row r="1069" spans="1:13">
      <c r="A1069" s="6">
        <v>43843</v>
      </c>
      <c r="B1069" s="7">
        <v>0.58402777777777781</v>
      </c>
      <c r="C1069" s="9" t="str">
        <f>"FES1162730898"</f>
        <v>FES1162730898</v>
      </c>
      <c r="D1069" s="9" t="s">
        <v>19</v>
      </c>
      <c r="E1069" s="9" t="s">
        <v>37</v>
      </c>
      <c r="F1069" s="9" t="str">
        <f>"2170723942 "</f>
        <v xml:space="preserve">2170723942 </v>
      </c>
      <c r="G1069" s="9" t="str">
        <f t="shared" si="32"/>
        <v>ON1</v>
      </c>
      <c r="H1069" s="9" t="s">
        <v>21</v>
      </c>
      <c r="I1069" s="9" t="s">
        <v>38</v>
      </c>
      <c r="J1069" s="9" t="str">
        <f>""</f>
        <v/>
      </c>
      <c r="K1069" s="9" t="str">
        <f>"PFES1162730898_0001"</f>
        <v>PFES1162730898_0001</v>
      </c>
      <c r="L1069" s="9">
        <v>1</v>
      </c>
      <c r="M1069" s="9">
        <v>1</v>
      </c>
    </row>
    <row r="1070" spans="1:13">
      <c r="A1070" s="6">
        <v>43843</v>
      </c>
      <c r="B1070" s="7">
        <v>0.58402777777777781</v>
      </c>
      <c r="C1070" s="9" t="str">
        <f>"FES1162730862"</f>
        <v>FES1162730862</v>
      </c>
      <c r="D1070" s="9" t="s">
        <v>19</v>
      </c>
      <c r="E1070" s="9" t="s">
        <v>184</v>
      </c>
      <c r="F1070" s="9" t="str">
        <f>"2170723454 "</f>
        <v xml:space="preserve">2170723454 </v>
      </c>
      <c r="G1070" s="9" t="str">
        <f t="shared" si="32"/>
        <v>ON1</v>
      </c>
      <c r="H1070" s="9" t="s">
        <v>21</v>
      </c>
      <c r="I1070" s="9" t="s">
        <v>49</v>
      </c>
      <c r="J1070" s="9" t="str">
        <f>""</f>
        <v/>
      </c>
      <c r="K1070" s="9" t="str">
        <f>"PFES1162730862_0001"</f>
        <v>PFES1162730862_0001</v>
      </c>
      <c r="L1070" s="9">
        <v>1</v>
      </c>
      <c r="M1070" s="9">
        <v>1</v>
      </c>
    </row>
    <row r="1071" spans="1:13">
      <c r="A1071" s="6">
        <v>43843</v>
      </c>
      <c r="B1071" s="7">
        <v>0.58333333333333337</v>
      </c>
      <c r="C1071" s="9" t="str">
        <f>"FES1162730789"</f>
        <v>FES1162730789</v>
      </c>
      <c r="D1071" s="9" t="s">
        <v>19</v>
      </c>
      <c r="E1071" s="9" t="s">
        <v>630</v>
      </c>
      <c r="F1071" s="9" t="str">
        <f>"2170723368 "</f>
        <v xml:space="preserve">2170723368 </v>
      </c>
      <c r="G1071" s="9" t="str">
        <f t="shared" si="32"/>
        <v>ON1</v>
      </c>
      <c r="H1071" s="9" t="s">
        <v>21</v>
      </c>
      <c r="I1071" s="9" t="s">
        <v>202</v>
      </c>
      <c r="J1071" s="9" t="str">
        <f>""</f>
        <v/>
      </c>
      <c r="K1071" s="9" t="str">
        <f>"PFES1162730789_0001"</f>
        <v>PFES1162730789_0001</v>
      </c>
      <c r="L1071" s="9">
        <v>1</v>
      </c>
      <c r="M1071" s="9">
        <v>1</v>
      </c>
    </row>
    <row r="1072" spans="1:13">
      <c r="A1072" s="6">
        <v>43843</v>
      </c>
      <c r="B1072" s="7">
        <v>0.58333333333333337</v>
      </c>
      <c r="C1072" s="9" t="str">
        <f>"FES1162730767"</f>
        <v>FES1162730767</v>
      </c>
      <c r="D1072" s="9" t="s">
        <v>19</v>
      </c>
      <c r="E1072" s="9" t="s">
        <v>153</v>
      </c>
      <c r="F1072" s="9" t="str">
        <f>"21707226645 "</f>
        <v xml:space="preserve">21707226645 </v>
      </c>
      <c r="G1072" s="9" t="str">
        <f t="shared" si="32"/>
        <v>ON1</v>
      </c>
      <c r="H1072" s="9" t="s">
        <v>21</v>
      </c>
      <c r="I1072" s="9" t="s">
        <v>146</v>
      </c>
      <c r="J1072" s="9" t="str">
        <f>""</f>
        <v/>
      </c>
      <c r="K1072" s="9" t="str">
        <f>"PFES1162730767_0001"</f>
        <v>PFES1162730767_0001</v>
      </c>
      <c r="L1072" s="9">
        <v>1</v>
      </c>
      <c r="M1072" s="9">
        <v>1</v>
      </c>
    </row>
    <row r="1073" spans="1:13">
      <c r="A1073" s="6">
        <v>43843</v>
      </c>
      <c r="B1073" s="7">
        <v>0.58333333333333337</v>
      </c>
      <c r="C1073" s="9" t="str">
        <f>"FES1162730768"</f>
        <v>FES1162730768</v>
      </c>
      <c r="D1073" s="9" t="s">
        <v>19</v>
      </c>
      <c r="E1073" s="9" t="s">
        <v>262</v>
      </c>
      <c r="F1073" s="9" t="str">
        <f>"2170720131 "</f>
        <v xml:space="preserve">2170720131 </v>
      </c>
      <c r="G1073" s="9" t="str">
        <f t="shared" si="32"/>
        <v>ON1</v>
      </c>
      <c r="H1073" s="9" t="s">
        <v>21</v>
      </c>
      <c r="I1073" s="9" t="s">
        <v>114</v>
      </c>
      <c r="J1073" s="9" t="str">
        <f>""</f>
        <v/>
      </c>
      <c r="K1073" s="9" t="str">
        <f>"PFES1162730768_0001"</f>
        <v>PFES1162730768_0001</v>
      </c>
      <c r="L1073" s="9">
        <v>1</v>
      </c>
      <c r="M1073" s="9">
        <v>2</v>
      </c>
    </row>
    <row r="1074" spans="1:13">
      <c r="A1074" s="6">
        <v>43843</v>
      </c>
      <c r="B1074" s="7">
        <v>0.58263888888888882</v>
      </c>
      <c r="C1074" s="9" t="str">
        <f>"FES1162730778"</f>
        <v>FES1162730778</v>
      </c>
      <c r="D1074" s="9" t="s">
        <v>19</v>
      </c>
      <c r="E1074" s="9" t="s">
        <v>138</v>
      </c>
      <c r="F1074" s="9" t="str">
        <f>"21707222247 "</f>
        <v xml:space="preserve">21707222247 </v>
      </c>
      <c r="G1074" s="9" t="str">
        <f t="shared" si="32"/>
        <v>ON1</v>
      </c>
      <c r="H1074" s="9" t="s">
        <v>21</v>
      </c>
      <c r="I1074" s="9" t="s">
        <v>139</v>
      </c>
      <c r="J1074" s="9" t="str">
        <f>""</f>
        <v/>
      </c>
      <c r="K1074" s="9" t="str">
        <f>"PFES1162730778_0001"</f>
        <v>PFES1162730778_0001</v>
      </c>
      <c r="L1074" s="9">
        <v>1</v>
      </c>
      <c r="M1074" s="9">
        <v>6</v>
      </c>
    </row>
    <row r="1075" spans="1:13">
      <c r="A1075" s="6">
        <v>43843</v>
      </c>
      <c r="B1075" s="7">
        <v>0.58263888888888882</v>
      </c>
      <c r="C1075" s="9" t="str">
        <f>"FES1162730884"</f>
        <v>FES1162730884</v>
      </c>
      <c r="D1075" s="9" t="s">
        <v>19</v>
      </c>
      <c r="E1075" s="9" t="s">
        <v>563</v>
      </c>
      <c r="F1075" s="9" t="str">
        <f>"2170723472 "</f>
        <v xml:space="preserve">2170723472 </v>
      </c>
      <c r="G1075" s="9" t="str">
        <f t="shared" si="32"/>
        <v>ON1</v>
      </c>
      <c r="H1075" s="9" t="s">
        <v>21</v>
      </c>
      <c r="I1075" s="9" t="s">
        <v>564</v>
      </c>
      <c r="J1075" s="9" t="str">
        <f>""</f>
        <v/>
      </c>
      <c r="K1075" s="9" t="str">
        <f>"PFES1162730884_0001"</f>
        <v>PFES1162730884_0001</v>
      </c>
      <c r="L1075" s="9">
        <v>1</v>
      </c>
      <c r="M1075" s="9">
        <v>2</v>
      </c>
    </row>
    <row r="1076" spans="1:13">
      <c r="A1076" s="6">
        <v>43843</v>
      </c>
      <c r="B1076" s="7">
        <v>0.53888888888888886</v>
      </c>
      <c r="C1076" s="9" t="str">
        <f>"FES1162730788"</f>
        <v>FES1162730788</v>
      </c>
      <c r="D1076" s="9" t="s">
        <v>19</v>
      </c>
      <c r="E1076" s="9" t="s">
        <v>605</v>
      </c>
      <c r="F1076" s="9" t="str">
        <f>"2170723367 "</f>
        <v xml:space="preserve">2170723367 </v>
      </c>
      <c r="G1076" s="9" t="str">
        <f t="shared" si="32"/>
        <v>ON1</v>
      </c>
      <c r="H1076" s="9" t="s">
        <v>21</v>
      </c>
      <c r="I1076" s="9" t="s">
        <v>85</v>
      </c>
      <c r="J1076" s="9" t="str">
        <f>""</f>
        <v/>
      </c>
      <c r="K1076" s="9" t="str">
        <f>"PFES1162730788_0001"</f>
        <v>PFES1162730788_0001</v>
      </c>
      <c r="L1076" s="9">
        <v>1</v>
      </c>
      <c r="M1076" s="9">
        <v>2</v>
      </c>
    </row>
    <row r="1077" spans="1:13">
      <c r="A1077" s="6">
        <v>43843</v>
      </c>
      <c r="B1077" s="7">
        <v>0.53888888888888886</v>
      </c>
      <c r="C1077" s="9" t="str">
        <f>"FES1162730871"</f>
        <v>FES1162730871</v>
      </c>
      <c r="D1077" s="9" t="s">
        <v>19</v>
      </c>
      <c r="E1077" s="9" t="s">
        <v>218</v>
      </c>
      <c r="F1077" s="9" t="str">
        <f>"2170721877 "</f>
        <v xml:space="preserve">2170721877 </v>
      </c>
      <c r="G1077" s="9" t="str">
        <f t="shared" si="32"/>
        <v>ON1</v>
      </c>
      <c r="H1077" s="9" t="s">
        <v>21</v>
      </c>
      <c r="I1077" s="9" t="s">
        <v>49</v>
      </c>
      <c r="J1077" s="9" t="str">
        <f>""</f>
        <v/>
      </c>
      <c r="K1077" s="9" t="str">
        <f>"PFES1162730871_0001"</f>
        <v>PFES1162730871_0001</v>
      </c>
      <c r="L1077" s="9">
        <v>1</v>
      </c>
      <c r="M1077" s="9">
        <v>4</v>
      </c>
    </row>
    <row r="1078" spans="1:13">
      <c r="A1078" s="6">
        <v>43843</v>
      </c>
      <c r="B1078" s="7">
        <v>0.53819444444444442</v>
      </c>
      <c r="C1078" s="9" t="str">
        <f>"FES1162730870"</f>
        <v>FES1162730870</v>
      </c>
      <c r="D1078" s="9" t="s">
        <v>19</v>
      </c>
      <c r="E1078" s="9" t="s">
        <v>218</v>
      </c>
      <c r="F1078" s="9" t="str">
        <f>"2170721324 "</f>
        <v xml:space="preserve">2170721324 </v>
      </c>
      <c r="G1078" s="9" t="str">
        <f t="shared" si="32"/>
        <v>ON1</v>
      </c>
      <c r="H1078" s="9" t="s">
        <v>21</v>
      </c>
      <c r="I1078" s="9" t="s">
        <v>49</v>
      </c>
      <c r="J1078" s="9" t="str">
        <f>""</f>
        <v/>
      </c>
      <c r="K1078" s="9" t="str">
        <f>"PFES1162730870_0001"</f>
        <v>PFES1162730870_0001</v>
      </c>
      <c r="L1078" s="9">
        <v>1</v>
      </c>
      <c r="M1078" s="9">
        <v>4</v>
      </c>
    </row>
    <row r="1079" spans="1:13">
      <c r="A1079" s="6">
        <v>43843</v>
      </c>
      <c r="B1079" s="7">
        <v>0.53749999999999998</v>
      </c>
      <c r="C1079" s="9" t="str">
        <f>"FES1162730770"</f>
        <v>FES1162730770</v>
      </c>
      <c r="D1079" s="9" t="s">
        <v>19</v>
      </c>
      <c r="E1079" s="9" t="s">
        <v>64</v>
      </c>
      <c r="F1079" s="9" t="str">
        <f>"2170720622 "</f>
        <v xml:space="preserve">2170720622 </v>
      </c>
      <c r="G1079" s="9" t="str">
        <f t="shared" si="32"/>
        <v>ON1</v>
      </c>
      <c r="H1079" s="9" t="s">
        <v>21</v>
      </c>
      <c r="I1079" s="9" t="s">
        <v>60</v>
      </c>
      <c r="J1079" s="9" t="str">
        <f>""</f>
        <v/>
      </c>
      <c r="K1079" s="9" t="str">
        <f>"PFES1162730770_0001"</f>
        <v>PFES1162730770_0001</v>
      </c>
      <c r="L1079" s="9">
        <v>1</v>
      </c>
      <c r="M1079" s="9">
        <v>4</v>
      </c>
    </row>
    <row r="1080" spans="1:13">
      <c r="A1080" s="6">
        <v>43843</v>
      </c>
      <c r="B1080" s="7">
        <v>0.53749999999999998</v>
      </c>
      <c r="C1080" s="9" t="str">
        <f>"FES1162730830"</f>
        <v>FES1162730830</v>
      </c>
      <c r="D1080" s="9" t="s">
        <v>19</v>
      </c>
      <c r="E1080" s="9" t="s">
        <v>450</v>
      </c>
      <c r="F1080" s="9" t="str">
        <f>"2170723425 "</f>
        <v xml:space="preserve">2170723425 </v>
      </c>
      <c r="G1080" s="9" t="str">
        <f t="shared" si="32"/>
        <v>ON1</v>
      </c>
      <c r="H1080" s="9" t="s">
        <v>21</v>
      </c>
      <c r="I1080" s="9" t="s">
        <v>451</v>
      </c>
      <c r="J1080" s="9" t="str">
        <f>""</f>
        <v/>
      </c>
      <c r="K1080" s="9" t="str">
        <f>"PFES1162730830_0001"</f>
        <v>PFES1162730830_0001</v>
      </c>
      <c r="L1080" s="9">
        <v>1</v>
      </c>
      <c r="M1080" s="9">
        <v>2</v>
      </c>
    </row>
    <row r="1081" spans="1:13">
      <c r="A1081" s="6">
        <v>43843</v>
      </c>
      <c r="B1081" s="7">
        <v>0.53680555555555554</v>
      </c>
      <c r="C1081" s="9" t="str">
        <f>"FES1162730787"</f>
        <v>FES1162730787</v>
      </c>
      <c r="D1081" s="9" t="s">
        <v>19</v>
      </c>
      <c r="E1081" s="9" t="s">
        <v>529</v>
      </c>
      <c r="F1081" s="9" t="str">
        <f>"21707223366 "</f>
        <v xml:space="preserve">21707223366 </v>
      </c>
      <c r="G1081" s="9" t="str">
        <f t="shared" si="32"/>
        <v>ON1</v>
      </c>
      <c r="H1081" s="9" t="s">
        <v>21</v>
      </c>
      <c r="I1081" s="9" t="s">
        <v>36</v>
      </c>
      <c r="J1081" s="9" t="str">
        <f>""</f>
        <v/>
      </c>
      <c r="K1081" s="9" t="str">
        <f>"PFES1162730787_0001"</f>
        <v>PFES1162730787_0001</v>
      </c>
      <c r="L1081" s="9">
        <v>1</v>
      </c>
      <c r="M1081" s="9">
        <v>2</v>
      </c>
    </row>
    <row r="1082" spans="1:13">
      <c r="A1082" s="6">
        <v>43843</v>
      </c>
      <c r="B1082" s="7">
        <v>0.53680555555555554</v>
      </c>
      <c r="C1082" s="9" t="str">
        <f>"FES1162730793"</f>
        <v>FES1162730793</v>
      </c>
      <c r="D1082" s="9" t="s">
        <v>19</v>
      </c>
      <c r="E1082" s="9" t="s">
        <v>46</v>
      </c>
      <c r="F1082" s="9" t="str">
        <f>"2170723375 "</f>
        <v xml:space="preserve">2170723375 </v>
      </c>
      <c r="G1082" s="9" t="str">
        <f t="shared" si="32"/>
        <v>ON1</v>
      </c>
      <c r="H1082" s="9" t="s">
        <v>21</v>
      </c>
      <c r="I1082" s="9" t="s">
        <v>47</v>
      </c>
      <c r="J1082" s="9" t="str">
        <f>""</f>
        <v/>
      </c>
      <c r="K1082" s="9" t="str">
        <f>"PFES1162730793_0001"</f>
        <v>PFES1162730793_0001</v>
      </c>
      <c r="L1082" s="9">
        <v>1</v>
      </c>
      <c r="M1082" s="9">
        <v>2</v>
      </c>
    </row>
    <row r="1083" spans="1:13">
      <c r="A1083" s="6">
        <v>43843</v>
      </c>
      <c r="B1083" s="7">
        <v>0.53611111111111109</v>
      </c>
      <c r="C1083" s="9" t="str">
        <f>"FES1162730857"</f>
        <v>FES1162730857</v>
      </c>
      <c r="D1083" s="9" t="s">
        <v>19</v>
      </c>
      <c r="E1083" s="9" t="s">
        <v>631</v>
      </c>
      <c r="F1083" s="9" t="str">
        <f>"2170723448 "</f>
        <v xml:space="preserve">2170723448 </v>
      </c>
      <c r="G1083" s="9" t="str">
        <f t="shared" si="32"/>
        <v>ON1</v>
      </c>
      <c r="H1083" s="9" t="s">
        <v>21</v>
      </c>
      <c r="I1083" s="9" t="s">
        <v>47</v>
      </c>
      <c r="J1083" s="9" t="str">
        <f>""</f>
        <v/>
      </c>
      <c r="K1083" s="9" t="str">
        <f>"PFES1162730857_0001"</f>
        <v>PFES1162730857_0001</v>
      </c>
      <c r="L1083" s="9">
        <v>1</v>
      </c>
      <c r="M1083" s="9">
        <v>1</v>
      </c>
    </row>
    <row r="1084" spans="1:13">
      <c r="A1084" s="6">
        <v>43843</v>
      </c>
      <c r="B1084" s="7">
        <v>0.53611111111111109</v>
      </c>
      <c r="C1084" s="9" t="str">
        <f>"FES1162730890"</f>
        <v>FES1162730890</v>
      </c>
      <c r="D1084" s="9" t="s">
        <v>19</v>
      </c>
      <c r="E1084" s="9" t="s">
        <v>120</v>
      </c>
      <c r="F1084" s="9" t="str">
        <f>"2170723483 "</f>
        <v xml:space="preserve">2170723483 </v>
      </c>
      <c r="G1084" s="9" t="str">
        <f t="shared" si="32"/>
        <v>ON1</v>
      </c>
      <c r="H1084" s="9" t="s">
        <v>21</v>
      </c>
      <c r="I1084" s="9" t="s">
        <v>121</v>
      </c>
      <c r="J1084" s="9" t="str">
        <f>""</f>
        <v/>
      </c>
      <c r="K1084" s="9" t="str">
        <f>"PFES1162730890_0001"</f>
        <v>PFES1162730890_0001</v>
      </c>
      <c r="L1084" s="9">
        <v>1</v>
      </c>
      <c r="M1084" s="9">
        <v>1</v>
      </c>
    </row>
    <row r="1085" spans="1:13">
      <c r="A1085" s="6">
        <v>43843</v>
      </c>
      <c r="B1085" s="7">
        <v>0.53541666666666665</v>
      </c>
      <c r="C1085" s="9" t="str">
        <f>"FES1162730806"</f>
        <v>FES1162730806</v>
      </c>
      <c r="D1085" s="9" t="s">
        <v>19</v>
      </c>
      <c r="E1085" s="9" t="s">
        <v>184</v>
      </c>
      <c r="F1085" s="9" t="str">
        <f>"2170723397 "</f>
        <v xml:space="preserve">2170723397 </v>
      </c>
      <c r="G1085" s="9" t="str">
        <f t="shared" si="32"/>
        <v>ON1</v>
      </c>
      <c r="H1085" s="9" t="s">
        <v>21</v>
      </c>
      <c r="I1085" s="9" t="s">
        <v>49</v>
      </c>
      <c r="J1085" s="9" t="str">
        <f>""</f>
        <v/>
      </c>
      <c r="K1085" s="9" t="str">
        <f>"PFES1162730806_0001"</f>
        <v>PFES1162730806_0001</v>
      </c>
      <c r="L1085" s="9">
        <v>1</v>
      </c>
      <c r="M1085" s="9">
        <v>1</v>
      </c>
    </row>
    <row r="1086" spans="1:13">
      <c r="A1086" s="6">
        <v>43843</v>
      </c>
      <c r="B1086" s="7">
        <v>0.53541666666666665</v>
      </c>
      <c r="C1086" s="9" t="str">
        <f>"FES1162730782"</f>
        <v>FES1162730782</v>
      </c>
      <c r="D1086" s="9" t="s">
        <v>19</v>
      </c>
      <c r="E1086" s="9" t="s">
        <v>419</v>
      </c>
      <c r="F1086" s="9" t="str">
        <f>"2170723049 "</f>
        <v xml:space="preserve">2170723049 </v>
      </c>
      <c r="G1086" s="9" t="str">
        <f t="shared" si="32"/>
        <v>ON1</v>
      </c>
      <c r="H1086" s="9" t="s">
        <v>21</v>
      </c>
      <c r="I1086" s="9" t="s">
        <v>69</v>
      </c>
      <c r="J1086" s="9" t="str">
        <f>""</f>
        <v/>
      </c>
      <c r="K1086" s="9" t="str">
        <f>"PFES1162730782_0001"</f>
        <v>PFES1162730782_0001</v>
      </c>
      <c r="L1086" s="9">
        <v>1</v>
      </c>
      <c r="M1086" s="9">
        <v>1</v>
      </c>
    </row>
    <row r="1087" spans="1:13">
      <c r="A1087" s="6">
        <v>43843</v>
      </c>
      <c r="B1087" s="7">
        <v>0.53472222222222221</v>
      </c>
      <c r="C1087" s="9" t="str">
        <f>"FES1162730783"</f>
        <v>FES1162730783</v>
      </c>
      <c r="D1087" s="9" t="s">
        <v>19</v>
      </c>
      <c r="E1087" s="9" t="s">
        <v>632</v>
      </c>
      <c r="F1087" s="9" t="str">
        <f>"2170723247 "</f>
        <v xml:space="preserve">2170723247 </v>
      </c>
      <c r="G1087" s="9" t="str">
        <f t="shared" si="32"/>
        <v>ON1</v>
      </c>
      <c r="H1087" s="9" t="s">
        <v>21</v>
      </c>
      <c r="I1087" s="9" t="s">
        <v>36</v>
      </c>
      <c r="J1087" s="9" t="str">
        <f>""</f>
        <v/>
      </c>
      <c r="K1087" s="9" t="str">
        <f>"PFES1162730783_0001"</f>
        <v>PFES1162730783_0001</v>
      </c>
      <c r="L1087" s="9">
        <v>1</v>
      </c>
      <c r="M1087" s="9">
        <v>1</v>
      </c>
    </row>
    <row r="1088" spans="1:13">
      <c r="A1088" s="6">
        <v>43843</v>
      </c>
      <c r="B1088" s="7">
        <v>0.52847222222222223</v>
      </c>
      <c r="C1088" s="9" t="str">
        <f>"FES1162730759"</f>
        <v>FES1162730759</v>
      </c>
      <c r="D1088" s="9" t="s">
        <v>19</v>
      </c>
      <c r="E1088" s="9" t="s">
        <v>605</v>
      </c>
      <c r="F1088" s="9" t="str">
        <f>"2170723326 "</f>
        <v xml:space="preserve">2170723326 </v>
      </c>
      <c r="G1088" s="9" t="str">
        <f t="shared" si="32"/>
        <v>ON1</v>
      </c>
      <c r="H1088" s="9" t="s">
        <v>21</v>
      </c>
      <c r="I1088" s="9" t="s">
        <v>85</v>
      </c>
      <c r="J1088" s="9" t="str">
        <f>""</f>
        <v/>
      </c>
      <c r="K1088" s="9" t="str">
        <f>"PFES1162730759_0001"</f>
        <v>PFES1162730759_0001</v>
      </c>
      <c r="L1088" s="9">
        <v>1</v>
      </c>
      <c r="M1088" s="9">
        <v>1</v>
      </c>
    </row>
    <row r="1089" spans="1:13">
      <c r="A1089" s="6">
        <v>43843</v>
      </c>
      <c r="B1089" s="7">
        <v>0.52847222222222223</v>
      </c>
      <c r="C1089" s="9" t="str">
        <f>"FES1162730859"</f>
        <v>FES1162730859</v>
      </c>
      <c r="D1089" s="9" t="s">
        <v>19</v>
      </c>
      <c r="E1089" s="9" t="s">
        <v>25</v>
      </c>
      <c r="F1089" s="9" t="str">
        <f>"2170723451 "</f>
        <v xml:space="preserve">2170723451 </v>
      </c>
      <c r="G1089" s="9" t="str">
        <f t="shared" si="32"/>
        <v>ON1</v>
      </c>
      <c r="H1089" s="9" t="s">
        <v>21</v>
      </c>
      <c r="I1089" s="9" t="s">
        <v>26</v>
      </c>
      <c r="J1089" s="9" t="str">
        <f>""</f>
        <v/>
      </c>
      <c r="K1089" s="9" t="str">
        <f>"PFES1162730859_0001"</f>
        <v>PFES1162730859_0001</v>
      </c>
      <c r="L1089" s="9">
        <v>1</v>
      </c>
      <c r="M1089" s="9">
        <v>1</v>
      </c>
    </row>
    <row r="1090" spans="1:13">
      <c r="A1090" s="6">
        <v>43843</v>
      </c>
      <c r="B1090" s="7">
        <v>0.52847222222222223</v>
      </c>
      <c r="C1090" s="9" t="str">
        <f>"FES1162730773"</f>
        <v>FES1162730773</v>
      </c>
      <c r="D1090" s="9" t="s">
        <v>19</v>
      </c>
      <c r="E1090" s="9" t="s">
        <v>262</v>
      </c>
      <c r="F1090" s="9" t="str">
        <f>"2170722124 "</f>
        <v xml:space="preserve">2170722124 </v>
      </c>
      <c r="G1090" s="9" t="str">
        <f t="shared" si="32"/>
        <v>ON1</v>
      </c>
      <c r="H1090" s="9" t="s">
        <v>21</v>
      </c>
      <c r="I1090" s="9" t="s">
        <v>114</v>
      </c>
      <c r="J1090" s="9" t="str">
        <f>""</f>
        <v/>
      </c>
      <c r="K1090" s="9" t="str">
        <f>"PFES1162730773_0001"</f>
        <v>PFES1162730773_0001</v>
      </c>
      <c r="L1090" s="9">
        <v>1</v>
      </c>
      <c r="M1090" s="9">
        <v>1</v>
      </c>
    </row>
    <row r="1091" spans="1:13">
      <c r="A1091" s="6">
        <v>43843</v>
      </c>
      <c r="B1091" s="7">
        <v>0.52777777777777779</v>
      </c>
      <c r="C1091" s="9" t="str">
        <f>"FES1162730800"</f>
        <v>FES1162730800</v>
      </c>
      <c r="D1091" s="9" t="s">
        <v>19</v>
      </c>
      <c r="E1091" s="9" t="s">
        <v>206</v>
      </c>
      <c r="F1091" s="9" t="str">
        <f>"2170723388 "</f>
        <v xml:space="preserve">2170723388 </v>
      </c>
      <c r="G1091" s="9" t="str">
        <f t="shared" si="32"/>
        <v>ON1</v>
      </c>
      <c r="H1091" s="9" t="s">
        <v>21</v>
      </c>
      <c r="I1091" s="9" t="s">
        <v>207</v>
      </c>
      <c r="J1091" s="9" t="str">
        <f>""</f>
        <v/>
      </c>
      <c r="K1091" s="9" t="str">
        <f>"PFES1162730800_0001"</f>
        <v>PFES1162730800_0001</v>
      </c>
      <c r="L1091" s="9">
        <v>1</v>
      </c>
      <c r="M1091" s="9">
        <v>1</v>
      </c>
    </row>
    <row r="1092" spans="1:13">
      <c r="A1092" s="6">
        <v>43843</v>
      </c>
      <c r="B1092" s="7">
        <v>0.52777777777777779</v>
      </c>
      <c r="C1092" s="9" t="str">
        <f>"FES1162730769"</f>
        <v>FES1162730769</v>
      </c>
      <c r="D1092" s="9" t="s">
        <v>19</v>
      </c>
      <c r="E1092" s="9" t="s">
        <v>262</v>
      </c>
      <c r="F1092" s="9" t="str">
        <f>"2170720528 "</f>
        <v xml:space="preserve">2170720528 </v>
      </c>
      <c r="G1092" s="9" t="str">
        <f t="shared" si="32"/>
        <v>ON1</v>
      </c>
      <c r="H1092" s="9" t="s">
        <v>21</v>
      </c>
      <c r="I1092" s="9" t="s">
        <v>114</v>
      </c>
      <c r="J1092" s="9" t="str">
        <f>""</f>
        <v/>
      </c>
      <c r="K1092" s="9" t="str">
        <f>"PFES1162730769_0001"</f>
        <v>PFES1162730769_0001</v>
      </c>
      <c r="L1092" s="9">
        <v>1</v>
      </c>
      <c r="M1092" s="9">
        <v>1</v>
      </c>
    </row>
    <row r="1093" spans="1:13">
      <c r="A1093" s="6">
        <v>43843</v>
      </c>
      <c r="B1093" s="7">
        <v>0.52708333333333335</v>
      </c>
      <c r="C1093" s="9" t="str">
        <f>"FES1162730821"</f>
        <v>FES1162730821</v>
      </c>
      <c r="D1093" s="9" t="s">
        <v>19</v>
      </c>
      <c r="E1093" s="9" t="s">
        <v>160</v>
      </c>
      <c r="F1093" s="9" t="str">
        <f>"2170723414 "</f>
        <v xml:space="preserve">2170723414 </v>
      </c>
      <c r="G1093" s="9" t="str">
        <f t="shared" si="32"/>
        <v>ON1</v>
      </c>
      <c r="H1093" s="9" t="s">
        <v>21</v>
      </c>
      <c r="I1093" s="9" t="s">
        <v>161</v>
      </c>
      <c r="J1093" s="9" t="str">
        <f>""</f>
        <v/>
      </c>
      <c r="K1093" s="9" t="str">
        <f>"PFES1162730821_0001"</f>
        <v>PFES1162730821_0001</v>
      </c>
      <c r="L1093" s="9">
        <v>1</v>
      </c>
      <c r="M1093" s="9">
        <v>1</v>
      </c>
    </row>
    <row r="1094" spans="1:13">
      <c r="A1094" s="6">
        <v>43843</v>
      </c>
      <c r="B1094" s="7">
        <v>0.52708333333333335</v>
      </c>
      <c r="C1094" s="9" t="str">
        <f>"FES1162730844"</f>
        <v>FES1162730844</v>
      </c>
      <c r="D1094" s="9" t="s">
        <v>19</v>
      </c>
      <c r="E1094" s="9" t="s">
        <v>352</v>
      </c>
      <c r="F1094" s="9" t="str">
        <f>"2170723268 "</f>
        <v xml:space="preserve">2170723268 </v>
      </c>
      <c r="G1094" s="9" t="str">
        <f t="shared" si="32"/>
        <v>ON1</v>
      </c>
      <c r="H1094" s="9" t="s">
        <v>21</v>
      </c>
      <c r="I1094" s="9" t="s">
        <v>114</v>
      </c>
      <c r="J1094" s="9" t="str">
        <f>""</f>
        <v/>
      </c>
      <c r="K1094" s="9" t="str">
        <f>"PFES1162730844_0001"</f>
        <v>PFES1162730844_0001</v>
      </c>
      <c r="L1094" s="9">
        <v>1</v>
      </c>
      <c r="M1094" s="9">
        <v>1</v>
      </c>
    </row>
    <row r="1095" spans="1:13">
      <c r="A1095" s="6">
        <v>43843</v>
      </c>
      <c r="B1095" s="7">
        <v>0.52708333333333335</v>
      </c>
      <c r="C1095" s="9" t="str">
        <f>"FES1162730827"</f>
        <v>FES1162730827</v>
      </c>
      <c r="D1095" s="9" t="s">
        <v>19</v>
      </c>
      <c r="E1095" s="9" t="s">
        <v>633</v>
      </c>
      <c r="F1095" s="9" t="str">
        <f>"2170723422 "</f>
        <v xml:space="preserve">2170723422 </v>
      </c>
      <c r="G1095" s="9" t="str">
        <f t="shared" ref="G1095:G1157" si="33">"ON1"</f>
        <v>ON1</v>
      </c>
      <c r="H1095" s="9" t="s">
        <v>21</v>
      </c>
      <c r="I1095" s="9" t="s">
        <v>139</v>
      </c>
      <c r="J1095" s="9" t="str">
        <f>""</f>
        <v/>
      </c>
      <c r="K1095" s="9" t="str">
        <f>"PFES1162730827_0001"</f>
        <v>PFES1162730827_0001</v>
      </c>
      <c r="L1095" s="9">
        <v>1</v>
      </c>
      <c r="M1095" s="9">
        <v>1</v>
      </c>
    </row>
    <row r="1096" spans="1:13">
      <c r="A1096" s="6">
        <v>43843</v>
      </c>
      <c r="B1096" s="7">
        <v>0.52638888888888891</v>
      </c>
      <c r="C1096" s="9" t="str">
        <f>"FES1162730853"</f>
        <v>FES1162730853</v>
      </c>
      <c r="D1096" s="9" t="s">
        <v>19</v>
      </c>
      <c r="E1096" s="9" t="s">
        <v>258</v>
      </c>
      <c r="F1096" s="9" t="str">
        <f>"2170723443 "</f>
        <v xml:space="preserve">2170723443 </v>
      </c>
      <c r="G1096" s="9" t="str">
        <f t="shared" si="33"/>
        <v>ON1</v>
      </c>
      <c r="H1096" s="9" t="s">
        <v>21</v>
      </c>
      <c r="I1096" s="9" t="s">
        <v>45</v>
      </c>
      <c r="J1096" s="9" t="str">
        <f>""</f>
        <v/>
      </c>
      <c r="K1096" s="9" t="str">
        <f>"PFES1162730853_0001"</f>
        <v>PFES1162730853_0001</v>
      </c>
      <c r="L1096" s="9">
        <v>1</v>
      </c>
      <c r="M1096" s="9">
        <v>1</v>
      </c>
    </row>
    <row r="1097" spans="1:13">
      <c r="A1097" s="6">
        <v>43843</v>
      </c>
      <c r="B1097" s="7">
        <v>0.52638888888888891</v>
      </c>
      <c r="C1097" s="9" t="str">
        <f>"FES1162730808"</f>
        <v>FES1162730808</v>
      </c>
      <c r="D1097" s="9" t="s">
        <v>19</v>
      </c>
      <c r="E1097" s="9" t="s">
        <v>216</v>
      </c>
      <c r="F1097" s="9" t="str">
        <f>"2170723399 "</f>
        <v xml:space="preserve">2170723399 </v>
      </c>
      <c r="G1097" s="9" t="str">
        <f t="shared" si="33"/>
        <v>ON1</v>
      </c>
      <c r="H1097" s="9" t="s">
        <v>21</v>
      </c>
      <c r="I1097" s="9" t="s">
        <v>217</v>
      </c>
      <c r="J1097" s="9" t="str">
        <f>""</f>
        <v/>
      </c>
      <c r="K1097" s="9" t="str">
        <f>"PFES1162730808_0001"</f>
        <v>PFES1162730808_0001</v>
      </c>
      <c r="L1097" s="9">
        <v>1</v>
      </c>
      <c r="M1097" s="9">
        <v>3</v>
      </c>
    </row>
    <row r="1098" spans="1:13">
      <c r="A1098" s="6">
        <v>43843</v>
      </c>
      <c r="B1098" s="7">
        <v>0.52569444444444446</v>
      </c>
      <c r="C1098" s="9" t="str">
        <f>"FES1162730867"</f>
        <v>FES1162730867</v>
      </c>
      <c r="D1098" s="9" t="s">
        <v>19</v>
      </c>
      <c r="E1098" s="9" t="s">
        <v>128</v>
      </c>
      <c r="F1098" s="9" t="str">
        <f>"2170723460 "</f>
        <v xml:space="preserve">2170723460 </v>
      </c>
      <c r="G1098" s="9" t="str">
        <f t="shared" si="33"/>
        <v>ON1</v>
      </c>
      <c r="H1098" s="9" t="s">
        <v>21</v>
      </c>
      <c r="I1098" s="9" t="s">
        <v>129</v>
      </c>
      <c r="J1098" s="9" t="str">
        <f>""</f>
        <v/>
      </c>
      <c r="K1098" s="9" t="str">
        <f>"PFES1162730867_0001"</f>
        <v>PFES1162730867_0001</v>
      </c>
      <c r="L1098" s="9">
        <v>1</v>
      </c>
      <c r="M1098" s="9">
        <v>4</v>
      </c>
    </row>
    <row r="1099" spans="1:13">
      <c r="A1099" s="6">
        <v>43843</v>
      </c>
      <c r="B1099" s="7">
        <v>0.52500000000000002</v>
      </c>
      <c r="C1099" s="9" t="str">
        <f>"FES1162730786"</f>
        <v>FES1162730786</v>
      </c>
      <c r="D1099" s="9" t="s">
        <v>19</v>
      </c>
      <c r="E1099" s="9" t="s">
        <v>46</v>
      </c>
      <c r="F1099" s="9" t="str">
        <f>"2170723365 "</f>
        <v xml:space="preserve">2170723365 </v>
      </c>
      <c r="G1099" s="9" t="str">
        <f t="shared" si="33"/>
        <v>ON1</v>
      </c>
      <c r="H1099" s="9" t="s">
        <v>21</v>
      </c>
      <c r="I1099" s="9" t="s">
        <v>47</v>
      </c>
      <c r="J1099" s="9" t="str">
        <f>""</f>
        <v/>
      </c>
      <c r="K1099" s="9" t="str">
        <f>"PFES1162730786_0001"</f>
        <v>PFES1162730786_0001</v>
      </c>
      <c r="L1099" s="9">
        <v>1</v>
      </c>
      <c r="M1099" s="9">
        <v>5</v>
      </c>
    </row>
    <row r="1100" spans="1:13">
      <c r="A1100" s="6">
        <v>43844</v>
      </c>
      <c r="B1100" s="7">
        <v>0.68541666666666667</v>
      </c>
      <c r="C1100" s="10" t="str">
        <f>"FES1162731194"</f>
        <v>FES1162731194</v>
      </c>
      <c r="D1100" s="10" t="s">
        <v>19</v>
      </c>
      <c r="E1100" s="10" t="s">
        <v>101</v>
      </c>
      <c r="F1100" s="10" t="str">
        <f>"2170723802 "</f>
        <v xml:space="preserve">2170723802 </v>
      </c>
      <c r="G1100" s="10" t="str">
        <f t="shared" si="33"/>
        <v>ON1</v>
      </c>
      <c r="H1100" s="10" t="s">
        <v>21</v>
      </c>
      <c r="I1100" s="10" t="s">
        <v>102</v>
      </c>
      <c r="J1100" s="10" t="str">
        <f>""</f>
        <v/>
      </c>
      <c r="K1100" s="10" t="str">
        <f>"PFES1162731194_0001"</f>
        <v>PFES1162731194_0001</v>
      </c>
      <c r="L1100" s="10">
        <v>1</v>
      </c>
      <c r="M1100" s="10">
        <v>2</v>
      </c>
    </row>
    <row r="1101" spans="1:13">
      <c r="A1101" s="6">
        <v>43844</v>
      </c>
      <c r="B1101" s="7">
        <v>0.68402777777777779</v>
      </c>
      <c r="C1101" s="10" t="str">
        <f>"FES1162731100"</f>
        <v>FES1162731100</v>
      </c>
      <c r="D1101" s="10" t="s">
        <v>19</v>
      </c>
      <c r="E1101" s="10" t="s">
        <v>298</v>
      </c>
      <c r="F1101" s="10" t="str">
        <f>"2170723700 "</f>
        <v xml:space="preserve">2170723700 </v>
      </c>
      <c r="G1101" s="10" t="str">
        <f t="shared" si="33"/>
        <v>ON1</v>
      </c>
      <c r="H1101" s="10" t="s">
        <v>21</v>
      </c>
      <c r="I1101" s="10" t="s">
        <v>299</v>
      </c>
      <c r="J1101" s="10" t="str">
        <f>""</f>
        <v/>
      </c>
      <c r="K1101" s="10" t="str">
        <f>"PFES1162731100_0001"</f>
        <v>PFES1162731100_0001</v>
      </c>
      <c r="L1101" s="10">
        <v>1</v>
      </c>
      <c r="M1101" s="10">
        <v>5</v>
      </c>
    </row>
    <row r="1102" spans="1:13">
      <c r="A1102" s="6">
        <v>43844</v>
      </c>
      <c r="B1102" s="7">
        <v>0.68333333333333324</v>
      </c>
      <c r="C1102" s="10" t="str">
        <f>"FES1162731186"</f>
        <v>FES1162731186</v>
      </c>
      <c r="D1102" s="10" t="s">
        <v>19</v>
      </c>
      <c r="E1102" s="10" t="s">
        <v>147</v>
      </c>
      <c r="F1102" s="10" t="str">
        <f>"21707226303 "</f>
        <v xml:space="preserve">21707226303 </v>
      </c>
      <c r="G1102" s="10" t="str">
        <f t="shared" si="33"/>
        <v>ON1</v>
      </c>
      <c r="H1102" s="10" t="s">
        <v>21</v>
      </c>
      <c r="I1102" s="10" t="s">
        <v>148</v>
      </c>
      <c r="J1102" s="10" t="str">
        <f>""</f>
        <v/>
      </c>
      <c r="K1102" s="10" t="str">
        <f>"PFES1162731186_0001"</f>
        <v>PFES1162731186_0001</v>
      </c>
      <c r="L1102" s="10">
        <v>1</v>
      </c>
      <c r="M1102" s="10">
        <v>11</v>
      </c>
    </row>
    <row r="1103" spans="1:13">
      <c r="A1103" s="6">
        <v>43844</v>
      </c>
      <c r="B1103" s="7">
        <v>0.68263888888888891</v>
      </c>
      <c r="C1103" s="10" t="str">
        <f>"FES1162731197"</f>
        <v>FES1162731197</v>
      </c>
      <c r="D1103" s="10" t="s">
        <v>19</v>
      </c>
      <c r="E1103" s="10" t="s">
        <v>606</v>
      </c>
      <c r="F1103" s="10" t="str">
        <f>"2170723809 "</f>
        <v xml:space="preserve">2170723809 </v>
      </c>
      <c r="G1103" s="10" t="str">
        <f t="shared" si="33"/>
        <v>ON1</v>
      </c>
      <c r="H1103" s="10" t="s">
        <v>21</v>
      </c>
      <c r="I1103" s="10" t="s">
        <v>235</v>
      </c>
      <c r="J1103" s="10" t="str">
        <f>""</f>
        <v/>
      </c>
      <c r="K1103" s="10" t="str">
        <f>"PFES1162731197_0001"</f>
        <v>PFES1162731197_0001</v>
      </c>
      <c r="L1103" s="10">
        <v>1</v>
      </c>
      <c r="M1103" s="10">
        <v>2</v>
      </c>
    </row>
    <row r="1104" spans="1:13">
      <c r="A1104" s="6">
        <v>43844</v>
      </c>
      <c r="B1104" s="7">
        <v>0.68125000000000002</v>
      </c>
      <c r="C1104" s="10" t="str">
        <f>"FES1162731187"</f>
        <v>FES1162731187</v>
      </c>
      <c r="D1104" s="10" t="s">
        <v>19</v>
      </c>
      <c r="E1104" s="10" t="s">
        <v>136</v>
      </c>
      <c r="F1104" s="10" t="str">
        <f>"2170723795 "</f>
        <v xml:space="preserve">2170723795 </v>
      </c>
      <c r="G1104" s="10" t="str">
        <f t="shared" si="33"/>
        <v>ON1</v>
      </c>
      <c r="H1104" s="10" t="s">
        <v>21</v>
      </c>
      <c r="I1104" s="10" t="s">
        <v>137</v>
      </c>
      <c r="J1104" s="10" t="str">
        <f>""</f>
        <v/>
      </c>
      <c r="K1104" s="10" t="str">
        <f>"PFES1162731187_0001"</f>
        <v>PFES1162731187_0001</v>
      </c>
      <c r="L1104" s="10">
        <v>1</v>
      </c>
      <c r="M1104" s="10">
        <v>1</v>
      </c>
    </row>
    <row r="1105" spans="1:13">
      <c r="A1105" s="6">
        <v>43844</v>
      </c>
      <c r="B1105" s="7">
        <v>0.68055555555555547</v>
      </c>
      <c r="C1105" s="10" t="str">
        <f>"FES1162731196"</f>
        <v>FES1162731196</v>
      </c>
      <c r="D1105" s="10" t="s">
        <v>19</v>
      </c>
      <c r="E1105" s="10" t="s">
        <v>634</v>
      </c>
      <c r="F1105" s="10" t="str">
        <f>"2170723804 "</f>
        <v xml:space="preserve">2170723804 </v>
      </c>
      <c r="G1105" s="10" t="str">
        <f t="shared" si="33"/>
        <v>ON1</v>
      </c>
      <c r="H1105" s="10" t="s">
        <v>21</v>
      </c>
      <c r="I1105" s="10" t="s">
        <v>515</v>
      </c>
      <c r="J1105" s="10" t="str">
        <f>""</f>
        <v/>
      </c>
      <c r="K1105" s="10" t="str">
        <f>"PFES1162731196_0001"</f>
        <v>PFES1162731196_0001</v>
      </c>
      <c r="L1105" s="10">
        <v>1</v>
      </c>
      <c r="M1105" s="10">
        <v>1</v>
      </c>
    </row>
    <row r="1106" spans="1:13">
      <c r="A1106" s="6">
        <v>43844</v>
      </c>
      <c r="B1106" s="7">
        <v>0.67986111111111114</v>
      </c>
      <c r="C1106" s="10" t="str">
        <f>"FES1162731183"</f>
        <v>FES1162731183</v>
      </c>
      <c r="D1106" s="10" t="s">
        <v>19</v>
      </c>
      <c r="E1106" s="10" t="s">
        <v>259</v>
      </c>
      <c r="F1106" s="10" t="str">
        <f>"2170723791 "</f>
        <v xml:space="preserve">2170723791 </v>
      </c>
      <c r="G1106" s="10" t="str">
        <f t="shared" si="33"/>
        <v>ON1</v>
      </c>
      <c r="H1106" s="10" t="s">
        <v>21</v>
      </c>
      <c r="I1106" s="10" t="s">
        <v>260</v>
      </c>
      <c r="J1106" s="10" t="str">
        <f>""</f>
        <v/>
      </c>
      <c r="K1106" s="10" t="str">
        <f>"PFES1162731183_0001"</f>
        <v>PFES1162731183_0001</v>
      </c>
      <c r="L1106" s="10">
        <v>1</v>
      </c>
      <c r="M1106" s="10">
        <v>1</v>
      </c>
    </row>
    <row r="1107" spans="1:13">
      <c r="A1107" s="6">
        <v>43844</v>
      </c>
      <c r="B1107" s="7">
        <v>0.67986111111111114</v>
      </c>
      <c r="C1107" s="10" t="str">
        <f>"FES1162731039"</f>
        <v>FES1162731039</v>
      </c>
      <c r="D1107" s="10" t="s">
        <v>19</v>
      </c>
      <c r="E1107" s="10" t="s">
        <v>229</v>
      </c>
      <c r="F1107" s="10" t="str">
        <f>"2170723637 "</f>
        <v xml:space="preserve">2170723637 </v>
      </c>
      <c r="G1107" s="10" t="str">
        <f t="shared" si="33"/>
        <v>ON1</v>
      </c>
      <c r="H1107" s="10" t="s">
        <v>21</v>
      </c>
      <c r="I1107" s="10" t="s">
        <v>230</v>
      </c>
      <c r="J1107" s="10" t="str">
        <f>""</f>
        <v/>
      </c>
      <c r="K1107" s="10" t="str">
        <f>"PFES1162731039_0001"</f>
        <v>PFES1162731039_0001</v>
      </c>
      <c r="L1107" s="10">
        <v>1</v>
      </c>
      <c r="M1107" s="10">
        <v>1</v>
      </c>
    </row>
    <row r="1108" spans="1:13">
      <c r="A1108" s="6">
        <v>43844</v>
      </c>
      <c r="B1108" s="7">
        <v>0.67986111111111114</v>
      </c>
      <c r="C1108" s="10" t="str">
        <f>"FES1162731159"</f>
        <v>FES1162731159</v>
      </c>
      <c r="D1108" s="10" t="s">
        <v>19</v>
      </c>
      <c r="E1108" s="10" t="s">
        <v>635</v>
      </c>
      <c r="F1108" s="10" t="str">
        <f>"2170723772 "</f>
        <v xml:space="preserve">2170723772 </v>
      </c>
      <c r="G1108" s="10" t="str">
        <f t="shared" si="33"/>
        <v>ON1</v>
      </c>
      <c r="H1108" s="10" t="s">
        <v>21</v>
      </c>
      <c r="I1108" s="10" t="s">
        <v>28</v>
      </c>
      <c r="J1108" s="10" t="str">
        <f>""</f>
        <v/>
      </c>
      <c r="K1108" s="10" t="str">
        <f>"PFES1162731159_0001"</f>
        <v>PFES1162731159_0001</v>
      </c>
      <c r="L1108" s="10">
        <v>1</v>
      </c>
      <c r="M1108" s="10">
        <v>1</v>
      </c>
    </row>
    <row r="1109" spans="1:13">
      <c r="A1109" s="6">
        <v>43844</v>
      </c>
      <c r="B1109" s="7">
        <v>0.6791666666666667</v>
      </c>
      <c r="C1109" s="10" t="str">
        <f>"FES1162731048"</f>
        <v>FES1162731048</v>
      </c>
      <c r="D1109" s="10" t="s">
        <v>19</v>
      </c>
      <c r="E1109" s="10" t="s">
        <v>443</v>
      </c>
      <c r="F1109" s="10" t="str">
        <f>"2170723628 "</f>
        <v xml:space="preserve">2170723628 </v>
      </c>
      <c r="G1109" s="10" t="str">
        <f t="shared" si="33"/>
        <v>ON1</v>
      </c>
      <c r="H1109" s="10" t="s">
        <v>21</v>
      </c>
      <c r="I1109" s="10" t="s">
        <v>444</v>
      </c>
      <c r="J1109" s="10" t="str">
        <f>""</f>
        <v/>
      </c>
      <c r="K1109" s="10" t="str">
        <f>"PFES1162731048_0001"</f>
        <v>PFES1162731048_0001</v>
      </c>
      <c r="L1109" s="10">
        <v>1</v>
      </c>
      <c r="M1109" s="10">
        <v>1</v>
      </c>
    </row>
    <row r="1110" spans="1:13">
      <c r="A1110" s="6">
        <v>43844</v>
      </c>
      <c r="B1110" s="7">
        <v>0.6791666666666667</v>
      </c>
      <c r="C1110" s="10" t="str">
        <f>"FES1162731163"</f>
        <v>FES1162731163</v>
      </c>
      <c r="D1110" s="10" t="s">
        <v>19</v>
      </c>
      <c r="E1110" s="10" t="s">
        <v>395</v>
      </c>
      <c r="F1110" s="10" t="str">
        <f>"2170723777 "</f>
        <v xml:space="preserve">2170723777 </v>
      </c>
      <c r="G1110" s="10" t="str">
        <f t="shared" si="33"/>
        <v>ON1</v>
      </c>
      <c r="H1110" s="10" t="s">
        <v>21</v>
      </c>
      <c r="I1110" s="10" t="s">
        <v>396</v>
      </c>
      <c r="J1110" s="10" t="str">
        <f>""</f>
        <v/>
      </c>
      <c r="K1110" s="10" t="str">
        <f>"PFES1162731163_0001"</f>
        <v>PFES1162731163_0001</v>
      </c>
      <c r="L1110" s="10">
        <v>1</v>
      </c>
      <c r="M1110" s="10">
        <v>1</v>
      </c>
    </row>
    <row r="1111" spans="1:13">
      <c r="A1111" s="6">
        <v>43844</v>
      </c>
      <c r="B1111" s="7">
        <v>0.6791666666666667</v>
      </c>
      <c r="C1111" s="10" t="str">
        <f>"FES1162731084"</f>
        <v>FES1162731084</v>
      </c>
      <c r="D1111" s="10" t="s">
        <v>19</v>
      </c>
      <c r="E1111" s="10" t="s">
        <v>222</v>
      </c>
      <c r="F1111" s="10" t="str">
        <f>"2170723681 "</f>
        <v xml:space="preserve">2170723681 </v>
      </c>
      <c r="G1111" s="10" t="str">
        <f t="shared" si="33"/>
        <v>ON1</v>
      </c>
      <c r="H1111" s="10" t="s">
        <v>21</v>
      </c>
      <c r="I1111" s="10" t="s">
        <v>28</v>
      </c>
      <c r="J1111" s="10" t="str">
        <f>""</f>
        <v/>
      </c>
      <c r="K1111" s="10" t="str">
        <f>"PFES1162731084_0001"</f>
        <v>PFES1162731084_0001</v>
      </c>
      <c r="L1111" s="10">
        <v>1</v>
      </c>
      <c r="M1111" s="10">
        <v>1</v>
      </c>
    </row>
    <row r="1112" spans="1:13">
      <c r="A1112" s="6">
        <v>43844</v>
      </c>
      <c r="B1112" s="7">
        <v>0.6791666666666667</v>
      </c>
      <c r="C1112" s="10" t="str">
        <f>"FES1162731180"</f>
        <v>FES1162731180</v>
      </c>
      <c r="D1112" s="10" t="s">
        <v>19</v>
      </c>
      <c r="E1112" s="10" t="s">
        <v>352</v>
      </c>
      <c r="F1112" s="10" t="str">
        <f>"2170722906 "</f>
        <v xml:space="preserve">2170722906 </v>
      </c>
      <c r="G1112" s="10" t="str">
        <f t="shared" si="33"/>
        <v>ON1</v>
      </c>
      <c r="H1112" s="10" t="s">
        <v>21</v>
      </c>
      <c r="I1112" s="10" t="s">
        <v>114</v>
      </c>
      <c r="J1112" s="10" t="str">
        <f>""</f>
        <v/>
      </c>
      <c r="K1112" s="10" t="str">
        <f>"PFES1162731180_0001"</f>
        <v>PFES1162731180_0001</v>
      </c>
      <c r="L1112" s="10">
        <v>1</v>
      </c>
      <c r="M1112" s="10">
        <v>8</v>
      </c>
    </row>
    <row r="1113" spans="1:13">
      <c r="A1113" s="6">
        <v>43844</v>
      </c>
      <c r="B1113" s="7">
        <v>0.67847222222222225</v>
      </c>
      <c r="C1113" s="10" t="str">
        <f>"FES1162731086"</f>
        <v>FES1162731086</v>
      </c>
      <c r="D1113" s="10" t="s">
        <v>19</v>
      </c>
      <c r="E1113" s="10" t="s">
        <v>118</v>
      </c>
      <c r="F1113" s="10" t="str">
        <f>"2170723638 "</f>
        <v xml:space="preserve">2170723638 </v>
      </c>
      <c r="G1113" s="10" t="str">
        <f t="shared" si="33"/>
        <v>ON1</v>
      </c>
      <c r="H1113" s="10" t="s">
        <v>21</v>
      </c>
      <c r="I1113" s="10" t="s">
        <v>119</v>
      </c>
      <c r="J1113" s="10" t="str">
        <f>""</f>
        <v/>
      </c>
      <c r="K1113" s="10" t="str">
        <f>"PFES1162731086_0001"</f>
        <v>PFES1162731086_0001</v>
      </c>
      <c r="L1113" s="10">
        <v>1</v>
      </c>
      <c r="M1113" s="10">
        <v>2</v>
      </c>
    </row>
    <row r="1114" spans="1:13">
      <c r="A1114" s="6">
        <v>43844</v>
      </c>
      <c r="B1114" s="7">
        <v>0.67847222222222225</v>
      </c>
      <c r="C1114" s="10" t="str">
        <f>"FES1162731188"</f>
        <v>FES1162731188</v>
      </c>
      <c r="D1114" s="10" t="s">
        <v>19</v>
      </c>
      <c r="E1114" s="10" t="s">
        <v>352</v>
      </c>
      <c r="F1114" s="10" t="str">
        <f>"2170723796 "</f>
        <v xml:space="preserve">2170723796 </v>
      </c>
      <c r="G1114" s="10" t="str">
        <f t="shared" si="33"/>
        <v>ON1</v>
      </c>
      <c r="H1114" s="10" t="s">
        <v>21</v>
      </c>
      <c r="I1114" s="10" t="s">
        <v>114</v>
      </c>
      <c r="J1114" s="10" t="str">
        <f>""</f>
        <v/>
      </c>
      <c r="K1114" s="10" t="str">
        <f>"PFES1162731188_0001"</f>
        <v>PFES1162731188_0001</v>
      </c>
      <c r="L1114" s="10">
        <v>1</v>
      </c>
      <c r="M1114" s="10">
        <v>1</v>
      </c>
    </row>
    <row r="1115" spans="1:13">
      <c r="A1115" s="6">
        <v>43844</v>
      </c>
      <c r="B1115" s="7">
        <v>0.67847222222222225</v>
      </c>
      <c r="C1115" s="10" t="str">
        <f>"FES1162731153"</f>
        <v>FES1162731153</v>
      </c>
      <c r="D1115" s="10" t="s">
        <v>19</v>
      </c>
      <c r="E1115" s="10" t="s">
        <v>636</v>
      </c>
      <c r="F1115" s="10" t="str">
        <f>"2170723762 "</f>
        <v xml:space="preserve">2170723762 </v>
      </c>
      <c r="G1115" s="10" t="str">
        <f t="shared" si="33"/>
        <v>ON1</v>
      </c>
      <c r="H1115" s="10" t="s">
        <v>21</v>
      </c>
      <c r="I1115" s="10" t="s">
        <v>165</v>
      </c>
      <c r="J1115" s="10" t="str">
        <f>""</f>
        <v/>
      </c>
      <c r="K1115" s="10" t="str">
        <f>"PFES1162731153_0001"</f>
        <v>PFES1162731153_0001</v>
      </c>
      <c r="L1115" s="10">
        <v>1</v>
      </c>
      <c r="M1115" s="10">
        <v>6</v>
      </c>
    </row>
    <row r="1116" spans="1:13">
      <c r="A1116" s="6">
        <v>43844</v>
      </c>
      <c r="B1116" s="7">
        <v>0.6777777777777777</v>
      </c>
      <c r="C1116" s="10" t="str">
        <f>"FES1162731179"</f>
        <v>FES1162731179</v>
      </c>
      <c r="D1116" s="10" t="s">
        <v>19</v>
      </c>
      <c r="E1116" s="10" t="s">
        <v>637</v>
      </c>
      <c r="F1116" s="10" t="str">
        <f>"2170722540 "</f>
        <v xml:space="preserve">2170722540 </v>
      </c>
      <c r="G1116" s="10" t="str">
        <f t="shared" si="33"/>
        <v>ON1</v>
      </c>
      <c r="H1116" s="10" t="s">
        <v>21</v>
      </c>
      <c r="I1116" s="10" t="s">
        <v>638</v>
      </c>
      <c r="J1116" s="10" t="str">
        <f>""</f>
        <v/>
      </c>
      <c r="K1116" s="10" t="str">
        <f>"PFES1162731179_0001"</f>
        <v>PFES1162731179_0001</v>
      </c>
      <c r="L1116" s="10">
        <v>1</v>
      </c>
      <c r="M1116" s="10">
        <v>1</v>
      </c>
    </row>
    <row r="1117" spans="1:13">
      <c r="A1117" s="6">
        <v>43844</v>
      </c>
      <c r="B1117" s="7">
        <v>0.6777777777777777</v>
      </c>
      <c r="C1117" s="10" t="str">
        <f>"FES1162731113"</f>
        <v>FES1162731113</v>
      </c>
      <c r="D1117" s="10" t="s">
        <v>19</v>
      </c>
      <c r="E1117" s="10" t="s">
        <v>302</v>
      </c>
      <c r="F1117" s="10" t="str">
        <f>"2170723712 "</f>
        <v xml:space="preserve">2170723712 </v>
      </c>
      <c r="G1117" s="10" t="str">
        <f t="shared" si="33"/>
        <v>ON1</v>
      </c>
      <c r="H1117" s="10" t="s">
        <v>21</v>
      </c>
      <c r="I1117" s="10" t="s">
        <v>303</v>
      </c>
      <c r="J1117" s="10" t="str">
        <f>""</f>
        <v/>
      </c>
      <c r="K1117" s="10" t="str">
        <f>"PFES1162731113_0001"</f>
        <v>PFES1162731113_0001</v>
      </c>
      <c r="L1117" s="10">
        <v>1</v>
      </c>
      <c r="M1117" s="10">
        <v>7</v>
      </c>
    </row>
    <row r="1118" spans="1:13">
      <c r="A1118" s="6">
        <v>43844</v>
      </c>
      <c r="B1118" s="7">
        <v>0.6777777777777777</v>
      </c>
      <c r="C1118" s="10" t="str">
        <f>"FES1162731171"</f>
        <v>FES1162731171</v>
      </c>
      <c r="D1118" s="10" t="s">
        <v>19</v>
      </c>
      <c r="E1118" s="10" t="s">
        <v>142</v>
      </c>
      <c r="F1118" s="10" t="str">
        <f>"2170723782 "</f>
        <v xml:space="preserve">2170723782 </v>
      </c>
      <c r="G1118" s="10" t="str">
        <f t="shared" si="33"/>
        <v>ON1</v>
      </c>
      <c r="H1118" s="10" t="s">
        <v>21</v>
      </c>
      <c r="I1118" s="10" t="s">
        <v>123</v>
      </c>
      <c r="J1118" s="10" t="str">
        <f>""</f>
        <v/>
      </c>
      <c r="K1118" s="10" t="str">
        <f>"PFES1162731171_0001"</f>
        <v>PFES1162731171_0001</v>
      </c>
      <c r="L1118" s="10">
        <v>1</v>
      </c>
      <c r="M1118" s="10">
        <v>1</v>
      </c>
    </row>
    <row r="1119" spans="1:13">
      <c r="A1119" s="6">
        <v>43844</v>
      </c>
      <c r="B1119" s="7">
        <v>0.67708333333333337</v>
      </c>
      <c r="C1119" s="10" t="str">
        <f>"FES1162731190"</f>
        <v>FES1162731190</v>
      </c>
      <c r="D1119" s="10" t="s">
        <v>19</v>
      </c>
      <c r="E1119" s="10" t="s">
        <v>190</v>
      </c>
      <c r="F1119" s="10" t="str">
        <f>"2170723798 "</f>
        <v xml:space="preserve">2170723798 </v>
      </c>
      <c r="G1119" s="10" t="str">
        <f t="shared" si="33"/>
        <v>ON1</v>
      </c>
      <c r="H1119" s="10" t="s">
        <v>21</v>
      </c>
      <c r="I1119" s="10" t="s">
        <v>191</v>
      </c>
      <c r="J1119" s="10" t="str">
        <f>""</f>
        <v/>
      </c>
      <c r="K1119" s="10" t="str">
        <f>"PFES1162731190_0001"</f>
        <v>PFES1162731190_0001</v>
      </c>
      <c r="L1119" s="10">
        <v>1</v>
      </c>
      <c r="M1119" s="10">
        <v>1</v>
      </c>
    </row>
    <row r="1120" spans="1:13">
      <c r="A1120" s="6">
        <v>43844</v>
      </c>
      <c r="B1120" s="7">
        <v>0.67638888888888893</v>
      </c>
      <c r="C1120" s="10" t="str">
        <f>"FES1162731160"</f>
        <v>FES1162731160</v>
      </c>
      <c r="D1120" s="10" t="s">
        <v>19</v>
      </c>
      <c r="E1120" s="10" t="s">
        <v>134</v>
      </c>
      <c r="F1120" s="10" t="str">
        <f>"2170723774 "</f>
        <v xml:space="preserve">2170723774 </v>
      </c>
      <c r="G1120" s="10" t="str">
        <f t="shared" si="33"/>
        <v>ON1</v>
      </c>
      <c r="H1120" s="10" t="s">
        <v>21</v>
      </c>
      <c r="I1120" s="10" t="s">
        <v>135</v>
      </c>
      <c r="J1120" s="10" t="str">
        <f>""</f>
        <v/>
      </c>
      <c r="K1120" s="10" t="str">
        <f>"PFES1162731160_0001"</f>
        <v>PFES1162731160_0001</v>
      </c>
      <c r="L1120" s="10">
        <v>1</v>
      </c>
      <c r="M1120" s="10">
        <v>1</v>
      </c>
    </row>
    <row r="1121" spans="1:13">
      <c r="A1121" s="6">
        <v>43844</v>
      </c>
      <c r="B1121" s="7">
        <v>0.67569444444444438</v>
      </c>
      <c r="C1121" s="10" t="str">
        <f>"FES1162731165"</f>
        <v>FES1162731165</v>
      </c>
      <c r="D1121" s="10" t="s">
        <v>19</v>
      </c>
      <c r="E1121" s="10" t="s">
        <v>262</v>
      </c>
      <c r="F1121" s="10" t="str">
        <f>"2170723779 "</f>
        <v xml:space="preserve">2170723779 </v>
      </c>
      <c r="G1121" s="10" t="str">
        <f t="shared" si="33"/>
        <v>ON1</v>
      </c>
      <c r="H1121" s="10" t="s">
        <v>21</v>
      </c>
      <c r="I1121" s="10" t="s">
        <v>114</v>
      </c>
      <c r="J1121" s="10" t="str">
        <f>""</f>
        <v/>
      </c>
      <c r="K1121" s="10" t="str">
        <f>"PFES1162731165_0001"</f>
        <v>PFES1162731165_0001</v>
      </c>
      <c r="L1121" s="10">
        <v>1</v>
      </c>
      <c r="M1121" s="10">
        <v>2</v>
      </c>
    </row>
    <row r="1122" spans="1:13">
      <c r="A1122" s="6">
        <v>43844</v>
      </c>
      <c r="B1122" s="7">
        <v>0.67569444444444438</v>
      </c>
      <c r="C1122" s="10" t="str">
        <f>"FES1162731185"</f>
        <v>FES1162731185</v>
      </c>
      <c r="D1122" s="10" t="s">
        <v>19</v>
      </c>
      <c r="E1122" s="10" t="s">
        <v>252</v>
      </c>
      <c r="F1122" s="10" t="str">
        <f>"2170723793 "</f>
        <v xml:space="preserve">2170723793 </v>
      </c>
      <c r="G1122" s="10" t="str">
        <f t="shared" si="33"/>
        <v>ON1</v>
      </c>
      <c r="H1122" s="10" t="s">
        <v>21</v>
      </c>
      <c r="I1122" s="10" t="s">
        <v>253</v>
      </c>
      <c r="J1122" s="10" t="str">
        <f>""</f>
        <v/>
      </c>
      <c r="K1122" s="10" t="str">
        <f>"PFES1162731185_0001"</f>
        <v>PFES1162731185_0001</v>
      </c>
      <c r="L1122" s="10">
        <v>1</v>
      </c>
      <c r="M1122" s="10">
        <v>1</v>
      </c>
    </row>
    <row r="1123" spans="1:13">
      <c r="A1123" s="6">
        <v>43844</v>
      </c>
      <c r="B1123" s="7">
        <v>0.67499999999999993</v>
      </c>
      <c r="C1123" s="10" t="str">
        <f>"FES1162731161"</f>
        <v>FES1162731161</v>
      </c>
      <c r="D1123" s="10" t="s">
        <v>19</v>
      </c>
      <c r="E1123" s="10" t="s">
        <v>639</v>
      </c>
      <c r="F1123" s="10" t="str">
        <f>"2170723775 "</f>
        <v xml:space="preserve">2170723775 </v>
      </c>
      <c r="G1123" s="10" t="str">
        <f t="shared" si="33"/>
        <v>ON1</v>
      </c>
      <c r="H1123" s="10" t="s">
        <v>21</v>
      </c>
      <c r="I1123" s="10" t="s">
        <v>640</v>
      </c>
      <c r="J1123" s="10" t="str">
        <f>""</f>
        <v/>
      </c>
      <c r="K1123" s="10" t="str">
        <f>"PFES1162731161_0001"</f>
        <v>PFES1162731161_0001</v>
      </c>
      <c r="L1123" s="10">
        <v>1</v>
      </c>
      <c r="M1123" s="10">
        <v>1</v>
      </c>
    </row>
    <row r="1124" spans="1:13">
      <c r="A1124" s="6">
        <v>43844</v>
      </c>
      <c r="B1124" s="7">
        <v>0.6743055555555556</v>
      </c>
      <c r="C1124" s="10" t="str">
        <f>"FES1162731192"</f>
        <v>FES1162731192</v>
      </c>
      <c r="D1124" s="10" t="s">
        <v>19</v>
      </c>
      <c r="E1124" s="10" t="s">
        <v>639</v>
      </c>
      <c r="F1124" s="10" t="str">
        <f>"2170723801 "</f>
        <v xml:space="preserve">2170723801 </v>
      </c>
      <c r="G1124" s="10" t="str">
        <f t="shared" si="33"/>
        <v>ON1</v>
      </c>
      <c r="H1124" s="10" t="s">
        <v>21</v>
      </c>
      <c r="I1124" s="10" t="s">
        <v>640</v>
      </c>
      <c r="J1124" s="10" t="str">
        <f>""</f>
        <v/>
      </c>
      <c r="K1124" s="10" t="str">
        <f>"PFES1162731192_0001"</f>
        <v>PFES1162731192_0001</v>
      </c>
      <c r="L1124" s="10">
        <v>1</v>
      </c>
      <c r="M1124" s="10">
        <v>1</v>
      </c>
    </row>
    <row r="1125" spans="1:13">
      <c r="A1125" s="6">
        <v>43844</v>
      </c>
      <c r="B1125" s="7">
        <v>0.67222222222222217</v>
      </c>
      <c r="C1125" s="10" t="str">
        <f>"FES1162731041"</f>
        <v>FES1162731041</v>
      </c>
      <c r="D1125" s="10" t="s">
        <v>19</v>
      </c>
      <c r="E1125" s="10" t="s">
        <v>456</v>
      </c>
      <c r="F1125" s="10" t="str">
        <f>"2170719163 "</f>
        <v xml:space="preserve">2170719163 </v>
      </c>
      <c r="G1125" s="10" t="str">
        <f t="shared" si="33"/>
        <v>ON1</v>
      </c>
      <c r="H1125" s="10" t="s">
        <v>21</v>
      </c>
      <c r="I1125" s="10" t="s">
        <v>344</v>
      </c>
      <c r="J1125" s="10" t="str">
        <f>""</f>
        <v/>
      </c>
      <c r="K1125" s="10" t="str">
        <f>"PFES1162731041_0001"</f>
        <v>PFES1162731041_0001</v>
      </c>
      <c r="L1125" s="10">
        <v>1</v>
      </c>
      <c r="M1125" s="10">
        <v>10</v>
      </c>
    </row>
    <row r="1126" spans="1:13">
      <c r="A1126" s="6">
        <v>43844</v>
      </c>
      <c r="B1126" s="7">
        <v>0.67152777777777783</v>
      </c>
      <c r="C1126" s="10" t="str">
        <f>"FES1162731154"</f>
        <v>FES1162731154</v>
      </c>
      <c r="D1126" s="10" t="s">
        <v>19</v>
      </c>
      <c r="E1126" s="10" t="s">
        <v>208</v>
      </c>
      <c r="F1126" s="10" t="str">
        <f>"2170723763 "</f>
        <v xml:space="preserve">2170723763 </v>
      </c>
      <c r="G1126" s="10" t="str">
        <f t="shared" si="33"/>
        <v>ON1</v>
      </c>
      <c r="H1126" s="10" t="s">
        <v>21</v>
      </c>
      <c r="I1126" s="10" t="s">
        <v>209</v>
      </c>
      <c r="J1126" s="10" t="str">
        <f>""</f>
        <v/>
      </c>
      <c r="K1126" s="10" t="str">
        <f>"PFES1162731154_0001"</f>
        <v>PFES1162731154_0001</v>
      </c>
      <c r="L1126" s="10">
        <v>1</v>
      </c>
      <c r="M1126" s="10">
        <v>3</v>
      </c>
    </row>
    <row r="1127" spans="1:13">
      <c r="A1127" s="6">
        <v>43844</v>
      </c>
      <c r="B1127" s="7">
        <v>0.67083333333333339</v>
      </c>
      <c r="C1127" s="10" t="str">
        <f>"FES1162731157"</f>
        <v>FES1162731157</v>
      </c>
      <c r="D1127" s="10" t="s">
        <v>19</v>
      </c>
      <c r="E1127" s="10" t="s">
        <v>541</v>
      </c>
      <c r="F1127" s="10" t="str">
        <f>"2170723768 "</f>
        <v xml:space="preserve">2170723768 </v>
      </c>
      <c r="G1127" s="10" t="str">
        <f t="shared" si="33"/>
        <v>ON1</v>
      </c>
      <c r="H1127" s="10" t="s">
        <v>21</v>
      </c>
      <c r="I1127" s="10" t="s">
        <v>357</v>
      </c>
      <c r="J1127" s="10" t="str">
        <f>""</f>
        <v/>
      </c>
      <c r="K1127" s="10" t="str">
        <f>"PFES1162731157_0001"</f>
        <v>PFES1162731157_0001</v>
      </c>
      <c r="L1127" s="10">
        <v>1</v>
      </c>
      <c r="M1127" s="10">
        <v>0</v>
      </c>
    </row>
    <row r="1128" spans="1:13">
      <c r="A1128" s="6">
        <v>43844</v>
      </c>
      <c r="B1128" s="7">
        <v>0.67083333333333339</v>
      </c>
      <c r="C1128" s="10" t="str">
        <f>"FES1162731170"</f>
        <v>FES1162731170</v>
      </c>
      <c r="D1128" s="10" t="s">
        <v>19</v>
      </c>
      <c r="E1128" s="10" t="s">
        <v>86</v>
      </c>
      <c r="F1128" s="10" t="str">
        <f>"2170723781 "</f>
        <v xml:space="preserve">2170723781 </v>
      </c>
      <c r="G1128" s="10" t="str">
        <f t="shared" si="33"/>
        <v>ON1</v>
      </c>
      <c r="H1128" s="10" t="s">
        <v>21</v>
      </c>
      <c r="I1128" s="10" t="s">
        <v>63</v>
      </c>
      <c r="J1128" s="10" t="str">
        <f>""</f>
        <v/>
      </c>
      <c r="K1128" s="10" t="str">
        <f>"PFES1162731170_0001"</f>
        <v>PFES1162731170_0001</v>
      </c>
      <c r="L1128" s="10">
        <v>1</v>
      </c>
      <c r="M1128" s="10">
        <v>4</v>
      </c>
    </row>
    <row r="1129" spans="1:13">
      <c r="A1129" s="6">
        <v>43844</v>
      </c>
      <c r="B1129" s="7">
        <v>0.67013888888888884</v>
      </c>
      <c r="C1129" s="10" t="str">
        <f>"FES1162730924"</f>
        <v>FES1162730924</v>
      </c>
      <c r="D1129" s="10" t="s">
        <v>19</v>
      </c>
      <c r="E1129" s="10" t="s">
        <v>607</v>
      </c>
      <c r="F1129" s="10" t="str">
        <f>"2170723526 "</f>
        <v xml:space="preserve">2170723526 </v>
      </c>
      <c r="G1129" s="10" t="str">
        <f t="shared" si="33"/>
        <v>ON1</v>
      </c>
      <c r="H1129" s="10" t="s">
        <v>21</v>
      </c>
      <c r="I1129" s="10" t="s">
        <v>416</v>
      </c>
      <c r="J1129" s="10" t="str">
        <f>""</f>
        <v/>
      </c>
      <c r="K1129" s="10" t="str">
        <f>"PFES1162730924_0001"</f>
        <v>PFES1162730924_0001</v>
      </c>
      <c r="L1129" s="10">
        <v>1</v>
      </c>
      <c r="M1129" s="10">
        <v>16</v>
      </c>
    </row>
    <row r="1130" spans="1:13">
      <c r="A1130" s="6">
        <v>43844</v>
      </c>
      <c r="B1130" s="7">
        <v>0.66875000000000007</v>
      </c>
      <c r="C1130" s="10" t="str">
        <f>"FES1162731174"</f>
        <v>FES1162731174</v>
      </c>
      <c r="D1130" s="10" t="s">
        <v>19</v>
      </c>
      <c r="E1130" s="10" t="s">
        <v>641</v>
      </c>
      <c r="F1130" s="10" t="str">
        <f>"2170723787 "</f>
        <v xml:space="preserve">2170723787 </v>
      </c>
      <c r="G1130" s="10" t="str">
        <f t="shared" si="33"/>
        <v>ON1</v>
      </c>
      <c r="H1130" s="10" t="s">
        <v>21</v>
      </c>
      <c r="I1130" s="10" t="s">
        <v>642</v>
      </c>
      <c r="J1130" s="10" t="str">
        <f>""</f>
        <v/>
      </c>
      <c r="K1130" s="10" t="str">
        <f>"PFES1162731174_0001"</f>
        <v>PFES1162731174_0001</v>
      </c>
      <c r="L1130" s="10">
        <v>1</v>
      </c>
      <c r="M1130" s="10">
        <v>1</v>
      </c>
    </row>
    <row r="1131" spans="1:13">
      <c r="A1131" s="6">
        <v>43844</v>
      </c>
      <c r="B1131" s="7">
        <v>0.66805555555555562</v>
      </c>
      <c r="C1131" s="10" t="str">
        <f>"FES1162731162"</f>
        <v>FES1162731162</v>
      </c>
      <c r="D1131" s="10" t="s">
        <v>19</v>
      </c>
      <c r="E1131" s="10" t="s">
        <v>37</v>
      </c>
      <c r="F1131" s="10" t="str">
        <f>"2170723766 "</f>
        <v xml:space="preserve">2170723766 </v>
      </c>
      <c r="G1131" s="10" t="str">
        <f t="shared" si="33"/>
        <v>ON1</v>
      </c>
      <c r="H1131" s="10" t="s">
        <v>21</v>
      </c>
      <c r="I1131" s="10" t="s">
        <v>38</v>
      </c>
      <c r="J1131" s="10" t="str">
        <f>""</f>
        <v/>
      </c>
      <c r="K1131" s="10" t="str">
        <f>"PFES1162731162_0001"</f>
        <v>PFES1162731162_0001</v>
      </c>
      <c r="L1131" s="10">
        <v>1</v>
      </c>
      <c r="M1131" s="10">
        <v>5</v>
      </c>
    </row>
    <row r="1132" spans="1:13">
      <c r="A1132" s="6">
        <v>43844</v>
      </c>
      <c r="B1132" s="7">
        <v>0.66736111111111107</v>
      </c>
      <c r="C1132" s="10" t="str">
        <f>"FES1162731142"</f>
        <v>FES1162731142</v>
      </c>
      <c r="D1132" s="10" t="s">
        <v>19</v>
      </c>
      <c r="E1132" s="10" t="s">
        <v>352</v>
      </c>
      <c r="F1132" s="10" t="str">
        <f>"2170723744 "</f>
        <v xml:space="preserve">2170723744 </v>
      </c>
      <c r="G1132" s="10" t="str">
        <f t="shared" si="33"/>
        <v>ON1</v>
      </c>
      <c r="H1132" s="10" t="s">
        <v>21</v>
      </c>
      <c r="I1132" s="10" t="s">
        <v>114</v>
      </c>
      <c r="J1132" s="10" t="str">
        <f>""</f>
        <v/>
      </c>
      <c r="K1132" s="10" t="str">
        <f>"PFES1162731142_0001"</f>
        <v>PFES1162731142_0001</v>
      </c>
      <c r="L1132" s="10">
        <v>1</v>
      </c>
      <c r="M1132" s="10">
        <v>5</v>
      </c>
    </row>
    <row r="1133" spans="1:13">
      <c r="A1133" s="6">
        <v>43844</v>
      </c>
      <c r="B1133" s="7">
        <v>0.66666666666666663</v>
      </c>
      <c r="C1133" s="10" t="str">
        <f>"FES1162731172"</f>
        <v>FES1162731172</v>
      </c>
      <c r="D1133" s="10" t="s">
        <v>19</v>
      </c>
      <c r="E1133" s="10" t="s">
        <v>218</v>
      </c>
      <c r="F1133" s="10" t="str">
        <f>"2170723784 "</f>
        <v xml:space="preserve">2170723784 </v>
      </c>
      <c r="G1133" s="10" t="str">
        <f t="shared" si="33"/>
        <v>ON1</v>
      </c>
      <c r="H1133" s="10" t="s">
        <v>21</v>
      </c>
      <c r="I1133" s="10" t="s">
        <v>49</v>
      </c>
      <c r="J1133" s="10" t="str">
        <f>""</f>
        <v/>
      </c>
      <c r="K1133" s="10" t="str">
        <f>"PFES1162731172_0001"</f>
        <v>PFES1162731172_0001</v>
      </c>
      <c r="L1133" s="10">
        <v>1</v>
      </c>
      <c r="M1133" s="10">
        <v>9</v>
      </c>
    </row>
    <row r="1134" spans="1:13">
      <c r="A1134" s="6">
        <v>43844</v>
      </c>
      <c r="B1134" s="7">
        <v>0.66666666666666663</v>
      </c>
      <c r="C1134" s="10" t="str">
        <f>"FES1162731049"</f>
        <v>FES1162731049</v>
      </c>
      <c r="D1134" s="10" t="s">
        <v>19</v>
      </c>
      <c r="E1134" s="10" t="s">
        <v>407</v>
      </c>
      <c r="F1134" s="10" t="str">
        <f>"21707236423 "</f>
        <v xml:space="preserve">21707236423 </v>
      </c>
      <c r="G1134" s="10" t="str">
        <f t="shared" si="33"/>
        <v>ON1</v>
      </c>
      <c r="H1134" s="10" t="s">
        <v>21</v>
      </c>
      <c r="I1134" s="10" t="s">
        <v>408</v>
      </c>
      <c r="J1134" s="10" t="str">
        <f>""</f>
        <v/>
      </c>
      <c r="K1134" s="10" t="str">
        <f>"PFES1162731049_0001"</f>
        <v>PFES1162731049_0001</v>
      </c>
      <c r="L1134" s="10">
        <v>1</v>
      </c>
      <c r="M1134" s="10">
        <v>2</v>
      </c>
    </row>
    <row r="1135" spans="1:13">
      <c r="A1135" s="6">
        <v>43844</v>
      </c>
      <c r="B1135" s="7">
        <v>0.66597222222222219</v>
      </c>
      <c r="C1135" s="10" t="str">
        <f>"FES1162731056"</f>
        <v>FES1162731056</v>
      </c>
      <c r="D1135" s="10" t="s">
        <v>19</v>
      </c>
      <c r="E1135" s="10" t="s">
        <v>174</v>
      </c>
      <c r="F1135" s="10" t="str">
        <f>"2170723651 "</f>
        <v xml:space="preserve">2170723651 </v>
      </c>
      <c r="G1135" s="10" t="str">
        <f t="shared" si="33"/>
        <v>ON1</v>
      </c>
      <c r="H1135" s="10" t="s">
        <v>21</v>
      </c>
      <c r="I1135" s="10" t="s">
        <v>175</v>
      </c>
      <c r="J1135" s="10" t="str">
        <f>""</f>
        <v/>
      </c>
      <c r="K1135" s="10" t="str">
        <f>"PFES1162731056_0001"</f>
        <v>PFES1162731056_0001</v>
      </c>
      <c r="L1135" s="10">
        <v>1</v>
      </c>
      <c r="M1135" s="10">
        <v>1</v>
      </c>
    </row>
    <row r="1136" spans="1:13">
      <c r="A1136" s="6">
        <v>43844</v>
      </c>
      <c r="B1136" s="7">
        <v>0.66597222222222219</v>
      </c>
      <c r="C1136" s="10" t="str">
        <f>"FES1162730992"</f>
        <v>FES1162730992</v>
      </c>
      <c r="D1136" s="10" t="s">
        <v>19</v>
      </c>
      <c r="E1136" s="10" t="s">
        <v>42</v>
      </c>
      <c r="F1136" s="10" t="str">
        <f>"2170723547 "</f>
        <v xml:space="preserve">2170723547 </v>
      </c>
      <c r="G1136" s="10" t="str">
        <f t="shared" si="33"/>
        <v>ON1</v>
      </c>
      <c r="H1136" s="10" t="s">
        <v>21</v>
      </c>
      <c r="I1136" s="10" t="s">
        <v>43</v>
      </c>
      <c r="J1136" s="10" t="str">
        <f>""</f>
        <v/>
      </c>
      <c r="K1136" s="10" t="str">
        <f>"PFES1162730992_0001"</f>
        <v>PFES1162730992_0001</v>
      </c>
      <c r="L1136" s="10">
        <v>1</v>
      </c>
      <c r="M1136" s="10">
        <v>1</v>
      </c>
    </row>
    <row r="1137" spans="1:13">
      <c r="A1137" s="6">
        <v>43844</v>
      </c>
      <c r="B1137" s="7">
        <v>0.66527777777777775</v>
      </c>
      <c r="C1137" s="10" t="str">
        <f>"FES1162731044"</f>
        <v>FES1162731044</v>
      </c>
      <c r="D1137" s="10" t="s">
        <v>19</v>
      </c>
      <c r="E1137" s="10" t="s">
        <v>465</v>
      </c>
      <c r="F1137" s="10" t="str">
        <f>"2170723640 "</f>
        <v xml:space="preserve">2170723640 </v>
      </c>
      <c r="G1137" s="10" t="str">
        <f t="shared" si="33"/>
        <v>ON1</v>
      </c>
      <c r="H1137" s="10" t="s">
        <v>21</v>
      </c>
      <c r="I1137" s="10" t="s">
        <v>466</v>
      </c>
      <c r="J1137" s="10" t="str">
        <f>""</f>
        <v/>
      </c>
      <c r="K1137" s="10" t="str">
        <f>"PFES1162731044_0001"</f>
        <v>PFES1162731044_0001</v>
      </c>
      <c r="L1137" s="10">
        <v>1</v>
      </c>
      <c r="M1137" s="10">
        <v>2</v>
      </c>
    </row>
    <row r="1138" spans="1:13">
      <c r="A1138" s="6">
        <v>43844</v>
      </c>
      <c r="B1138" s="7">
        <v>0.66527777777777775</v>
      </c>
      <c r="C1138" s="10" t="str">
        <f>"FES1162731105"</f>
        <v>FES1162731105</v>
      </c>
      <c r="D1138" s="10" t="s">
        <v>19</v>
      </c>
      <c r="E1138" s="10" t="s">
        <v>222</v>
      </c>
      <c r="F1138" s="10" t="str">
        <f>"2170723196 "</f>
        <v xml:space="preserve">2170723196 </v>
      </c>
      <c r="G1138" s="10" t="str">
        <f t="shared" si="33"/>
        <v>ON1</v>
      </c>
      <c r="H1138" s="10" t="s">
        <v>21</v>
      </c>
      <c r="I1138" s="10" t="s">
        <v>28</v>
      </c>
      <c r="J1138" s="10" t="str">
        <f>""</f>
        <v/>
      </c>
      <c r="K1138" s="10" t="str">
        <f>"PFES1162731105_0001"</f>
        <v>PFES1162731105_0001</v>
      </c>
      <c r="L1138" s="10">
        <v>1</v>
      </c>
      <c r="M1138" s="10">
        <v>1</v>
      </c>
    </row>
    <row r="1139" spans="1:13">
      <c r="A1139" s="6">
        <v>43844</v>
      </c>
      <c r="B1139" s="7">
        <v>0.66527777777777775</v>
      </c>
      <c r="C1139" s="10" t="str">
        <f>"FES1162731131"</f>
        <v>FES1162731131</v>
      </c>
      <c r="D1139" s="10" t="s">
        <v>19</v>
      </c>
      <c r="E1139" s="10" t="s">
        <v>643</v>
      </c>
      <c r="F1139" s="10" t="str">
        <f>"2170723732 "</f>
        <v xml:space="preserve">2170723732 </v>
      </c>
      <c r="G1139" s="10" t="str">
        <f t="shared" si="33"/>
        <v>ON1</v>
      </c>
      <c r="H1139" s="10" t="s">
        <v>21</v>
      </c>
      <c r="I1139" s="10" t="s">
        <v>644</v>
      </c>
      <c r="J1139" s="10" t="str">
        <f>""</f>
        <v/>
      </c>
      <c r="K1139" s="10" t="str">
        <f>"PFES1162731131_0001"</f>
        <v>PFES1162731131_0001</v>
      </c>
      <c r="L1139" s="10">
        <v>1</v>
      </c>
      <c r="M1139" s="10">
        <v>1</v>
      </c>
    </row>
    <row r="1140" spans="1:13">
      <c r="A1140" s="6">
        <v>43844</v>
      </c>
      <c r="B1140" s="7">
        <v>0.66527777777777775</v>
      </c>
      <c r="C1140" s="10" t="str">
        <f>"FES1162731093"</f>
        <v>FES1162731093</v>
      </c>
      <c r="D1140" s="10" t="s">
        <v>19</v>
      </c>
      <c r="E1140" s="10" t="s">
        <v>229</v>
      </c>
      <c r="F1140" s="10" t="str">
        <f>"2170723691 "</f>
        <v xml:space="preserve">2170723691 </v>
      </c>
      <c r="G1140" s="10" t="str">
        <f t="shared" si="33"/>
        <v>ON1</v>
      </c>
      <c r="H1140" s="10" t="s">
        <v>21</v>
      </c>
      <c r="I1140" s="10" t="s">
        <v>230</v>
      </c>
      <c r="J1140" s="10" t="str">
        <f>""</f>
        <v/>
      </c>
      <c r="K1140" s="10" t="str">
        <f>"PFES1162731093_0001"</f>
        <v>PFES1162731093_0001</v>
      </c>
      <c r="L1140" s="10">
        <v>1</v>
      </c>
      <c r="M1140" s="10">
        <v>1</v>
      </c>
    </row>
    <row r="1141" spans="1:13">
      <c r="A1141" s="6">
        <v>43844</v>
      </c>
      <c r="B1141" s="7">
        <v>0.6645833333333333</v>
      </c>
      <c r="C1141" s="10" t="str">
        <f>"FES1162731126"</f>
        <v>FES1162731126</v>
      </c>
      <c r="D1141" s="10" t="s">
        <v>19</v>
      </c>
      <c r="E1141" s="10" t="s">
        <v>224</v>
      </c>
      <c r="F1141" s="10" t="str">
        <f>"2170723723 "</f>
        <v xml:space="preserve">2170723723 </v>
      </c>
      <c r="G1141" s="10" t="str">
        <f t="shared" si="33"/>
        <v>ON1</v>
      </c>
      <c r="H1141" s="10" t="s">
        <v>21</v>
      </c>
      <c r="I1141" s="10" t="s">
        <v>225</v>
      </c>
      <c r="J1141" s="10" t="str">
        <f>""</f>
        <v/>
      </c>
      <c r="K1141" s="10" t="str">
        <f>"PFES1162731126_0001"</f>
        <v>PFES1162731126_0001</v>
      </c>
      <c r="L1141" s="10">
        <v>1</v>
      </c>
      <c r="M1141" s="10">
        <v>1</v>
      </c>
    </row>
    <row r="1142" spans="1:13">
      <c r="A1142" s="6">
        <v>43844</v>
      </c>
      <c r="B1142" s="7">
        <v>0.66388888888888886</v>
      </c>
      <c r="C1142" s="10" t="str">
        <f>"FES1162731036"</f>
        <v>FES1162731036</v>
      </c>
      <c r="D1142" s="10" t="s">
        <v>19</v>
      </c>
      <c r="E1142" s="10" t="s">
        <v>645</v>
      </c>
      <c r="F1142" s="10" t="str">
        <f>"2170723632 "</f>
        <v xml:space="preserve">2170723632 </v>
      </c>
      <c r="G1142" s="10" t="str">
        <f t="shared" si="33"/>
        <v>ON1</v>
      </c>
      <c r="H1142" s="10" t="s">
        <v>21</v>
      </c>
      <c r="I1142" s="10" t="s">
        <v>165</v>
      </c>
      <c r="J1142" s="10" t="str">
        <f>""</f>
        <v/>
      </c>
      <c r="K1142" s="10" t="str">
        <f>"PFES1162731036_0001"</f>
        <v>PFES1162731036_0001</v>
      </c>
      <c r="L1142" s="10">
        <v>1</v>
      </c>
      <c r="M1142" s="10">
        <v>1</v>
      </c>
    </row>
    <row r="1143" spans="1:13">
      <c r="A1143" s="6">
        <v>43844</v>
      </c>
      <c r="B1143" s="7">
        <v>0.66180555555555554</v>
      </c>
      <c r="C1143" s="10" t="str">
        <f>"FES1162731150"</f>
        <v>FES1162731150</v>
      </c>
      <c r="D1143" s="10" t="s">
        <v>19</v>
      </c>
      <c r="E1143" s="10" t="s">
        <v>208</v>
      </c>
      <c r="F1143" s="10" t="str">
        <f>"2170723758 "</f>
        <v xml:space="preserve">2170723758 </v>
      </c>
      <c r="G1143" s="10" t="str">
        <f t="shared" si="33"/>
        <v>ON1</v>
      </c>
      <c r="H1143" s="10" t="s">
        <v>21</v>
      </c>
      <c r="I1143" s="10" t="s">
        <v>209</v>
      </c>
      <c r="J1143" s="10" t="str">
        <f>""</f>
        <v/>
      </c>
      <c r="K1143" s="10" t="str">
        <f>"PFES1162731150_0001"</f>
        <v>PFES1162731150_0001</v>
      </c>
      <c r="L1143" s="10">
        <v>1</v>
      </c>
      <c r="M1143" s="10">
        <v>1</v>
      </c>
    </row>
    <row r="1144" spans="1:13">
      <c r="A1144" s="6">
        <v>43844</v>
      </c>
      <c r="B1144" s="7">
        <v>0.65972222222222221</v>
      </c>
      <c r="C1144" s="10" t="str">
        <f>"FES1162731147"</f>
        <v>FES1162731147</v>
      </c>
      <c r="D1144" s="10" t="s">
        <v>19</v>
      </c>
      <c r="E1144" s="10" t="s">
        <v>208</v>
      </c>
      <c r="F1144" s="10" t="str">
        <f>"2170723755 "</f>
        <v xml:space="preserve">2170723755 </v>
      </c>
      <c r="G1144" s="10" t="str">
        <f t="shared" si="33"/>
        <v>ON1</v>
      </c>
      <c r="H1144" s="10" t="s">
        <v>21</v>
      </c>
      <c r="I1144" s="10" t="s">
        <v>209</v>
      </c>
      <c r="J1144" s="10" t="str">
        <f>""</f>
        <v/>
      </c>
      <c r="K1144" s="10" t="str">
        <f>"PFES1162731147_0001"</f>
        <v>PFES1162731147_0001</v>
      </c>
      <c r="L1144" s="10">
        <v>1</v>
      </c>
      <c r="M1144" s="10">
        <v>1</v>
      </c>
    </row>
    <row r="1145" spans="1:13">
      <c r="A1145" s="6">
        <v>43844</v>
      </c>
      <c r="B1145" s="7">
        <v>0.65208333333333335</v>
      </c>
      <c r="C1145" s="10" t="str">
        <f>"FES1162731140"</f>
        <v>FES1162731140</v>
      </c>
      <c r="D1145" s="10" t="s">
        <v>19</v>
      </c>
      <c r="E1145" s="10" t="s">
        <v>489</v>
      </c>
      <c r="F1145" s="10" t="str">
        <f>"2170723745 "</f>
        <v xml:space="preserve">2170723745 </v>
      </c>
      <c r="G1145" s="10" t="str">
        <f t="shared" si="33"/>
        <v>ON1</v>
      </c>
      <c r="H1145" s="10" t="s">
        <v>21</v>
      </c>
      <c r="I1145" s="10" t="s">
        <v>277</v>
      </c>
      <c r="J1145" s="10" t="str">
        <f>""</f>
        <v/>
      </c>
      <c r="K1145" s="10" t="str">
        <f>"PFES1162731140_0001"</f>
        <v>PFES1162731140_0001</v>
      </c>
      <c r="L1145" s="10">
        <v>1</v>
      </c>
      <c r="M1145" s="10">
        <v>1</v>
      </c>
    </row>
    <row r="1146" spans="1:13">
      <c r="A1146" s="6">
        <v>43844</v>
      </c>
      <c r="B1146" s="7">
        <v>0.65138888888888891</v>
      </c>
      <c r="C1146" s="10" t="str">
        <f>"FES1162730969"</f>
        <v>FES1162730969</v>
      </c>
      <c r="D1146" s="10" t="s">
        <v>19</v>
      </c>
      <c r="E1146" s="10" t="s">
        <v>447</v>
      </c>
      <c r="F1146" s="10" t="str">
        <f>"2170723575 "</f>
        <v xml:space="preserve">2170723575 </v>
      </c>
      <c r="G1146" s="10" t="str">
        <f t="shared" si="33"/>
        <v>ON1</v>
      </c>
      <c r="H1146" s="10" t="s">
        <v>21</v>
      </c>
      <c r="I1146" s="10" t="s">
        <v>90</v>
      </c>
      <c r="J1146" s="10" t="str">
        <f>""</f>
        <v/>
      </c>
      <c r="K1146" s="10" t="str">
        <f>"PFES1162730969_0001"</f>
        <v>PFES1162730969_0001</v>
      </c>
      <c r="L1146" s="10">
        <v>1</v>
      </c>
      <c r="M1146" s="10">
        <v>1</v>
      </c>
    </row>
    <row r="1147" spans="1:13">
      <c r="A1147" s="6">
        <v>43844</v>
      </c>
      <c r="B1147" s="7">
        <v>0.65</v>
      </c>
      <c r="C1147" s="10" t="str">
        <f>"FES1162731107"</f>
        <v>FES1162731107</v>
      </c>
      <c r="D1147" s="10" t="s">
        <v>19</v>
      </c>
      <c r="E1147" s="10" t="s">
        <v>132</v>
      </c>
      <c r="F1147" s="10" t="str">
        <f>"2170721396 "</f>
        <v xml:space="preserve">2170721396 </v>
      </c>
      <c r="G1147" s="10" t="str">
        <f t="shared" si="33"/>
        <v>ON1</v>
      </c>
      <c r="H1147" s="10" t="s">
        <v>21</v>
      </c>
      <c r="I1147" s="10" t="s">
        <v>133</v>
      </c>
      <c r="J1147" s="10" t="str">
        <f>""</f>
        <v/>
      </c>
      <c r="K1147" s="10" t="str">
        <f>"PFES1162731107_0001"</f>
        <v>PFES1162731107_0001</v>
      </c>
      <c r="L1147" s="10">
        <v>1</v>
      </c>
      <c r="M1147" s="10">
        <v>2</v>
      </c>
    </row>
    <row r="1148" spans="1:13">
      <c r="A1148" s="6">
        <v>43844</v>
      </c>
      <c r="B1148" s="7">
        <v>0.65</v>
      </c>
      <c r="C1148" s="10" t="str">
        <f>"FES1162731139"</f>
        <v>FES1162731139</v>
      </c>
      <c r="D1148" s="10" t="s">
        <v>19</v>
      </c>
      <c r="E1148" s="10" t="s">
        <v>646</v>
      </c>
      <c r="F1148" s="10" t="str">
        <f>"2170723739 "</f>
        <v xml:space="preserve">2170723739 </v>
      </c>
      <c r="G1148" s="10" t="str">
        <f t="shared" si="33"/>
        <v>ON1</v>
      </c>
      <c r="H1148" s="10" t="s">
        <v>21</v>
      </c>
      <c r="I1148" s="10" t="s">
        <v>247</v>
      </c>
      <c r="J1148" s="10" t="str">
        <f>""</f>
        <v/>
      </c>
      <c r="K1148" s="10" t="str">
        <f>"PFES1162731139_0001"</f>
        <v>PFES1162731139_0001</v>
      </c>
      <c r="L1148" s="10">
        <v>1</v>
      </c>
      <c r="M1148" s="10">
        <v>1</v>
      </c>
    </row>
    <row r="1149" spans="1:13">
      <c r="A1149" s="6">
        <v>43844</v>
      </c>
      <c r="B1149" s="7">
        <v>0.64861111111111114</v>
      </c>
      <c r="C1149" s="10" t="str">
        <f>"FES1162731155"</f>
        <v>FES1162731155</v>
      </c>
      <c r="D1149" s="10" t="s">
        <v>19</v>
      </c>
      <c r="E1149" s="10" t="s">
        <v>72</v>
      </c>
      <c r="F1149" s="10" t="str">
        <f>"2170723765 "</f>
        <v xml:space="preserve">2170723765 </v>
      </c>
      <c r="G1149" s="10" t="str">
        <f t="shared" si="33"/>
        <v>ON1</v>
      </c>
      <c r="H1149" s="10" t="s">
        <v>21</v>
      </c>
      <c r="I1149" s="10" t="s">
        <v>73</v>
      </c>
      <c r="J1149" s="10" t="str">
        <f>""</f>
        <v/>
      </c>
      <c r="K1149" s="10" t="str">
        <f>"PFES1162731155_0001"</f>
        <v>PFES1162731155_0001</v>
      </c>
      <c r="L1149" s="10">
        <v>1</v>
      </c>
      <c r="M1149" s="10">
        <v>1</v>
      </c>
    </row>
    <row r="1150" spans="1:13">
      <c r="A1150" s="6">
        <v>43844</v>
      </c>
      <c r="B1150" s="7">
        <v>0.6479166666666667</v>
      </c>
      <c r="C1150" s="10" t="str">
        <f>"FES1162731144"</f>
        <v>FES1162731144</v>
      </c>
      <c r="D1150" s="10" t="s">
        <v>19</v>
      </c>
      <c r="E1150" s="10" t="s">
        <v>262</v>
      </c>
      <c r="F1150" s="10" t="str">
        <f>"2170723764 "</f>
        <v xml:space="preserve">2170723764 </v>
      </c>
      <c r="G1150" s="10" t="str">
        <f t="shared" si="33"/>
        <v>ON1</v>
      </c>
      <c r="H1150" s="10" t="s">
        <v>21</v>
      </c>
      <c r="I1150" s="10" t="s">
        <v>114</v>
      </c>
      <c r="J1150" s="10" t="str">
        <f>""</f>
        <v/>
      </c>
      <c r="K1150" s="10" t="str">
        <f>"PFES1162731144_0001"</f>
        <v>PFES1162731144_0001</v>
      </c>
      <c r="L1150" s="10">
        <v>1</v>
      </c>
      <c r="M1150" s="10">
        <v>2</v>
      </c>
    </row>
    <row r="1151" spans="1:13">
      <c r="A1151" s="6">
        <v>43844</v>
      </c>
      <c r="B1151" s="7">
        <v>0.6479166666666667</v>
      </c>
      <c r="C1151" s="10" t="str">
        <f>"FES1162731149"</f>
        <v>FES1162731149</v>
      </c>
      <c r="D1151" s="10" t="s">
        <v>19</v>
      </c>
      <c r="E1151" s="10" t="s">
        <v>101</v>
      </c>
      <c r="F1151" s="10" t="str">
        <f>"2170723757 "</f>
        <v xml:space="preserve">2170723757 </v>
      </c>
      <c r="G1151" s="10" t="str">
        <f t="shared" si="33"/>
        <v>ON1</v>
      </c>
      <c r="H1151" s="10" t="s">
        <v>21</v>
      </c>
      <c r="I1151" s="10" t="s">
        <v>102</v>
      </c>
      <c r="J1151" s="10" t="str">
        <f>""</f>
        <v/>
      </c>
      <c r="K1151" s="10" t="str">
        <f>"PFES1162731149_0001"</f>
        <v>PFES1162731149_0001</v>
      </c>
      <c r="L1151" s="10">
        <v>1</v>
      </c>
      <c r="M1151" s="10">
        <v>1</v>
      </c>
    </row>
    <row r="1152" spans="1:13">
      <c r="A1152" s="6">
        <v>43844</v>
      </c>
      <c r="B1152" s="7">
        <v>0.64722222222222225</v>
      </c>
      <c r="C1152" s="10" t="str">
        <f>"FES1162730983"</f>
        <v>FES1162730983</v>
      </c>
      <c r="D1152" s="10" t="s">
        <v>19</v>
      </c>
      <c r="E1152" s="10" t="s">
        <v>647</v>
      </c>
      <c r="F1152" s="10" t="str">
        <f>"2170723050 "</f>
        <v xml:space="preserve">2170723050 </v>
      </c>
      <c r="G1152" s="10" t="str">
        <f t="shared" si="33"/>
        <v>ON1</v>
      </c>
      <c r="H1152" s="10" t="s">
        <v>21</v>
      </c>
      <c r="I1152" s="10" t="s">
        <v>403</v>
      </c>
      <c r="J1152" s="10" t="str">
        <f>""</f>
        <v/>
      </c>
      <c r="K1152" s="10" t="str">
        <f>"PFES1162730983_0001"</f>
        <v>PFES1162730983_0001</v>
      </c>
      <c r="L1152" s="10">
        <v>2</v>
      </c>
      <c r="M1152" s="10">
        <v>12</v>
      </c>
    </row>
    <row r="1153" spans="1:13">
      <c r="A1153" s="6">
        <v>43844</v>
      </c>
      <c r="B1153" s="7">
        <v>0.62986111111111109</v>
      </c>
      <c r="C1153" s="10" t="str">
        <f>"FES1162731083"</f>
        <v>FES1162731083</v>
      </c>
      <c r="D1153" s="10" t="s">
        <v>19</v>
      </c>
      <c r="E1153" s="10" t="s">
        <v>648</v>
      </c>
      <c r="F1153" s="10" t="str">
        <f>"2170723680 "</f>
        <v xml:space="preserve">2170723680 </v>
      </c>
      <c r="G1153" s="10" t="str">
        <f t="shared" si="33"/>
        <v>ON1</v>
      </c>
      <c r="H1153" s="10" t="s">
        <v>21</v>
      </c>
      <c r="I1153" s="10" t="s">
        <v>88</v>
      </c>
      <c r="J1153" s="10" t="str">
        <f>""</f>
        <v/>
      </c>
      <c r="K1153" s="10" t="str">
        <f>"PFES1162731083_0001"</f>
        <v>PFES1162731083_0001</v>
      </c>
      <c r="L1153" s="10">
        <v>1</v>
      </c>
      <c r="M1153" s="10">
        <v>1</v>
      </c>
    </row>
    <row r="1154" spans="1:13">
      <c r="A1154" s="6">
        <v>43844</v>
      </c>
      <c r="B1154" s="7">
        <v>0.62916666666666665</v>
      </c>
      <c r="C1154" s="10" t="str">
        <f>"FES1162731038"</f>
        <v>FES1162731038</v>
      </c>
      <c r="D1154" s="10" t="s">
        <v>19</v>
      </c>
      <c r="E1154" s="10" t="s">
        <v>649</v>
      </c>
      <c r="F1154" s="10" t="str">
        <f>"2170723636 "</f>
        <v xml:space="preserve">2170723636 </v>
      </c>
      <c r="G1154" s="10" t="str">
        <f t="shared" si="33"/>
        <v>ON1</v>
      </c>
      <c r="H1154" s="10" t="s">
        <v>21</v>
      </c>
      <c r="I1154" s="10" t="s">
        <v>650</v>
      </c>
      <c r="J1154" s="10" t="str">
        <f>""</f>
        <v/>
      </c>
      <c r="K1154" s="10" t="str">
        <f>"PFES1162731038_0001"</f>
        <v>PFES1162731038_0001</v>
      </c>
      <c r="L1154" s="10">
        <v>1</v>
      </c>
      <c r="M1154" s="10">
        <v>1</v>
      </c>
    </row>
    <row r="1155" spans="1:13">
      <c r="A1155" s="6">
        <v>43844</v>
      </c>
      <c r="B1155" s="7">
        <v>0.62847222222222221</v>
      </c>
      <c r="C1155" s="10" t="str">
        <f>"FES1162731138"</f>
        <v>FES1162731138</v>
      </c>
      <c r="D1155" s="10" t="s">
        <v>19</v>
      </c>
      <c r="E1155" s="10" t="s">
        <v>651</v>
      </c>
      <c r="F1155" s="10" t="str">
        <f>"2170723743 "</f>
        <v xml:space="preserve">2170723743 </v>
      </c>
      <c r="G1155" s="10" t="str">
        <f t="shared" si="33"/>
        <v>ON1</v>
      </c>
      <c r="H1155" s="10" t="s">
        <v>21</v>
      </c>
      <c r="I1155" s="10" t="s">
        <v>416</v>
      </c>
      <c r="J1155" s="10" t="str">
        <f>""</f>
        <v/>
      </c>
      <c r="K1155" s="10" t="str">
        <f>"PFES1162731138_0001"</f>
        <v>PFES1162731138_0001</v>
      </c>
      <c r="L1155" s="10">
        <v>1</v>
      </c>
      <c r="M1155" s="10">
        <v>1</v>
      </c>
    </row>
    <row r="1156" spans="1:13">
      <c r="A1156" s="6">
        <v>43844</v>
      </c>
      <c r="B1156" s="7">
        <v>0.62777777777777777</v>
      </c>
      <c r="C1156" s="10" t="str">
        <f>"FES1162730813"</f>
        <v>FES1162730813</v>
      </c>
      <c r="D1156" s="10" t="s">
        <v>19</v>
      </c>
      <c r="E1156" s="10" t="s">
        <v>652</v>
      </c>
      <c r="F1156" s="10" t="str">
        <f>"2170723287 "</f>
        <v xml:space="preserve">2170723287 </v>
      </c>
      <c r="G1156" s="10" t="str">
        <f t="shared" si="33"/>
        <v>ON1</v>
      </c>
      <c r="H1156" s="10" t="s">
        <v>21</v>
      </c>
      <c r="I1156" s="10" t="s">
        <v>653</v>
      </c>
      <c r="J1156" s="10" t="str">
        <f>""</f>
        <v/>
      </c>
      <c r="K1156" s="10" t="str">
        <f>"PFES1162730813_0001"</f>
        <v>PFES1162730813_0001</v>
      </c>
      <c r="L1156" s="10">
        <v>1</v>
      </c>
      <c r="M1156" s="10">
        <v>1</v>
      </c>
    </row>
    <row r="1157" spans="1:13">
      <c r="A1157" s="6">
        <v>43844</v>
      </c>
      <c r="B1157" s="7">
        <v>0.62708333333333333</v>
      </c>
      <c r="C1157" s="10" t="str">
        <f>"FES1162730970"</f>
        <v>FES1162730970</v>
      </c>
      <c r="D1157" s="10" t="s">
        <v>19</v>
      </c>
      <c r="E1157" s="10" t="s">
        <v>44</v>
      </c>
      <c r="F1157" s="10" t="str">
        <f>"2170723576 "</f>
        <v xml:space="preserve">2170723576 </v>
      </c>
      <c r="G1157" s="10" t="str">
        <f t="shared" si="33"/>
        <v>ON1</v>
      </c>
      <c r="H1157" s="10" t="s">
        <v>21</v>
      </c>
      <c r="I1157" s="10" t="s">
        <v>249</v>
      </c>
      <c r="J1157" s="10" t="str">
        <f>""</f>
        <v/>
      </c>
      <c r="K1157" s="10" t="str">
        <f>"PFES1162730970_0001"</f>
        <v>PFES1162730970_0001</v>
      </c>
      <c r="L1157" s="10">
        <v>1</v>
      </c>
      <c r="M1157" s="10">
        <v>1</v>
      </c>
    </row>
    <row r="1158" spans="1:13">
      <c r="A1158" s="6">
        <v>43844</v>
      </c>
      <c r="B1158" s="7">
        <v>0.62638888888888888</v>
      </c>
      <c r="C1158" s="10" t="str">
        <f>"FES1162731091"</f>
        <v>FES1162731091</v>
      </c>
      <c r="D1158" s="10" t="s">
        <v>19</v>
      </c>
      <c r="E1158" s="10" t="s">
        <v>478</v>
      </c>
      <c r="F1158" s="10" t="str">
        <f>"2170723688 "</f>
        <v xml:space="preserve">2170723688 </v>
      </c>
      <c r="G1158" s="10" t="str">
        <f t="shared" ref="G1158:G1169" si="34">"ON1"</f>
        <v>ON1</v>
      </c>
      <c r="H1158" s="10" t="s">
        <v>21</v>
      </c>
      <c r="I1158" s="10" t="s">
        <v>277</v>
      </c>
      <c r="J1158" s="10" t="str">
        <f>""</f>
        <v/>
      </c>
      <c r="K1158" s="10" t="str">
        <f>"PFES1162731091_0001"</f>
        <v>PFES1162731091_0001</v>
      </c>
      <c r="L1158" s="10">
        <v>1</v>
      </c>
      <c r="M1158" s="10">
        <v>1</v>
      </c>
    </row>
    <row r="1159" spans="1:13">
      <c r="A1159" s="6">
        <v>43844</v>
      </c>
      <c r="B1159" s="7">
        <v>0.62569444444444444</v>
      </c>
      <c r="C1159" s="10" t="str">
        <f>"FES1162731123"</f>
        <v>FES1162731123</v>
      </c>
      <c r="D1159" s="10" t="s">
        <v>19</v>
      </c>
      <c r="E1159" s="10" t="s">
        <v>473</v>
      </c>
      <c r="F1159" s="10" t="str">
        <f>"2170723720 "</f>
        <v xml:space="preserve">2170723720 </v>
      </c>
      <c r="G1159" s="10" t="str">
        <f t="shared" si="34"/>
        <v>ON1</v>
      </c>
      <c r="H1159" s="10" t="s">
        <v>21</v>
      </c>
      <c r="I1159" s="10" t="s">
        <v>247</v>
      </c>
      <c r="J1159" s="10" t="str">
        <f>""</f>
        <v/>
      </c>
      <c r="K1159" s="10" t="str">
        <f>"PFES1162731123_0001"</f>
        <v>PFES1162731123_0001</v>
      </c>
      <c r="L1159" s="10">
        <v>1</v>
      </c>
      <c r="M1159" s="10">
        <v>1</v>
      </c>
    </row>
    <row r="1160" spans="1:13">
      <c r="A1160" s="6">
        <v>43844</v>
      </c>
      <c r="B1160" s="7">
        <v>0.62430555555555556</v>
      </c>
      <c r="C1160" s="10" t="str">
        <f>"FES1162731120"</f>
        <v>FES1162731120</v>
      </c>
      <c r="D1160" s="10" t="s">
        <v>19</v>
      </c>
      <c r="E1160" s="10" t="s">
        <v>654</v>
      </c>
      <c r="F1160" s="10" t="str">
        <f>"2170723717 "</f>
        <v xml:space="preserve">2170723717 </v>
      </c>
      <c r="G1160" s="10" t="str">
        <f t="shared" si="34"/>
        <v>ON1</v>
      </c>
      <c r="H1160" s="10" t="s">
        <v>21</v>
      </c>
      <c r="I1160" s="10" t="s">
        <v>247</v>
      </c>
      <c r="J1160" s="10" t="str">
        <f>""</f>
        <v/>
      </c>
      <c r="K1160" s="10" t="str">
        <f>"PFES1162731120_0001"</f>
        <v>PFES1162731120_0001</v>
      </c>
      <c r="L1160" s="10">
        <v>1</v>
      </c>
      <c r="M1160" s="10">
        <v>1</v>
      </c>
    </row>
    <row r="1161" spans="1:13">
      <c r="A1161" s="6">
        <v>43844</v>
      </c>
      <c r="B1161" s="7">
        <v>0.62291666666666667</v>
      </c>
      <c r="C1161" s="10" t="str">
        <f>"FES1162730967"</f>
        <v>FES1162730967</v>
      </c>
      <c r="D1161" s="10" t="s">
        <v>19</v>
      </c>
      <c r="E1161" s="10" t="s">
        <v>157</v>
      </c>
      <c r="F1161" s="10" t="str">
        <f>"2170723566 "</f>
        <v xml:space="preserve">2170723566 </v>
      </c>
      <c r="G1161" s="10" t="str">
        <f t="shared" si="34"/>
        <v>ON1</v>
      </c>
      <c r="H1161" s="10" t="s">
        <v>21</v>
      </c>
      <c r="I1161" s="10" t="s">
        <v>158</v>
      </c>
      <c r="J1161" s="10" t="str">
        <f>""</f>
        <v/>
      </c>
      <c r="K1161" s="10" t="str">
        <f>"PFES1162730967_0001"</f>
        <v>PFES1162730967_0001</v>
      </c>
      <c r="L1161" s="10">
        <v>1</v>
      </c>
      <c r="M1161" s="10">
        <v>2</v>
      </c>
    </row>
    <row r="1162" spans="1:13">
      <c r="A1162" s="6">
        <v>43844</v>
      </c>
      <c r="B1162" s="7">
        <v>0.62291666666666667</v>
      </c>
      <c r="C1162" s="10" t="str">
        <f>"FES1162730994"</f>
        <v>FES1162730994</v>
      </c>
      <c r="D1162" s="10" t="s">
        <v>19</v>
      </c>
      <c r="E1162" s="10" t="s">
        <v>251</v>
      </c>
      <c r="F1162" s="10" t="str">
        <f>"2170723572 "</f>
        <v xml:space="preserve">2170723572 </v>
      </c>
      <c r="G1162" s="10" t="str">
        <f t="shared" si="34"/>
        <v>ON1</v>
      </c>
      <c r="H1162" s="10" t="s">
        <v>21</v>
      </c>
      <c r="I1162" s="10" t="s">
        <v>96</v>
      </c>
      <c r="J1162" s="10" t="str">
        <f>""</f>
        <v/>
      </c>
      <c r="K1162" s="10" t="str">
        <f>"PFES1162730994_0001"</f>
        <v>PFES1162730994_0001</v>
      </c>
      <c r="L1162" s="10">
        <v>1</v>
      </c>
      <c r="M1162" s="10">
        <v>11</v>
      </c>
    </row>
    <row r="1163" spans="1:13">
      <c r="A1163" s="6">
        <v>43844</v>
      </c>
      <c r="B1163" s="7">
        <v>0.62222222222222223</v>
      </c>
      <c r="C1163" s="10" t="str">
        <f>"FES1162731096"</f>
        <v>FES1162731096</v>
      </c>
      <c r="D1163" s="10" t="s">
        <v>19</v>
      </c>
      <c r="E1163" s="10" t="s">
        <v>232</v>
      </c>
      <c r="F1163" s="10" t="str">
        <f>"2170723671 "</f>
        <v xml:space="preserve">2170723671 </v>
      </c>
      <c r="G1163" s="10" t="str">
        <f t="shared" si="34"/>
        <v>ON1</v>
      </c>
      <c r="H1163" s="10" t="s">
        <v>21</v>
      </c>
      <c r="I1163" s="10" t="s">
        <v>233</v>
      </c>
      <c r="J1163" s="10" t="str">
        <f>""</f>
        <v/>
      </c>
      <c r="K1163" s="10" t="str">
        <f>"PFES1162731096_0001"</f>
        <v>PFES1162731096_0001</v>
      </c>
      <c r="L1163" s="10">
        <v>1</v>
      </c>
      <c r="M1163" s="10">
        <v>2</v>
      </c>
    </row>
    <row r="1164" spans="1:13">
      <c r="A1164" s="6">
        <v>43844</v>
      </c>
      <c r="B1164" s="7">
        <v>0.62222222222222223</v>
      </c>
      <c r="C1164" s="10" t="str">
        <f>"FES1162731124"</f>
        <v>FES1162731124</v>
      </c>
      <c r="D1164" s="10" t="s">
        <v>19</v>
      </c>
      <c r="E1164" s="10" t="s">
        <v>655</v>
      </c>
      <c r="F1164" s="10" t="str">
        <f>"2170723721 "</f>
        <v xml:space="preserve">2170723721 </v>
      </c>
      <c r="G1164" s="10" t="str">
        <f t="shared" si="34"/>
        <v>ON1</v>
      </c>
      <c r="H1164" s="10" t="s">
        <v>21</v>
      </c>
      <c r="I1164" s="10" t="s">
        <v>96</v>
      </c>
      <c r="J1164" s="10" t="str">
        <f>""</f>
        <v/>
      </c>
      <c r="K1164" s="10" t="str">
        <f>"PFES1162731124_0001"</f>
        <v>PFES1162731124_0001</v>
      </c>
      <c r="L1164" s="10">
        <v>1</v>
      </c>
      <c r="M1164" s="10">
        <v>1</v>
      </c>
    </row>
    <row r="1165" spans="1:13">
      <c r="A1165" s="6">
        <v>43844</v>
      </c>
      <c r="B1165" s="7">
        <v>0.62222222222222223</v>
      </c>
      <c r="C1165" s="10" t="str">
        <f>"FES1162731135"</f>
        <v>FES1162731135</v>
      </c>
      <c r="D1165" s="10" t="s">
        <v>19</v>
      </c>
      <c r="E1165" s="10" t="s">
        <v>656</v>
      </c>
      <c r="F1165" s="10" t="str">
        <f>"21707237238 "</f>
        <v xml:space="preserve">21707237238 </v>
      </c>
      <c r="G1165" s="10" t="str">
        <f t="shared" si="34"/>
        <v>ON1</v>
      </c>
      <c r="H1165" s="10" t="s">
        <v>21</v>
      </c>
      <c r="I1165" s="10" t="s">
        <v>657</v>
      </c>
      <c r="J1165" s="10" t="str">
        <f>""</f>
        <v/>
      </c>
      <c r="K1165" s="10" t="str">
        <f>"PFES1162731135_0001"</f>
        <v>PFES1162731135_0001</v>
      </c>
      <c r="L1165" s="10">
        <v>1</v>
      </c>
      <c r="M1165" s="10">
        <v>3</v>
      </c>
    </row>
    <row r="1166" spans="1:13">
      <c r="A1166" s="6">
        <v>43844</v>
      </c>
      <c r="B1166" s="7">
        <v>0.62222222222222223</v>
      </c>
      <c r="C1166" s="10" t="str">
        <f>"FES1162731060"</f>
        <v>FES1162731060</v>
      </c>
      <c r="D1166" s="10" t="s">
        <v>19</v>
      </c>
      <c r="E1166" s="10" t="s">
        <v>310</v>
      </c>
      <c r="F1166" s="10" t="str">
        <f>"2170723655 "</f>
        <v xml:space="preserve">2170723655 </v>
      </c>
      <c r="G1166" s="10" t="str">
        <f t="shared" si="34"/>
        <v>ON1</v>
      </c>
      <c r="H1166" s="10" t="s">
        <v>21</v>
      </c>
      <c r="I1166" s="10" t="s">
        <v>311</v>
      </c>
      <c r="J1166" s="10" t="str">
        <f>""</f>
        <v/>
      </c>
      <c r="K1166" s="10" t="str">
        <f>"PFES1162731060_0001"</f>
        <v>PFES1162731060_0001</v>
      </c>
      <c r="L1166" s="10">
        <v>1</v>
      </c>
      <c r="M1166" s="10">
        <v>4</v>
      </c>
    </row>
    <row r="1167" spans="1:13">
      <c r="A1167" s="6">
        <v>43844</v>
      </c>
      <c r="B1167" s="7">
        <v>0.62152777777777779</v>
      </c>
      <c r="C1167" s="10" t="str">
        <f>"FES1162731007"</f>
        <v>FES1162731007</v>
      </c>
      <c r="D1167" s="10" t="s">
        <v>19</v>
      </c>
      <c r="E1167" s="10" t="s">
        <v>105</v>
      </c>
      <c r="F1167" s="10" t="str">
        <f>"2170723600 "</f>
        <v xml:space="preserve">2170723600 </v>
      </c>
      <c r="G1167" s="10" t="str">
        <f t="shared" si="34"/>
        <v>ON1</v>
      </c>
      <c r="H1167" s="10" t="s">
        <v>21</v>
      </c>
      <c r="I1167" s="10" t="s">
        <v>106</v>
      </c>
      <c r="J1167" s="10" t="str">
        <f>""</f>
        <v/>
      </c>
      <c r="K1167" s="10" t="str">
        <f>"PFES1162731007_0001"</f>
        <v>PFES1162731007_0001</v>
      </c>
      <c r="L1167" s="10">
        <v>1</v>
      </c>
      <c r="M1167" s="10">
        <v>1</v>
      </c>
    </row>
    <row r="1168" spans="1:13">
      <c r="A1168" s="6">
        <v>43844</v>
      </c>
      <c r="B1168" s="7">
        <v>0.62152777777777779</v>
      </c>
      <c r="C1168" s="10" t="str">
        <f>"FES1162731082"</f>
        <v>FES1162731082</v>
      </c>
      <c r="D1168" s="10" t="s">
        <v>19</v>
      </c>
      <c r="E1168" s="10" t="s">
        <v>658</v>
      </c>
      <c r="F1168" s="10" t="str">
        <f>"2170723679 "</f>
        <v xml:space="preserve">2170723679 </v>
      </c>
      <c r="G1168" s="10" t="str">
        <f t="shared" si="34"/>
        <v>ON1</v>
      </c>
      <c r="H1168" s="10" t="s">
        <v>21</v>
      </c>
      <c r="I1168" s="10" t="s">
        <v>28</v>
      </c>
      <c r="J1168" s="10" t="str">
        <f>""</f>
        <v/>
      </c>
      <c r="K1168" s="10" t="str">
        <f>"PFES1162731082_0001"</f>
        <v>PFES1162731082_0001</v>
      </c>
      <c r="L1168" s="10">
        <v>1</v>
      </c>
      <c r="M1168" s="10">
        <v>6</v>
      </c>
    </row>
    <row r="1169" spans="1:13">
      <c r="A1169" s="6">
        <v>43844</v>
      </c>
      <c r="B1169" s="7">
        <v>0.62152777777777779</v>
      </c>
      <c r="C1169" s="10" t="str">
        <f>"FES1162731104"</f>
        <v>FES1162731104</v>
      </c>
      <c r="D1169" s="10" t="s">
        <v>19</v>
      </c>
      <c r="E1169" s="10" t="s">
        <v>117</v>
      </c>
      <c r="F1169" s="10" t="str">
        <f>"2170723701 "</f>
        <v xml:space="preserve">2170723701 </v>
      </c>
      <c r="G1169" s="10" t="str">
        <f t="shared" si="34"/>
        <v>ON1</v>
      </c>
      <c r="H1169" s="10" t="s">
        <v>21</v>
      </c>
      <c r="I1169" s="10" t="s">
        <v>85</v>
      </c>
      <c r="J1169" s="10" t="str">
        <f>""</f>
        <v/>
      </c>
      <c r="K1169" s="10" t="str">
        <f>"PFES1162731104_0001"</f>
        <v>PFES1162731104_0001</v>
      </c>
      <c r="L1169" s="10">
        <v>1</v>
      </c>
      <c r="M1169" s="10">
        <v>1</v>
      </c>
    </row>
    <row r="1170" spans="1:13">
      <c r="A1170" s="6">
        <v>43844</v>
      </c>
      <c r="B1170" s="7">
        <v>0.62152777777777779</v>
      </c>
      <c r="C1170" s="10" t="str">
        <f>"FES1162731103"</f>
        <v>FES1162731103</v>
      </c>
      <c r="D1170" s="10" t="s">
        <v>19</v>
      </c>
      <c r="E1170" s="10" t="s">
        <v>659</v>
      </c>
      <c r="F1170" s="10" t="str">
        <f>"2170723699 "</f>
        <v xml:space="preserve">2170723699 </v>
      </c>
      <c r="G1170" s="10" t="str">
        <f>"DBC"</f>
        <v>DBC</v>
      </c>
      <c r="H1170" s="10" t="s">
        <v>21</v>
      </c>
      <c r="I1170" s="10" t="s">
        <v>28</v>
      </c>
      <c r="J1170" s="10" t="str">
        <f>""</f>
        <v/>
      </c>
      <c r="K1170" s="10" t="str">
        <f>"PFES1162731103_0001"</f>
        <v>PFES1162731103_0001</v>
      </c>
      <c r="L1170" s="10">
        <v>1</v>
      </c>
      <c r="M1170" s="10">
        <v>21</v>
      </c>
    </row>
    <row r="1171" spans="1:13">
      <c r="A1171" s="6">
        <v>43844</v>
      </c>
      <c r="B1171" s="7">
        <v>0.62083333333333335</v>
      </c>
      <c r="C1171" s="10" t="str">
        <f>"FES1162731003"</f>
        <v>FES1162731003</v>
      </c>
      <c r="D1171" s="10" t="s">
        <v>19</v>
      </c>
      <c r="E1171" s="10" t="s">
        <v>82</v>
      </c>
      <c r="F1171" s="10" t="str">
        <f>"2170723596 "</f>
        <v xml:space="preserve">2170723596 </v>
      </c>
      <c r="G1171" s="10" t="str">
        <f>"ON1"</f>
        <v>ON1</v>
      </c>
      <c r="H1171" s="10" t="s">
        <v>21</v>
      </c>
      <c r="I1171" s="10" t="s">
        <v>165</v>
      </c>
      <c r="J1171" s="10" t="str">
        <f>""</f>
        <v/>
      </c>
      <c r="K1171" s="10" t="str">
        <f>"PFES1162731003_0001"</f>
        <v>PFES1162731003_0001</v>
      </c>
      <c r="L1171" s="10">
        <v>1</v>
      </c>
      <c r="M1171" s="10">
        <v>18</v>
      </c>
    </row>
    <row r="1172" spans="1:13">
      <c r="A1172" s="6">
        <v>43844</v>
      </c>
      <c r="B1172" s="7">
        <v>0.62083333333333335</v>
      </c>
      <c r="C1172" s="10" t="str">
        <f>"FES1162731115"</f>
        <v>FES1162731115</v>
      </c>
      <c r="D1172" s="10" t="s">
        <v>19</v>
      </c>
      <c r="E1172" s="10" t="s">
        <v>117</v>
      </c>
      <c r="F1172" s="10" t="str">
        <f>"2170723704 "</f>
        <v xml:space="preserve">2170723704 </v>
      </c>
      <c r="G1172" s="10" t="str">
        <f>"ON1"</f>
        <v>ON1</v>
      </c>
      <c r="H1172" s="10" t="s">
        <v>21</v>
      </c>
      <c r="I1172" s="10" t="s">
        <v>85</v>
      </c>
      <c r="J1172" s="10" t="str">
        <f>""</f>
        <v/>
      </c>
      <c r="K1172" s="10" t="str">
        <f>"PFES1162731115_0001"</f>
        <v>PFES1162731115_0001</v>
      </c>
      <c r="L1172" s="10">
        <v>1</v>
      </c>
      <c r="M1172" s="10">
        <v>1</v>
      </c>
    </row>
    <row r="1173" spans="1:13">
      <c r="A1173" s="6">
        <v>43844</v>
      </c>
      <c r="B1173" s="7">
        <v>0.62013888888888891</v>
      </c>
      <c r="C1173" s="10" t="str">
        <f>"FES1162731134"</f>
        <v>FES1162731134</v>
      </c>
      <c r="D1173" s="10" t="s">
        <v>19</v>
      </c>
      <c r="E1173" s="10" t="s">
        <v>82</v>
      </c>
      <c r="F1173" s="10" t="str">
        <f>"2170723737 "</f>
        <v xml:space="preserve">2170723737 </v>
      </c>
      <c r="G1173" s="10" t="str">
        <f>"ON1"</f>
        <v>ON1</v>
      </c>
      <c r="H1173" s="10" t="s">
        <v>21</v>
      </c>
      <c r="I1173" s="10" t="s">
        <v>83</v>
      </c>
      <c r="J1173" s="10" t="str">
        <f>""</f>
        <v/>
      </c>
      <c r="K1173" s="10" t="str">
        <f>"PFES1162731134_0001"</f>
        <v>PFES1162731134_0001</v>
      </c>
      <c r="L1173" s="10">
        <v>1</v>
      </c>
      <c r="M1173" s="10">
        <v>1</v>
      </c>
    </row>
    <row r="1174" spans="1:13">
      <c r="A1174" s="6">
        <v>43844</v>
      </c>
      <c r="B1174" s="7">
        <v>0.61875000000000002</v>
      </c>
      <c r="C1174" s="10" t="str">
        <f>"FES1162731110"</f>
        <v>FES1162731110</v>
      </c>
      <c r="D1174" s="10" t="s">
        <v>19</v>
      </c>
      <c r="E1174" s="10" t="s">
        <v>132</v>
      </c>
      <c r="F1174" s="10" t="str">
        <f>"2170723709 "</f>
        <v xml:space="preserve">2170723709 </v>
      </c>
      <c r="G1174" s="10" t="str">
        <f>"ON1"</f>
        <v>ON1</v>
      </c>
      <c r="H1174" s="10" t="s">
        <v>21</v>
      </c>
      <c r="I1174" s="10" t="s">
        <v>133</v>
      </c>
      <c r="J1174" s="10" t="str">
        <f>""</f>
        <v/>
      </c>
      <c r="K1174" s="10" t="str">
        <f>"PFES1162731110_0001"</f>
        <v>PFES1162731110_0001</v>
      </c>
      <c r="L1174" s="10">
        <v>1</v>
      </c>
      <c r="M1174" s="10">
        <v>1</v>
      </c>
    </row>
    <row r="1175" spans="1:13">
      <c r="A1175" s="6">
        <v>43844</v>
      </c>
      <c r="B1175" s="7">
        <v>0.61805555555555558</v>
      </c>
      <c r="C1175" s="10" t="str">
        <f>"FES1162731081"</f>
        <v>FES1162731081</v>
      </c>
      <c r="D1175" s="10" t="s">
        <v>19</v>
      </c>
      <c r="E1175" s="10" t="s">
        <v>242</v>
      </c>
      <c r="F1175" s="10" t="str">
        <f>"2170723768 "</f>
        <v xml:space="preserve">2170723768 </v>
      </c>
      <c r="G1175" s="10" t="str">
        <f>"DBC"</f>
        <v>DBC</v>
      </c>
      <c r="H1175" s="10" t="s">
        <v>21</v>
      </c>
      <c r="I1175" s="10" t="s">
        <v>85</v>
      </c>
      <c r="J1175" s="10" t="str">
        <f>""</f>
        <v/>
      </c>
      <c r="K1175" s="10" t="str">
        <f>"PFES1162731081_0001"</f>
        <v>PFES1162731081_0001</v>
      </c>
      <c r="L1175" s="10">
        <v>1</v>
      </c>
      <c r="M1175" s="10">
        <v>25</v>
      </c>
    </row>
    <row r="1176" spans="1:13">
      <c r="A1176" s="6">
        <v>43844</v>
      </c>
      <c r="B1176" s="7">
        <v>0.61805555555555558</v>
      </c>
      <c r="C1176" s="10" t="str">
        <f>"FES1162731116"</f>
        <v>FES1162731116</v>
      </c>
      <c r="D1176" s="10" t="s">
        <v>19</v>
      </c>
      <c r="E1176" s="10" t="s">
        <v>660</v>
      </c>
      <c r="F1176" s="10" t="str">
        <f>"2170723713 "</f>
        <v xml:space="preserve">2170723713 </v>
      </c>
      <c r="G1176" s="10" t="str">
        <f t="shared" ref="G1176:G1189" si="35">"ON1"</f>
        <v>ON1</v>
      </c>
      <c r="H1176" s="10" t="s">
        <v>21</v>
      </c>
      <c r="I1176" s="10" t="s">
        <v>60</v>
      </c>
      <c r="J1176" s="10" t="str">
        <f>""</f>
        <v/>
      </c>
      <c r="K1176" s="10" t="str">
        <f>"PFES1162731116_0001"</f>
        <v>PFES1162731116_0001</v>
      </c>
      <c r="L1176" s="10">
        <v>1</v>
      </c>
      <c r="M1176" s="10">
        <v>1</v>
      </c>
    </row>
    <row r="1177" spans="1:13">
      <c r="A1177" s="6">
        <v>43844</v>
      </c>
      <c r="B1177" s="7">
        <v>0.61736111111111114</v>
      </c>
      <c r="C1177" s="10" t="str">
        <f>"FES1162731122"</f>
        <v>FES1162731122</v>
      </c>
      <c r="D1177" s="10" t="s">
        <v>19</v>
      </c>
      <c r="E1177" s="10" t="s">
        <v>37</v>
      </c>
      <c r="F1177" s="10" t="str">
        <f>"2170723719 "</f>
        <v xml:space="preserve">2170723719 </v>
      </c>
      <c r="G1177" s="10" t="str">
        <f t="shared" si="35"/>
        <v>ON1</v>
      </c>
      <c r="H1177" s="10" t="s">
        <v>21</v>
      </c>
      <c r="I1177" s="10" t="s">
        <v>38</v>
      </c>
      <c r="J1177" s="10" t="str">
        <f>""</f>
        <v/>
      </c>
      <c r="K1177" s="10" t="str">
        <f>"PFES1162731122_0001"</f>
        <v>PFES1162731122_0001</v>
      </c>
      <c r="L1177" s="10">
        <v>1</v>
      </c>
      <c r="M1177" s="10">
        <v>5</v>
      </c>
    </row>
    <row r="1178" spans="1:13">
      <c r="A1178" s="6">
        <v>43844</v>
      </c>
      <c r="B1178" s="7">
        <v>0.61736111111111114</v>
      </c>
      <c r="C1178" s="10" t="str">
        <f>"FES1162731128"</f>
        <v>FES1162731128</v>
      </c>
      <c r="D1178" s="10" t="s">
        <v>19</v>
      </c>
      <c r="E1178" s="10" t="s">
        <v>661</v>
      </c>
      <c r="F1178" s="10" t="str">
        <f>"2170723731 "</f>
        <v xml:space="preserve">2170723731 </v>
      </c>
      <c r="G1178" s="10" t="str">
        <f t="shared" si="35"/>
        <v>ON1</v>
      </c>
      <c r="H1178" s="10" t="s">
        <v>21</v>
      </c>
      <c r="I1178" s="10" t="s">
        <v>528</v>
      </c>
      <c r="J1178" s="10" t="str">
        <f>""</f>
        <v/>
      </c>
      <c r="K1178" s="10" t="str">
        <f>"PFES1162731128_0001"</f>
        <v>PFES1162731128_0001</v>
      </c>
      <c r="L1178" s="10">
        <v>1</v>
      </c>
      <c r="M1178" s="10">
        <v>3</v>
      </c>
    </row>
    <row r="1179" spans="1:13">
      <c r="A1179" s="6">
        <v>43844</v>
      </c>
      <c r="B1179" s="7">
        <v>0.6166666666666667</v>
      </c>
      <c r="C1179" s="10" t="str">
        <f>"FES1162731141"</f>
        <v>FES1162731141</v>
      </c>
      <c r="D1179" s="10" t="s">
        <v>19</v>
      </c>
      <c r="E1179" s="10" t="s">
        <v>46</v>
      </c>
      <c r="F1179" s="10" t="str">
        <f>"2170723747 "</f>
        <v xml:space="preserve">2170723747 </v>
      </c>
      <c r="G1179" s="10" t="str">
        <f t="shared" si="35"/>
        <v>ON1</v>
      </c>
      <c r="H1179" s="10" t="s">
        <v>21</v>
      </c>
      <c r="I1179" s="10" t="s">
        <v>47</v>
      </c>
      <c r="J1179" s="10" t="str">
        <f>""</f>
        <v/>
      </c>
      <c r="K1179" s="10" t="str">
        <f>"PFES1162731141_0001"</f>
        <v>PFES1162731141_0001</v>
      </c>
      <c r="L1179" s="10">
        <v>1</v>
      </c>
      <c r="M1179" s="10">
        <v>1</v>
      </c>
    </row>
    <row r="1180" spans="1:13">
      <c r="A1180" s="6">
        <v>43844</v>
      </c>
      <c r="B1180" s="7">
        <v>0.6166666666666667</v>
      </c>
      <c r="C1180" s="10" t="str">
        <f>"FES1162731127"</f>
        <v>FES1162731127</v>
      </c>
      <c r="D1180" s="10" t="s">
        <v>19</v>
      </c>
      <c r="E1180" s="10" t="s">
        <v>661</v>
      </c>
      <c r="F1180" s="10" t="str">
        <f>"2170723728 "</f>
        <v xml:space="preserve">2170723728 </v>
      </c>
      <c r="G1180" s="10" t="str">
        <f t="shared" si="35"/>
        <v>ON1</v>
      </c>
      <c r="H1180" s="10" t="s">
        <v>21</v>
      </c>
      <c r="I1180" s="10" t="s">
        <v>528</v>
      </c>
      <c r="J1180" s="10" t="str">
        <f>""</f>
        <v/>
      </c>
      <c r="K1180" s="10" t="str">
        <f>"PFES1162731127_0001"</f>
        <v>PFES1162731127_0001</v>
      </c>
      <c r="L1180" s="10">
        <v>1</v>
      </c>
      <c r="M1180" s="10">
        <v>3</v>
      </c>
    </row>
    <row r="1181" spans="1:13">
      <c r="A1181" s="6">
        <v>43844</v>
      </c>
      <c r="B1181" s="7">
        <v>0.61597222222222225</v>
      </c>
      <c r="C1181" s="10" t="str">
        <f>"FES1162731137"</f>
        <v>FES1162731137</v>
      </c>
      <c r="D1181" s="10" t="s">
        <v>19</v>
      </c>
      <c r="E1181" s="10" t="s">
        <v>662</v>
      </c>
      <c r="F1181" s="10" t="str">
        <f>"2170723742 "</f>
        <v xml:space="preserve">2170723742 </v>
      </c>
      <c r="G1181" s="10" t="str">
        <f t="shared" si="35"/>
        <v>ON1</v>
      </c>
      <c r="H1181" s="10" t="s">
        <v>21</v>
      </c>
      <c r="I1181" s="10" t="s">
        <v>663</v>
      </c>
      <c r="J1181" s="10" t="str">
        <f>""</f>
        <v/>
      </c>
      <c r="K1181" s="10" t="str">
        <f>"PFES1162731137_0001"</f>
        <v>PFES1162731137_0001</v>
      </c>
      <c r="L1181" s="10">
        <v>1</v>
      </c>
      <c r="M1181" s="10">
        <v>1</v>
      </c>
    </row>
    <row r="1182" spans="1:13">
      <c r="A1182" s="6">
        <v>43844</v>
      </c>
      <c r="B1182" s="7">
        <v>0.61527777777777781</v>
      </c>
      <c r="C1182" s="10" t="str">
        <f>"FES1162731054"</f>
        <v>FES1162731054</v>
      </c>
      <c r="D1182" s="10" t="s">
        <v>19</v>
      </c>
      <c r="E1182" s="10" t="s">
        <v>664</v>
      </c>
      <c r="F1182" s="10" t="str">
        <f>"2170723649 "</f>
        <v xml:space="preserve">2170723649 </v>
      </c>
      <c r="G1182" s="10" t="str">
        <f t="shared" si="35"/>
        <v>ON1</v>
      </c>
      <c r="H1182" s="10" t="s">
        <v>21</v>
      </c>
      <c r="I1182" s="10" t="s">
        <v>137</v>
      </c>
      <c r="J1182" s="10" t="str">
        <f>""</f>
        <v/>
      </c>
      <c r="K1182" s="10" t="str">
        <f>"PFES1162731054_0001"</f>
        <v>PFES1162731054_0001</v>
      </c>
      <c r="L1182" s="10">
        <v>1</v>
      </c>
      <c r="M1182" s="10">
        <v>4</v>
      </c>
    </row>
    <row r="1183" spans="1:13">
      <c r="A1183" s="6">
        <v>43844</v>
      </c>
      <c r="B1183" s="7">
        <v>0.61527777777777781</v>
      </c>
      <c r="C1183" s="10" t="str">
        <f>"FES1162731130"</f>
        <v>FES1162731130</v>
      </c>
      <c r="D1183" s="10" t="s">
        <v>19</v>
      </c>
      <c r="E1183" s="10" t="s">
        <v>142</v>
      </c>
      <c r="F1183" s="10" t="str">
        <f>"2170723726 "</f>
        <v xml:space="preserve">2170723726 </v>
      </c>
      <c r="G1183" s="10" t="str">
        <f t="shared" si="35"/>
        <v>ON1</v>
      </c>
      <c r="H1183" s="10" t="s">
        <v>21</v>
      </c>
      <c r="I1183" s="10" t="s">
        <v>123</v>
      </c>
      <c r="J1183" s="10" t="str">
        <f>""</f>
        <v/>
      </c>
      <c r="K1183" s="10" t="str">
        <f>"PFES1162731130_0001"</f>
        <v>PFES1162731130_0001</v>
      </c>
      <c r="L1183" s="10">
        <v>1</v>
      </c>
      <c r="M1183" s="10">
        <v>2</v>
      </c>
    </row>
    <row r="1184" spans="1:13">
      <c r="A1184" s="6">
        <v>43844</v>
      </c>
      <c r="B1184" s="7">
        <v>0.61458333333333337</v>
      </c>
      <c r="C1184" s="10" t="str">
        <f>"FES1162731067"</f>
        <v>FES1162731067</v>
      </c>
      <c r="D1184" s="10" t="s">
        <v>19</v>
      </c>
      <c r="E1184" s="10" t="s">
        <v>259</v>
      </c>
      <c r="F1184" s="10" t="str">
        <f>"2170723663 "</f>
        <v xml:space="preserve">2170723663 </v>
      </c>
      <c r="G1184" s="10" t="str">
        <f t="shared" si="35"/>
        <v>ON1</v>
      </c>
      <c r="H1184" s="10" t="s">
        <v>21</v>
      </c>
      <c r="I1184" s="10" t="s">
        <v>260</v>
      </c>
      <c r="J1184" s="10" t="str">
        <f>""</f>
        <v/>
      </c>
      <c r="K1184" s="10" t="str">
        <f>"PFES1162731067_0001"</f>
        <v>PFES1162731067_0001</v>
      </c>
      <c r="L1184" s="10">
        <v>1</v>
      </c>
      <c r="M1184" s="10">
        <v>3</v>
      </c>
    </row>
    <row r="1185" spans="1:13">
      <c r="A1185" s="6">
        <v>43844</v>
      </c>
      <c r="B1185" s="7">
        <v>0.61388888888888882</v>
      </c>
      <c r="C1185" s="10" t="str">
        <f>"FES1162731136"</f>
        <v>FES1162731136</v>
      </c>
      <c r="D1185" s="10" t="s">
        <v>19</v>
      </c>
      <c r="E1185" s="10" t="s">
        <v>113</v>
      </c>
      <c r="F1185" s="10" t="str">
        <f>"2170723740 "</f>
        <v xml:space="preserve">2170723740 </v>
      </c>
      <c r="G1185" s="10" t="str">
        <f t="shared" si="35"/>
        <v>ON1</v>
      </c>
      <c r="H1185" s="10" t="s">
        <v>21</v>
      </c>
      <c r="I1185" s="10" t="s">
        <v>114</v>
      </c>
      <c r="J1185" s="10" t="str">
        <f>""</f>
        <v/>
      </c>
      <c r="K1185" s="10" t="str">
        <f>"PFES1162731136_0001"</f>
        <v>PFES1162731136_0001</v>
      </c>
      <c r="L1185" s="10">
        <v>1</v>
      </c>
      <c r="M1185" s="10">
        <v>3</v>
      </c>
    </row>
    <row r="1186" spans="1:13">
      <c r="A1186" s="6">
        <v>43844</v>
      </c>
      <c r="B1186" s="7">
        <v>0.61388888888888882</v>
      </c>
      <c r="C1186" s="10" t="str">
        <f>"FES1162731118"</f>
        <v>FES1162731118</v>
      </c>
      <c r="D1186" s="10" t="s">
        <v>19</v>
      </c>
      <c r="E1186" s="10" t="s">
        <v>151</v>
      </c>
      <c r="F1186" s="10" t="str">
        <f>"21707213715 "</f>
        <v xml:space="preserve">21707213715 </v>
      </c>
      <c r="G1186" s="10" t="str">
        <f t="shared" si="35"/>
        <v>ON1</v>
      </c>
      <c r="H1186" s="10" t="s">
        <v>21</v>
      </c>
      <c r="I1186" s="10" t="s">
        <v>152</v>
      </c>
      <c r="J1186" s="10" t="str">
        <f>""</f>
        <v/>
      </c>
      <c r="K1186" s="10" t="str">
        <f>"PFES1162731118_0001"</f>
        <v>PFES1162731118_0001</v>
      </c>
      <c r="L1186" s="10">
        <v>1</v>
      </c>
      <c r="M1186" s="10">
        <v>2</v>
      </c>
    </row>
    <row r="1187" spans="1:13">
      <c r="A1187" s="6">
        <v>43844</v>
      </c>
      <c r="B1187" s="7">
        <v>0.61041666666666672</v>
      </c>
      <c r="C1187" s="10" t="str">
        <f>"FES1162731092"</f>
        <v>FES1162731092</v>
      </c>
      <c r="D1187" s="10" t="s">
        <v>19</v>
      </c>
      <c r="E1187" s="10" t="s">
        <v>665</v>
      </c>
      <c r="F1187" s="10" t="str">
        <f>"2170723690 "</f>
        <v xml:space="preserve">2170723690 </v>
      </c>
      <c r="G1187" s="10" t="str">
        <f t="shared" si="35"/>
        <v>ON1</v>
      </c>
      <c r="H1187" s="10" t="s">
        <v>21</v>
      </c>
      <c r="I1187" s="10" t="s">
        <v>499</v>
      </c>
      <c r="J1187" s="10" t="str">
        <f>""</f>
        <v/>
      </c>
      <c r="K1187" s="10" t="str">
        <f>"PFES1162731092_0001"</f>
        <v>PFES1162731092_0001</v>
      </c>
      <c r="L1187" s="10">
        <v>1</v>
      </c>
      <c r="M1187" s="10">
        <v>4</v>
      </c>
    </row>
    <row r="1188" spans="1:13">
      <c r="A1188" s="6">
        <v>43844</v>
      </c>
      <c r="B1188" s="7">
        <v>0.60972222222222217</v>
      </c>
      <c r="C1188" s="10" t="str">
        <f>"FES1162731097"</f>
        <v>FES1162731097</v>
      </c>
      <c r="D1188" s="10" t="s">
        <v>19</v>
      </c>
      <c r="E1188" s="10" t="s">
        <v>218</v>
      </c>
      <c r="F1188" s="10" t="str">
        <f>"2170719594 "</f>
        <v xml:space="preserve">2170719594 </v>
      </c>
      <c r="G1188" s="10" t="str">
        <f t="shared" si="35"/>
        <v>ON1</v>
      </c>
      <c r="H1188" s="10" t="s">
        <v>21</v>
      </c>
      <c r="I1188" s="10" t="s">
        <v>49</v>
      </c>
      <c r="J1188" s="10" t="str">
        <f>""</f>
        <v/>
      </c>
      <c r="K1188" s="10" t="str">
        <f>"PFES1162731097_0001"</f>
        <v>PFES1162731097_0001</v>
      </c>
      <c r="L1188" s="10">
        <v>2</v>
      </c>
      <c r="M1188" s="10">
        <v>11</v>
      </c>
    </row>
    <row r="1189" spans="1:13">
      <c r="A1189" s="6">
        <v>43844</v>
      </c>
      <c r="B1189" s="7">
        <v>0.60972222222222217</v>
      </c>
      <c r="C1189" s="10" t="str">
        <f>"FES1162731097"</f>
        <v>FES1162731097</v>
      </c>
      <c r="D1189" s="10" t="s">
        <v>19</v>
      </c>
      <c r="E1189" s="10" t="s">
        <v>218</v>
      </c>
      <c r="F1189" s="10" t="str">
        <f>"2170719594 "</f>
        <v xml:space="preserve">2170719594 </v>
      </c>
      <c r="G1189" s="10" t="str">
        <f t="shared" si="35"/>
        <v>ON1</v>
      </c>
      <c r="H1189" s="10" t="s">
        <v>21</v>
      </c>
      <c r="I1189" s="10" t="s">
        <v>49</v>
      </c>
      <c r="J1189" s="10"/>
      <c r="K1189" s="10" t="str">
        <f>"PFES1162731097_0002"</f>
        <v>PFES1162731097_0002</v>
      </c>
      <c r="L1189" s="10">
        <v>2</v>
      </c>
      <c r="M1189" s="10">
        <v>11</v>
      </c>
    </row>
    <row r="1190" spans="1:13">
      <c r="A1190" s="6">
        <v>43844</v>
      </c>
      <c r="B1190" s="7">
        <v>0.60902777777777783</v>
      </c>
      <c r="C1190" s="10" t="str">
        <f>"FES1162731050"</f>
        <v>FES1162731050</v>
      </c>
      <c r="D1190" s="10" t="s">
        <v>19</v>
      </c>
      <c r="E1190" s="10" t="s">
        <v>666</v>
      </c>
      <c r="F1190" s="10" t="str">
        <f>"2170723645 "</f>
        <v xml:space="preserve">2170723645 </v>
      </c>
      <c r="G1190" s="10" t="str">
        <f>"ON1"</f>
        <v>ON1</v>
      </c>
      <c r="H1190" s="10" t="s">
        <v>21</v>
      </c>
      <c r="I1190" s="10" t="s">
        <v>135</v>
      </c>
      <c r="J1190" s="10" t="str">
        <f>""</f>
        <v/>
      </c>
      <c r="K1190" s="10" t="str">
        <f>"PFES1162731050_0001"</f>
        <v>PFES1162731050_0001</v>
      </c>
      <c r="L1190" s="10">
        <v>2</v>
      </c>
      <c r="M1190" s="10">
        <v>7</v>
      </c>
    </row>
    <row r="1191" spans="1:13">
      <c r="A1191" s="6">
        <v>43844</v>
      </c>
      <c r="B1191" s="7">
        <v>0.60902777777777783</v>
      </c>
      <c r="C1191" s="10" t="str">
        <f>"FES1162731050"</f>
        <v>FES1162731050</v>
      </c>
      <c r="D1191" s="10" t="s">
        <v>19</v>
      </c>
      <c r="E1191" s="10" t="s">
        <v>666</v>
      </c>
      <c r="F1191" s="10" t="str">
        <f>"2170723645 "</f>
        <v xml:space="preserve">2170723645 </v>
      </c>
      <c r="G1191" s="10" t="str">
        <f>"ON1"</f>
        <v>ON1</v>
      </c>
      <c r="H1191" s="10" t="s">
        <v>21</v>
      </c>
      <c r="I1191" s="10" t="s">
        <v>135</v>
      </c>
      <c r="J1191" s="10"/>
      <c r="K1191" s="10" t="str">
        <f>"PFES1162731050_0002"</f>
        <v>PFES1162731050_0002</v>
      </c>
      <c r="L1191" s="10">
        <v>2</v>
      </c>
      <c r="M1191" s="10">
        <v>7</v>
      </c>
    </row>
    <row r="1192" spans="1:13">
      <c r="A1192" s="6">
        <v>43844</v>
      </c>
      <c r="B1192" s="7">
        <v>0.60902777777777783</v>
      </c>
      <c r="C1192" s="10" t="str">
        <f>"FES1162731069"</f>
        <v>FES1162731069</v>
      </c>
      <c r="D1192" s="10" t="s">
        <v>19</v>
      </c>
      <c r="E1192" s="10" t="s">
        <v>667</v>
      </c>
      <c r="F1192" s="10" t="str">
        <f>"2170720094 "</f>
        <v xml:space="preserve">2170720094 </v>
      </c>
      <c r="G1192" s="10" t="str">
        <f t="shared" ref="G1192:G1207" si="36">"ON1"</f>
        <v>ON1</v>
      </c>
      <c r="H1192" s="10" t="s">
        <v>21</v>
      </c>
      <c r="I1192" s="10" t="s">
        <v>202</v>
      </c>
      <c r="J1192" s="10" t="str">
        <f>""</f>
        <v/>
      </c>
      <c r="K1192" s="10" t="str">
        <f>"PFES1162731069_0001"</f>
        <v>PFES1162731069_0001</v>
      </c>
      <c r="L1192" s="10">
        <v>1</v>
      </c>
      <c r="M1192" s="10">
        <v>6</v>
      </c>
    </row>
    <row r="1193" spans="1:13">
      <c r="A1193" s="6">
        <v>43844</v>
      </c>
      <c r="B1193" s="7">
        <v>0.60833333333333328</v>
      </c>
      <c r="C1193" s="10" t="str">
        <f>"FES1162730976"</f>
        <v>FES1162730976</v>
      </c>
      <c r="D1193" s="10" t="s">
        <v>19</v>
      </c>
      <c r="E1193" s="10" t="s">
        <v>537</v>
      </c>
      <c r="F1193" s="10" t="str">
        <f>"2170721436 "</f>
        <v xml:space="preserve">2170721436 </v>
      </c>
      <c r="G1193" s="10" t="str">
        <f t="shared" si="36"/>
        <v>ON1</v>
      </c>
      <c r="H1193" s="10" t="s">
        <v>21</v>
      </c>
      <c r="I1193" s="10" t="s">
        <v>209</v>
      </c>
      <c r="J1193" s="10" t="str">
        <f>""</f>
        <v/>
      </c>
      <c r="K1193" s="10" t="str">
        <f>"PFES1162730976_0001"</f>
        <v>PFES1162730976_0001</v>
      </c>
      <c r="L1193" s="10">
        <v>1</v>
      </c>
      <c r="M1193" s="10">
        <v>1</v>
      </c>
    </row>
    <row r="1194" spans="1:13">
      <c r="A1194" s="6">
        <v>43844</v>
      </c>
      <c r="B1194" s="7">
        <v>0.60833333333333328</v>
      </c>
      <c r="C1194" s="10" t="str">
        <f>"FES1162731042"</f>
        <v>FES1162731042</v>
      </c>
      <c r="D1194" s="10" t="s">
        <v>19</v>
      </c>
      <c r="E1194" s="10" t="s">
        <v>87</v>
      </c>
      <c r="F1194" s="10" t="str">
        <f>"21707229911 "</f>
        <v xml:space="preserve">21707229911 </v>
      </c>
      <c r="G1194" s="10" t="str">
        <f t="shared" si="36"/>
        <v>ON1</v>
      </c>
      <c r="H1194" s="10" t="s">
        <v>21</v>
      </c>
      <c r="I1194" s="10" t="s">
        <v>88</v>
      </c>
      <c r="J1194" s="10" t="str">
        <f>""</f>
        <v/>
      </c>
      <c r="K1194" s="10" t="str">
        <f>"PFES1162731042_0001"</f>
        <v>PFES1162731042_0001</v>
      </c>
      <c r="L1194" s="10">
        <v>1</v>
      </c>
      <c r="M1194" s="10">
        <v>1</v>
      </c>
    </row>
    <row r="1195" spans="1:13">
      <c r="A1195" s="6">
        <v>43844</v>
      </c>
      <c r="B1195" s="7">
        <v>0.60763888888888895</v>
      </c>
      <c r="C1195" s="10" t="str">
        <f>"FES1162731099"</f>
        <v>FES1162731099</v>
      </c>
      <c r="D1195" s="10" t="s">
        <v>19</v>
      </c>
      <c r="E1195" s="10" t="s">
        <v>345</v>
      </c>
      <c r="F1195" s="10" t="str">
        <f>"2170723696 "</f>
        <v xml:space="preserve">2170723696 </v>
      </c>
      <c r="G1195" s="10" t="str">
        <f t="shared" si="36"/>
        <v>ON1</v>
      </c>
      <c r="H1195" s="10" t="s">
        <v>21</v>
      </c>
      <c r="I1195" s="10" t="s">
        <v>346</v>
      </c>
      <c r="J1195" s="10" t="str">
        <f>""</f>
        <v/>
      </c>
      <c r="K1195" s="10" t="str">
        <f>"PFES1162731099_0001"</f>
        <v>PFES1162731099_0001</v>
      </c>
      <c r="L1195" s="10">
        <v>1</v>
      </c>
      <c r="M1195" s="10">
        <v>3</v>
      </c>
    </row>
    <row r="1196" spans="1:13">
      <c r="A1196" s="6">
        <v>43844</v>
      </c>
      <c r="B1196" s="7">
        <v>0.59166666666666667</v>
      </c>
      <c r="C1196" s="10" t="str">
        <f>"FES1162731117"</f>
        <v>FES1162731117</v>
      </c>
      <c r="D1196" s="10" t="s">
        <v>19</v>
      </c>
      <c r="E1196" s="10" t="s">
        <v>668</v>
      </c>
      <c r="F1196" s="10" t="str">
        <f>"2170723714 "</f>
        <v xml:space="preserve">2170723714 </v>
      </c>
      <c r="G1196" s="10" t="str">
        <f t="shared" si="36"/>
        <v>ON1</v>
      </c>
      <c r="H1196" s="10" t="s">
        <v>21</v>
      </c>
      <c r="I1196" s="10" t="s">
        <v>669</v>
      </c>
      <c r="J1196" s="10" t="str">
        <f>""</f>
        <v/>
      </c>
      <c r="K1196" s="10" t="str">
        <f>"PFES1162731117_0001"</f>
        <v>PFES1162731117_0001</v>
      </c>
      <c r="L1196" s="10">
        <v>1</v>
      </c>
      <c r="M1196" s="10">
        <v>1</v>
      </c>
    </row>
    <row r="1197" spans="1:13">
      <c r="A1197" s="6">
        <v>43844</v>
      </c>
      <c r="B1197" s="7">
        <v>0.59097222222222223</v>
      </c>
      <c r="C1197" s="10" t="str">
        <f>"FES1162731098"</f>
        <v>FES1162731098</v>
      </c>
      <c r="D1197" s="10" t="s">
        <v>19</v>
      </c>
      <c r="E1197" s="10" t="s">
        <v>153</v>
      </c>
      <c r="F1197" s="10" t="str">
        <f>"2170723694 "</f>
        <v xml:space="preserve">2170723694 </v>
      </c>
      <c r="G1197" s="10" t="str">
        <f t="shared" si="36"/>
        <v>ON1</v>
      </c>
      <c r="H1197" s="10" t="s">
        <v>21</v>
      </c>
      <c r="I1197" s="10" t="s">
        <v>146</v>
      </c>
      <c r="J1197" s="10" t="str">
        <f>""</f>
        <v/>
      </c>
      <c r="K1197" s="10" t="str">
        <f>"PFES1162731098_0001"</f>
        <v>PFES1162731098_0001</v>
      </c>
      <c r="L1197" s="10">
        <v>1</v>
      </c>
      <c r="M1197" s="10">
        <v>1</v>
      </c>
    </row>
    <row r="1198" spans="1:13">
      <c r="A1198" s="6">
        <v>43844</v>
      </c>
      <c r="B1198" s="7">
        <v>0.59097222222222223</v>
      </c>
      <c r="C1198" s="10" t="str">
        <f>"FES1162730981"</f>
        <v>FES1162730981</v>
      </c>
      <c r="D1198" s="10" t="s">
        <v>19</v>
      </c>
      <c r="E1198" s="10" t="s">
        <v>537</v>
      </c>
      <c r="F1198" s="10" t="str">
        <f>"2170722800 "</f>
        <v xml:space="preserve">2170722800 </v>
      </c>
      <c r="G1198" s="10" t="str">
        <f t="shared" si="36"/>
        <v>ON1</v>
      </c>
      <c r="H1198" s="10" t="s">
        <v>21</v>
      </c>
      <c r="I1198" s="10" t="s">
        <v>209</v>
      </c>
      <c r="J1198" s="10" t="str">
        <f>""</f>
        <v/>
      </c>
      <c r="K1198" s="10" t="str">
        <f>"PFES1162730981_0001"</f>
        <v>PFES1162730981_0001</v>
      </c>
      <c r="L1198" s="10">
        <v>1</v>
      </c>
      <c r="M1198" s="10">
        <v>1</v>
      </c>
    </row>
    <row r="1199" spans="1:13">
      <c r="A1199" s="6">
        <v>43844</v>
      </c>
      <c r="B1199" s="7">
        <v>0.59027777777777779</v>
      </c>
      <c r="C1199" s="10" t="str">
        <f>"FES1162731108"</f>
        <v>FES1162731108</v>
      </c>
      <c r="D1199" s="10" t="s">
        <v>19</v>
      </c>
      <c r="E1199" s="10" t="s">
        <v>370</v>
      </c>
      <c r="F1199" s="10" t="str">
        <f>"2170723707 "</f>
        <v xml:space="preserve">2170723707 </v>
      </c>
      <c r="G1199" s="10" t="str">
        <f t="shared" si="36"/>
        <v>ON1</v>
      </c>
      <c r="H1199" s="10" t="s">
        <v>21</v>
      </c>
      <c r="I1199" s="10" t="s">
        <v>371</v>
      </c>
      <c r="J1199" s="10" t="str">
        <f>""</f>
        <v/>
      </c>
      <c r="K1199" s="10" t="str">
        <f>"PFES1162731108_0001"</f>
        <v>PFES1162731108_0001</v>
      </c>
      <c r="L1199" s="10">
        <v>1</v>
      </c>
      <c r="M1199" s="10">
        <v>1</v>
      </c>
    </row>
    <row r="1200" spans="1:13">
      <c r="A1200" s="6">
        <v>43844</v>
      </c>
      <c r="B1200" s="7">
        <v>0.58958333333333335</v>
      </c>
      <c r="C1200" s="10" t="str">
        <f>"FES1162731109"</f>
        <v>FES1162731109</v>
      </c>
      <c r="D1200" s="10" t="s">
        <v>19</v>
      </c>
      <c r="E1200" s="10" t="s">
        <v>170</v>
      </c>
      <c r="F1200" s="10" t="str">
        <f>"2170723708 "</f>
        <v xml:space="preserve">2170723708 </v>
      </c>
      <c r="G1200" s="10" t="str">
        <f t="shared" si="36"/>
        <v>ON1</v>
      </c>
      <c r="H1200" s="10" t="s">
        <v>21</v>
      </c>
      <c r="I1200" s="10" t="s">
        <v>63</v>
      </c>
      <c r="J1200" s="10" t="str">
        <f>""</f>
        <v/>
      </c>
      <c r="K1200" s="10" t="str">
        <f>"PFES1162731109_0001"</f>
        <v>PFES1162731109_0001</v>
      </c>
      <c r="L1200" s="10">
        <v>1</v>
      </c>
      <c r="M1200" s="10">
        <v>1</v>
      </c>
    </row>
    <row r="1201" spans="1:13">
      <c r="A1201" s="6">
        <v>43844</v>
      </c>
      <c r="B1201" s="7">
        <v>0.58888888888888891</v>
      </c>
      <c r="C1201" s="10" t="str">
        <f>"FES1162731063"</f>
        <v>FES1162731063</v>
      </c>
      <c r="D1201" s="10" t="s">
        <v>19</v>
      </c>
      <c r="E1201" s="10" t="s">
        <v>259</v>
      </c>
      <c r="F1201" s="10" t="str">
        <f>"2170723658 "</f>
        <v xml:space="preserve">2170723658 </v>
      </c>
      <c r="G1201" s="10" t="str">
        <f t="shared" si="36"/>
        <v>ON1</v>
      </c>
      <c r="H1201" s="10" t="s">
        <v>21</v>
      </c>
      <c r="I1201" s="10" t="s">
        <v>260</v>
      </c>
      <c r="J1201" s="10" t="str">
        <f>""</f>
        <v/>
      </c>
      <c r="K1201" s="10" t="str">
        <f>"PFES1162731063_0001"</f>
        <v>PFES1162731063_0001</v>
      </c>
      <c r="L1201" s="10">
        <v>1</v>
      </c>
      <c r="M1201" s="10">
        <v>1</v>
      </c>
    </row>
    <row r="1202" spans="1:13">
      <c r="A1202" s="6">
        <v>43844</v>
      </c>
      <c r="B1202" s="7">
        <v>0.58819444444444446</v>
      </c>
      <c r="C1202" s="10" t="str">
        <f>"FES1162731119"</f>
        <v>FES1162731119</v>
      </c>
      <c r="D1202" s="10" t="s">
        <v>19</v>
      </c>
      <c r="E1202" s="10" t="s">
        <v>37</v>
      </c>
      <c r="F1202" s="10" t="str">
        <f>"2170723716 "</f>
        <v xml:space="preserve">2170723716 </v>
      </c>
      <c r="G1202" s="10" t="str">
        <f t="shared" si="36"/>
        <v>ON1</v>
      </c>
      <c r="H1202" s="10" t="s">
        <v>21</v>
      </c>
      <c r="I1202" s="10" t="s">
        <v>38</v>
      </c>
      <c r="J1202" s="10" t="str">
        <f>""</f>
        <v/>
      </c>
      <c r="K1202" s="10" t="str">
        <f>"PFES1162731119_0001"</f>
        <v>PFES1162731119_0001</v>
      </c>
      <c r="L1202" s="10">
        <v>1</v>
      </c>
      <c r="M1202" s="10">
        <v>1</v>
      </c>
    </row>
    <row r="1203" spans="1:13">
      <c r="A1203" s="6">
        <v>43844</v>
      </c>
      <c r="B1203" s="7">
        <v>0.58750000000000002</v>
      </c>
      <c r="C1203" s="10" t="str">
        <f>"FES1162731111"</f>
        <v>FES1162731111</v>
      </c>
      <c r="D1203" s="10" t="s">
        <v>19</v>
      </c>
      <c r="E1203" s="10" t="s">
        <v>136</v>
      </c>
      <c r="F1203" s="10" t="str">
        <f>"2170723710 "</f>
        <v xml:space="preserve">2170723710 </v>
      </c>
      <c r="G1203" s="10" t="str">
        <f t="shared" si="36"/>
        <v>ON1</v>
      </c>
      <c r="H1203" s="10" t="s">
        <v>21</v>
      </c>
      <c r="I1203" s="10" t="s">
        <v>137</v>
      </c>
      <c r="J1203" s="10" t="str">
        <f>""</f>
        <v/>
      </c>
      <c r="K1203" s="10" t="str">
        <f>"PFES1162731111_0001"</f>
        <v>PFES1162731111_0001</v>
      </c>
      <c r="L1203" s="10">
        <v>1</v>
      </c>
      <c r="M1203" s="10">
        <v>1</v>
      </c>
    </row>
    <row r="1204" spans="1:13">
      <c r="A1204" s="6">
        <v>43844</v>
      </c>
      <c r="B1204" s="7">
        <v>0.58750000000000002</v>
      </c>
      <c r="C1204" s="10" t="str">
        <f>"FES1162731121"</f>
        <v>FES1162731121</v>
      </c>
      <c r="D1204" s="10" t="s">
        <v>19</v>
      </c>
      <c r="E1204" s="10" t="s">
        <v>82</v>
      </c>
      <c r="F1204" s="10" t="str">
        <f>"2170723718 "</f>
        <v xml:space="preserve">2170723718 </v>
      </c>
      <c r="G1204" s="10" t="str">
        <f t="shared" si="36"/>
        <v>ON1</v>
      </c>
      <c r="H1204" s="10" t="s">
        <v>21</v>
      </c>
      <c r="I1204" s="10" t="s">
        <v>83</v>
      </c>
      <c r="J1204" s="10" t="str">
        <f>""</f>
        <v/>
      </c>
      <c r="K1204" s="10" t="str">
        <f>"PFES1162731121_0001"</f>
        <v>PFES1162731121_0001</v>
      </c>
      <c r="L1204" s="10">
        <v>1</v>
      </c>
      <c r="M1204" s="10">
        <v>1</v>
      </c>
    </row>
    <row r="1205" spans="1:13">
      <c r="A1205" s="6">
        <v>43844</v>
      </c>
      <c r="B1205" s="7">
        <v>0.58680555555555558</v>
      </c>
      <c r="C1205" s="10" t="str">
        <f>"FES1162731132"</f>
        <v>FES1162731132</v>
      </c>
      <c r="D1205" s="10" t="s">
        <v>19</v>
      </c>
      <c r="E1205" s="10" t="s">
        <v>670</v>
      </c>
      <c r="F1205" s="10" t="str">
        <f>"2170723735 "</f>
        <v xml:space="preserve">2170723735 </v>
      </c>
      <c r="G1205" s="10" t="str">
        <f t="shared" si="36"/>
        <v>ON1</v>
      </c>
      <c r="H1205" s="10" t="s">
        <v>21</v>
      </c>
      <c r="I1205" s="10" t="s">
        <v>528</v>
      </c>
      <c r="J1205" s="10" t="str">
        <f>""</f>
        <v/>
      </c>
      <c r="K1205" s="10" t="str">
        <f>"PFES1162731132_0001"</f>
        <v>PFES1162731132_0001</v>
      </c>
      <c r="L1205" s="10">
        <v>1</v>
      </c>
      <c r="M1205" s="10">
        <v>1</v>
      </c>
    </row>
    <row r="1206" spans="1:13">
      <c r="A1206" s="6">
        <v>43844</v>
      </c>
      <c r="B1206" s="7">
        <v>0.58611111111111114</v>
      </c>
      <c r="C1206" s="10" t="str">
        <f>"FES1162731125"</f>
        <v>FES1162731125</v>
      </c>
      <c r="D1206" s="10" t="s">
        <v>19</v>
      </c>
      <c r="E1206" s="10" t="s">
        <v>134</v>
      </c>
      <c r="F1206" s="10" t="str">
        <f>"2170723722 "</f>
        <v xml:space="preserve">2170723722 </v>
      </c>
      <c r="G1206" s="10" t="str">
        <f t="shared" si="36"/>
        <v>ON1</v>
      </c>
      <c r="H1206" s="10" t="s">
        <v>21</v>
      </c>
      <c r="I1206" s="10" t="s">
        <v>135</v>
      </c>
      <c r="J1206" s="10" t="str">
        <f>""</f>
        <v/>
      </c>
      <c r="K1206" s="10" t="str">
        <f>"PFES1162731125_0001"</f>
        <v>PFES1162731125_0001</v>
      </c>
      <c r="L1206" s="10">
        <v>1</v>
      </c>
      <c r="M1206" s="10">
        <v>1</v>
      </c>
    </row>
    <row r="1207" spans="1:13">
      <c r="A1207" s="6">
        <v>43844</v>
      </c>
      <c r="B1207" s="7">
        <v>0.5854166666666667</v>
      </c>
      <c r="C1207" s="10" t="str">
        <f>"FES1162731114"</f>
        <v>FES1162731114</v>
      </c>
      <c r="D1207" s="10" t="s">
        <v>19</v>
      </c>
      <c r="E1207" s="10" t="s">
        <v>140</v>
      </c>
      <c r="F1207" s="10" t="str">
        <f>"2170723496 "</f>
        <v xml:space="preserve">2170723496 </v>
      </c>
      <c r="G1207" s="10" t="str">
        <f t="shared" si="36"/>
        <v>ON1</v>
      </c>
      <c r="H1207" s="10" t="s">
        <v>21</v>
      </c>
      <c r="I1207" s="10" t="s">
        <v>78</v>
      </c>
      <c r="J1207" s="10" t="str">
        <f>""</f>
        <v/>
      </c>
      <c r="K1207" s="10" t="str">
        <f>"PFES1162731114_0001"</f>
        <v>PFES1162731114_0001</v>
      </c>
      <c r="L1207" s="10">
        <v>1</v>
      </c>
      <c r="M1207" s="10">
        <v>1</v>
      </c>
    </row>
    <row r="1208" spans="1:13">
      <c r="A1208" s="6">
        <v>43844</v>
      </c>
      <c r="B1208" s="7">
        <v>0.56874999999999998</v>
      </c>
      <c r="C1208" s="10" t="str">
        <f>"FES1162731025"</f>
        <v>FES1162731025</v>
      </c>
      <c r="D1208" s="10" t="s">
        <v>19</v>
      </c>
      <c r="E1208" s="10" t="s">
        <v>472</v>
      </c>
      <c r="F1208" s="10" t="str">
        <f>"2170723617 "</f>
        <v xml:space="preserve">2170723617 </v>
      </c>
      <c r="G1208" s="10" t="str">
        <f>"DBC"</f>
        <v>DBC</v>
      </c>
      <c r="H1208" s="10" t="s">
        <v>21</v>
      </c>
      <c r="I1208" s="10" t="s">
        <v>85</v>
      </c>
      <c r="J1208" s="10" t="str">
        <f>""</f>
        <v/>
      </c>
      <c r="K1208" s="10" t="str">
        <f>"PFES1162731025_0001"</f>
        <v>PFES1162731025_0001</v>
      </c>
      <c r="L1208" s="10">
        <v>2</v>
      </c>
      <c r="M1208" s="10">
        <v>24</v>
      </c>
    </row>
    <row r="1209" spans="1:13">
      <c r="A1209" s="6">
        <v>43844</v>
      </c>
      <c r="B1209" s="7">
        <v>0.56874999999999998</v>
      </c>
      <c r="C1209" s="10" t="str">
        <f>"FES1162731025"</f>
        <v>FES1162731025</v>
      </c>
      <c r="D1209" s="10" t="s">
        <v>19</v>
      </c>
      <c r="E1209" s="10" t="s">
        <v>472</v>
      </c>
      <c r="F1209" s="10" t="str">
        <f>"2170723617 "</f>
        <v xml:space="preserve">2170723617 </v>
      </c>
      <c r="G1209" s="10" t="str">
        <f>"DBC"</f>
        <v>DBC</v>
      </c>
      <c r="H1209" s="10" t="s">
        <v>21</v>
      </c>
      <c r="I1209" s="10" t="s">
        <v>85</v>
      </c>
      <c r="J1209" s="10"/>
      <c r="K1209" s="10" t="str">
        <f>"PFES1162731025_0002"</f>
        <v>PFES1162731025_0002</v>
      </c>
      <c r="L1209" s="10">
        <v>2</v>
      </c>
      <c r="M1209" s="10">
        <v>24</v>
      </c>
    </row>
    <row r="1210" spans="1:13">
      <c r="A1210" s="6">
        <v>43844</v>
      </c>
      <c r="B1210" s="7">
        <v>0.56874999999999998</v>
      </c>
      <c r="C1210" s="10" t="str">
        <f>"FES1162730980"</f>
        <v>FES1162730980</v>
      </c>
      <c r="D1210" s="10" t="s">
        <v>19</v>
      </c>
      <c r="E1210" s="10" t="s">
        <v>147</v>
      </c>
      <c r="F1210" s="10" t="str">
        <f>"2170722432 "</f>
        <v xml:space="preserve">2170722432 </v>
      </c>
      <c r="G1210" s="10" t="str">
        <f t="shared" ref="G1210:G1222" si="37">"ON1"</f>
        <v>ON1</v>
      </c>
      <c r="H1210" s="10" t="s">
        <v>21</v>
      </c>
      <c r="I1210" s="10" t="s">
        <v>148</v>
      </c>
      <c r="J1210" s="10" t="str">
        <f>""</f>
        <v/>
      </c>
      <c r="K1210" s="10" t="str">
        <f>"PFES1162730980_0001"</f>
        <v>PFES1162730980_0001</v>
      </c>
      <c r="L1210" s="10">
        <v>1</v>
      </c>
      <c r="M1210" s="10">
        <v>9</v>
      </c>
    </row>
    <row r="1211" spans="1:13">
      <c r="A1211" s="6">
        <v>43844</v>
      </c>
      <c r="B1211" s="7">
        <v>0.56805555555555554</v>
      </c>
      <c r="C1211" s="10" t="str">
        <f>"FES1162731046"</f>
        <v>FES1162731046</v>
      </c>
      <c r="D1211" s="10" t="s">
        <v>19</v>
      </c>
      <c r="E1211" s="10" t="s">
        <v>671</v>
      </c>
      <c r="F1211" s="10" t="str">
        <f>"2170723626 "</f>
        <v xml:space="preserve">2170723626 </v>
      </c>
      <c r="G1211" s="10" t="str">
        <f t="shared" si="37"/>
        <v>ON1</v>
      </c>
      <c r="H1211" s="10" t="s">
        <v>21</v>
      </c>
      <c r="I1211" s="10" t="s">
        <v>189</v>
      </c>
      <c r="J1211" s="10" t="str">
        <f>""</f>
        <v/>
      </c>
      <c r="K1211" s="10" t="str">
        <f>"PFES1162731046_0001"</f>
        <v>PFES1162731046_0001</v>
      </c>
      <c r="L1211" s="10">
        <v>1</v>
      </c>
      <c r="M1211" s="10">
        <v>17</v>
      </c>
    </row>
    <row r="1212" spans="1:13">
      <c r="A1212" s="6">
        <v>43844</v>
      </c>
      <c r="B1212" s="7">
        <v>0.56805555555555554</v>
      </c>
      <c r="C1212" s="10" t="str">
        <f>"FES1162730991"</f>
        <v>FES1162730991</v>
      </c>
      <c r="D1212" s="10" t="s">
        <v>19</v>
      </c>
      <c r="E1212" s="10" t="s">
        <v>224</v>
      </c>
      <c r="F1212" s="10" t="str">
        <f>"2170723263 "</f>
        <v xml:space="preserve">2170723263 </v>
      </c>
      <c r="G1212" s="10" t="str">
        <f t="shared" si="37"/>
        <v>ON1</v>
      </c>
      <c r="H1212" s="10" t="s">
        <v>21</v>
      </c>
      <c r="I1212" s="10" t="s">
        <v>500</v>
      </c>
      <c r="J1212" s="10" t="str">
        <f>""</f>
        <v/>
      </c>
      <c r="K1212" s="10" t="str">
        <f>"PFES1162730991_0001"</f>
        <v>PFES1162730991_0001</v>
      </c>
      <c r="L1212" s="10">
        <v>1</v>
      </c>
      <c r="M1212" s="10">
        <v>6</v>
      </c>
    </row>
    <row r="1213" spans="1:13">
      <c r="A1213" s="6">
        <v>43844</v>
      </c>
      <c r="B1213" s="7">
        <v>0.56736111111111109</v>
      </c>
      <c r="C1213" s="10" t="str">
        <f>"FES1162730972"</f>
        <v>FES1162730972</v>
      </c>
      <c r="D1213" s="10" t="s">
        <v>19</v>
      </c>
      <c r="E1213" s="10" t="s">
        <v>470</v>
      </c>
      <c r="F1213" s="10" t="str">
        <f>"2170719559 "</f>
        <v xml:space="preserve">2170719559 </v>
      </c>
      <c r="G1213" s="10" t="str">
        <f t="shared" si="37"/>
        <v>ON1</v>
      </c>
      <c r="H1213" s="10" t="s">
        <v>21</v>
      </c>
      <c r="I1213" s="10" t="s">
        <v>471</v>
      </c>
      <c r="J1213" s="10" t="str">
        <f>""</f>
        <v/>
      </c>
      <c r="K1213" s="10" t="str">
        <f>"PFES1162730972_0001"</f>
        <v>PFES1162730972_0001</v>
      </c>
      <c r="L1213" s="10">
        <v>1</v>
      </c>
      <c r="M1213" s="10">
        <v>2</v>
      </c>
    </row>
    <row r="1214" spans="1:13">
      <c r="A1214" s="6">
        <v>43844</v>
      </c>
      <c r="B1214" s="7">
        <v>0.56736111111111109</v>
      </c>
      <c r="C1214" s="10" t="str">
        <f>"FES1162731004"</f>
        <v>FES1162731004</v>
      </c>
      <c r="D1214" s="10" t="s">
        <v>19</v>
      </c>
      <c r="E1214" s="10" t="s">
        <v>160</v>
      </c>
      <c r="F1214" s="10" t="str">
        <f>"21720723597 "</f>
        <v xml:space="preserve">21720723597 </v>
      </c>
      <c r="G1214" s="10" t="str">
        <f t="shared" si="37"/>
        <v>ON1</v>
      </c>
      <c r="H1214" s="10" t="s">
        <v>21</v>
      </c>
      <c r="I1214" s="10" t="s">
        <v>161</v>
      </c>
      <c r="J1214" s="10" t="str">
        <f>""</f>
        <v/>
      </c>
      <c r="K1214" s="10" t="str">
        <f>"PFES1162731004_0001"</f>
        <v>PFES1162731004_0001</v>
      </c>
      <c r="L1214" s="10">
        <v>1</v>
      </c>
      <c r="M1214" s="10">
        <v>2</v>
      </c>
    </row>
    <row r="1215" spans="1:13">
      <c r="A1215" s="6">
        <v>43844</v>
      </c>
      <c r="B1215" s="7">
        <v>0.56666666666666665</v>
      </c>
      <c r="C1215" s="10" t="str">
        <f>"FES1162730982"</f>
        <v>FES1162730982</v>
      </c>
      <c r="D1215" s="10" t="s">
        <v>19</v>
      </c>
      <c r="E1215" s="10" t="s">
        <v>314</v>
      </c>
      <c r="F1215" s="10" t="str">
        <f>"2170722971 "</f>
        <v xml:space="preserve">2170722971 </v>
      </c>
      <c r="G1215" s="10" t="str">
        <f t="shared" si="37"/>
        <v>ON1</v>
      </c>
      <c r="H1215" s="10" t="s">
        <v>21</v>
      </c>
      <c r="I1215" s="10" t="s">
        <v>315</v>
      </c>
      <c r="J1215" s="10" t="str">
        <f>""</f>
        <v/>
      </c>
      <c r="K1215" s="10" t="str">
        <f>"PFES1162730982_0001"</f>
        <v>PFES1162730982_0001</v>
      </c>
      <c r="L1215" s="10">
        <v>1</v>
      </c>
      <c r="M1215" s="10">
        <v>1</v>
      </c>
    </row>
    <row r="1216" spans="1:13">
      <c r="A1216" s="6">
        <v>43844</v>
      </c>
      <c r="B1216" s="7">
        <v>0.56666666666666665</v>
      </c>
      <c r="C1216" s="10" t="str">
        <f>"FES1162731034"</f>
        <v>FES1162731034</v>
      </c>
      <c r="D1216" s="10" t="s">
        <v>19</v>
      </c>
      <c r="E1216" s="10" t="s">
        <v>262</v>
      </c>
      <c r="F1216" s="10" t="str">
        <f>"2170723639 "</f>
        <v xml:space="preserve">2170723639 </v>
      </c>
      <c r="G1216" s="10" t="str">
        <f t="shared" si="37"/>
        <v>ON1</v>
      </c>
      <c r="H1216" s="10" t="s">
        <v>21</v>
      </c>
      <c r="I1216" s="10" t="s">
        <v>114</v>
      </c>
      <c r="J1216" s="10" t="str">
        <f>""</f>
        <v/>
      </c>
      <c r="K1216" s="10" t="str">
        <f>"PFES1162731034_0001"</f>
        <v>PFES1162731034_0001</v>
      </c>
      <c r="L1216" s="10">
        <v>1</v>
      </c>
      <c r="M1216" s="10">
        <v>2</v>
      </c>
    </row>
    <row r="1217" spans="1:13">
      <c r="A1217" s="6">
        <v>43844</v>
      </c>
      <c r="B1217" s="7">
        <v>0.56597222222222221</v>
      </c>
      <c r="C1217" s="10" t="str">
        <f>"FES1162731027"</f>
        <v>FES1162731027</v>
      </c>
      <c r="D1217" s="10" t="s">
        <v>19</v>
      </c>
      <c r="E1217" s="10" t="s">
        <v>62</v>
      </c>
      <c r="F1217" s="10" t="str">
        <f>"2170723506 "</f>
        <v xml:space="preserve">2170723506 </v>
      </c>
      <c r="G1217" s="10" t="str">
        <f t="shared" si="37"/>
        <v>ON1</v>
      </c>
      <c r="H1217" s="10" t="s">
        <v>21</v>
      </c>
      <c r="I1217" s="10" t="s">
        <v>297</v>
      </c>
      <c r="J1217" s="10" t="str">
        <f>""</f>
        <v/>
      </c>
      <c r="K1217" s="10" t="str">
        <f>"PFES1162731027_0001"</f>
        <v>PFES1162731027_0001</v>
      </c>
      <c r="L1217" s="10">
        <v>1</v>
      </c>
      <c r="M1217" s="10">
        <v>1</v>
      </c>
    </row>
    <row r="1218" spans="1:13">
      <c r="A1218" s="6">
        <v>43844</v>
      </c>
      <c r="B1218" s="7">
        <v>0.56597222222222221</v>
      </c>
      <c r="C1218" s="10" t="str">
        <f>"FES1162730975"</f>
        <v>FES1162730975</v>
      </c>
      <c r="D1218" s="10" t="s">
        <v>19</v>
      </c>
      <c r="E1218" s="10" t="s">
        <v>147</v>
      </c>
      <c r="F1218" s="10" t="str">
        <f>"21707211112 "</f>
        <v xml:space="preserve">21707211112 </v>
      </c>
      <c r="G1218" s="10" t="str">
        <f t="shared" si="37"/>
        <v>ON1</v>
      </c>
      <c r="H1218" s="10" t="s">
        <v>21</v>
      </c>
      <c r="I1218" s="10" t="s">
        <v>148</v>
      </c>
      <c r="J1218" s="10" t="str">
        <f>""</f>
        <v/>
      </c>
      <c r="K1218" s="10" t="str">
        <f>"PFES1162730975_0001"</f>
        <v>PFES1162730975_0001</v>
      </c>
      <c r="L1218" s="10">
        <v>1</v>
      </c>
      <c r="M1218" s="10">
        <v>2</v>
      </c>
    </row>
    <row r="1219" spans="1:13">
      <c r="A1219" s="6">
        <v>43844</v>
      </c>
      <c r="B1219" s="7">
        <v>0.56527777777777777</v>
      </c>
      <c r="C1219" s="10" t="str">
        <f>"FES1162731077"</f>
        <v>FES1162731077</v>
      </c>
      <c r="D1219" s="10" t="s">
        <v>19</v>
      </c>
      <c r="E1219" s="10" t="s">
        <v>46</v>
      </c>
      <c r="F1219" s="10" t="str">
        <f>"2170723674 "</f>
        <v xml:space="preserve">2170723674 </v>
      </c>
      <c r="G1219" s="10" t="str">
        <f t="shared" si="37"/>
        <v>ON1</v>
      </c>
      <c r="H1219" s="10" t="s">
        <v>21</v>
      </c>
      <c r="I1219" s="10" t="s">
        <v>47</v>
      </c>
      <c r="J1219" s="10" t="str">
        <f>""</f>
        <v/>
      </c>
      <c r="K1219" s="10" t="str">
        <f>"PFES1162731077_0001"</f>
        <v>PFES1162731077_0001</v>
      </c>
      <c r="L1219" s="10">
        <v>1</v>
      </c>
      <c r="M1219" s="10">
        <v>9</v>
      </c>
    </row>
    <row r="1220" spans="1:13">
      <c r="A1220" s="6">
        <v>43844</v>
      </c>
      <c r="B1220" s="7">
        <v>0.56527777777777777</v>
      </c>
      <c r="C1220" s="10" t="str">
        <f>"FES1162730984"</f>
        <v>FES1162730984</v>
      </c>
      <c r="D1220" s="10" t="s">
        <v>19</v>
      </c>
      <c r="E1220" s="10" t="s">
        <v>598</v>
      </c>
      <c r="F1220" s="10" t="str">
        <f>"2170723162 "</f>
        <v xml:space="preserve">2170723162 </v>
      </c>
      <c r="G1220" s="10" t="str">
        <f t="shared" si="37"/>
        <v>ON1</v>
      </c>
      <c r="H1220" s="10" t="s">
        <v>21</v>
      </c>
      <c r="I1220" s="10" t="s">
        <v>31</v>
      </c>
      <c r="J1220" s="10" t="str">
        <f>""</f>
        <v/>
      </c>
      <c r="K1220" s="10" t="str">
        <f>"PFES1162730984_0001"</f>
        <v>PFES1162730984_0001</v>
      </c>
      <c r="L1220" s="10">
        <v>1</v>
      </c>
      <c r="M1220" s="10">
        <v>2</v>
      </c>
    </row>
    <row r="1221" spans="1:13">
      <c r="A1221" s="6">
        <v>43844</v>
      </c>
      <c r="B1221" s="7">
        <v>0.56458333333333333</v>
      </c>
      <c r="C1221" s="10" t="str">
        <f>"FES1162730986"</f>
        <v>FES1162730986</v>
      </c>
      <c r="D1221" s="10" t="s">
        <v>19</v>
      </c>
      <c r="E1221" s="10" t="s">
        <v>598</v>
      </c>
      <c r="F1221" s="10" t="str">
        <f>"2170723169 "</f>
        <v xml:space="preserve">2170723169 </v>
      </c>
      <c r="G1221" s="10" t="str">
        <f t="shared" si="37"/>
        <v>ON1</v>
      </c>
      <c r="H1221" s="10" t="s">
        <v>21</v>
      </c>
      <c r="I1221" s="10" t="s">
        <v>31</v>
      </c>
      <c r="J1221" s="10" t="str">
        <f>""</f>
        <v/>
      </c>
      <c r="K1221" s="10" t="str">
        <f>"PFES1162730986_0001"</f>
        <v>PFES1162730986_0001</v>
      </c>
      <c r="L1221" s="10">
        <v>1</v>
      </c>
      <c r="M1221" s="10">
        <v>6</v>
      </c>
    </row>
    <row r="1222" spans="1:13">
      <c r="A1222" s="6">
        <v>43844</v>
      </c>
      <c r="B1222" s="7">
        <v>0.56388888888888888</v>
      </c>
      <c r="C1222" s="10" t="str">
        <f>"FES1162730863"</f>
        <v>FES1162730863</v>
      </c>
      <c r="D1222" s="10" t="s">
        <v>19</v>
      </c>
      <c r="E1222" s="10" t="s">
        <v>199</v>
      </c>
      <c r="F1222" s="10" t="str">
        <f>"2170723455 "</f>
        <v xml:space="preserve">2170723455 </v>
      </c>
      <c r="G1222" s="10" t="str">
        <f t="shared" si="37"/>
        <v>ON1</v>
      </c>
      <c r="H1222" s="10" t="s">
        <v>21</v>
      </c>
      <c r="I1222" s="10" t="s">
        <v>200</v>
      </c>
      <c r="J1222" s="10" t="str">
        <f>""</f>
        <v/>
      </c>
      <c r="K1222" s="10" t="str">
        <f>"PFES1162730863_0001"</f>
        <v>PFES1162730863_0001</v>
      </c>
      <c r="L1222" s="10">
        <v>1</v>
      </c>
      <c r="M1222" s="10">
        <v>19</v>
      </c>
    </row>
    <row r="1223" spans="1:13">
      <c r="A1223" s="6">
        <v>43844</v>
      </c>
      <c r="B1223" s="7">
        <v>0.56388888888888888</v>
      </c>
      <c r="C1223" s="10" t="str">
        <f>"FES1162730961"</f>
        <v>FES1162730961</v>
      </c>
      <c r="D1223" s="10" t="s">
        <v>19</v>
      </c>
      <c r="E1223" s="10" t="s">
        <v>365</v>
      </c>
      <c r="F1223" s="10" t="str">
        <f>"2170723561 "</f>
        <v xml:space="preserve">2170723561 </v>
      </c>
      <c r="G1223" s="10" t="str">
        <f>"DBC"</f>
        <v>DBC</v>
      </c>
      <c r="H1223" s="10" t="s">
        <v>21</v>
      </c>
      <c r="I1223" s="10" t="s">
        <v>366</v>
      </c>
      <c r="J1223" s="10" t="str">
        <f>""</f>
        <v/>
      </c>
      <c r="K1223" s="10" t="str">
        <f>"PFES1162730961_0001"</f>
        <v>PFES1162730961_0001</v>
      </c>
      <c r="L1223" s="10">
        <v>1</v>
      </c>
      <c r="M1223" s="10">
        <v>25</v>
      </c>
    </row>
    <row r="1224" spans="1:13">
      <c r="A1224" s="6">
        <v>43844</v>
      </c>
      <c r="B1224" s="7">
        <v>0.56319444444444444</v>
      </c>
      <c r="C1224" s="10" t="str">
        <f>"FES1162731002"</f>
        <v>FES1162731002</v>
      </c>
      <c r="D1224" s="10" t="s">
        <v>19</v>
      </c>
      <c r="E1224" s="10" t="s">
        <v>607</v>
      </c>
      <c r="F1224" s="10" t="str">
        <f>"2170723591 "</f>
        <v xml:space="preserve">2170723591 </v>
      </c>
      <c r="G1224" s="10" t="str">
        <f t="shared" ref="G1224:G1268" si="38">"ON1"</f>
        <v>ON1</v>
      </c>
      <c r="H1224" s="10" t="s">
        <v>21</v>
      </c>
      <c r="I1224" s="10" t="s">
        <v>416</v>
      </c>
      <c r="J1224" s="10" t="str">
        <f>""</f>
        <v/>
      </c>
      <c r="K1224" s="10" t="str">
        <f>"PFES1162731002_0001"</f>
        <v>PFES1162731002_0001</v>
      </c>
      <c r="L1224" s="10">
        <v>1</v>
      </c>
      <c r="M1224" s="10">
        <v>7</v>
      </c>
    </row>
    <row r="1225" spans="1:13">
      <c r="A1225" s="6">
        <v>43844</v>
      </c>
      <c r="B1225" s="7">
        <v>0.56319444444444444</v>
      </c>
      <c r="C1225" s="10" t="str">
        <f>"FES1162731066"</f>
        <v>FES1162731066</v>
      </c>
      <c r="D1225" s="10" t="s">
        <v>19</v>
      </c>
      <c r="E1225" s="10" t="s">
        <v>192</v>
      </c>
      <c r="F1225" s="10" t="str">
        <f>"2170723662 "</f>
        <v xml:space="preserve">2170723662 </v>
      </c>
      <c r="G1225" s="10" t="str">
        <f t="shared" si="38"/>
        <v>ON1</v>
      </c>
      <c r="H1225" s="10" t="s">
        <v>21</v>
      </c>
      <c r="I1225" s="10" t="s">
        <v>193</v>
      </c>
      <c r="J1225" s="10" t="str">
        <f>""</f>
        <v/>
      </c>
      <c r="K1225" s="10" t="str">
        <f>"PFES1162731066_0001"</f>
        <v>PFES1162731066_0001</v>
      </c>
      <c r="L1225" s="10">
        <v>1</v>
      </c>
      <c r="M1225" s="10">
        <v>2</v>
      </c>
    </row>
    <row r="1226" spans="1:13">
      <c r="A1226" s="6">
        <v>43844</v>
      </c>
      <c r="B1226" s="7">
        <v>0.56319444444444444</v>
      </c>
      <c r="C1226" s="10" t="str">
        <f>"FES1162731045"</f>
        <v>FES1162731045</v>
      </c>
      <c r="D1226" s="10" t="s">
        <v>19</v>
      </c>
      <c r="E1226" s="10" t="s">
        <v>472</v>
      </c>
      <c r="F1226" s="10" t="str">
        <f>"2170723643 "</f>
        <v xml:space="preserve">2170723643 </v>
      </c>
      <c r="G1226" s="10" t="str">
        <f t="shared" si="38"/>
        <v>ON1</v>
      </c>
      <c r="H1226" s="10" t="s">
        <v>21</v>
      </c>
      <c r="I1226" s="10" t="s">
        <v>85</v>
      </c>
      <c r="J1226" s="10" t="str">
        <f>""</f>
        <v/>
      </c>
      <c r="K1226" s="10" t="str">
        <f>"PFES1162731045_0001"</f>
        <v>PFES1162731045_0001</v>
      </c>
      <c r="L1226" s="10">
        <v>1</v>
      </c>
      <c r="M1226" s="10">
        <v>6</v>
      </c>
    </row>
    <row r="1227" spans="1:13">
      <c r="A1227" s="6">
        <v>43844</v>
      </c>
      <c r="B1227" s="7">
        <v>0.56180555555555556</v>
      </c>
      <c r="C1227" s="10" t="str">
        <f>"FES1162731064"</f>
        <v>FES1162731064</v>
      </c>
      <c r="D1227" s="10" t="s">
        <v>19</v>
      </c>
      <c r="E1227" s="10" t="s">
        <v>672</v>
      </c>
      <c r="F1227" s="10" t="str">
        <f>"217723660 "</f>
        <v xml:space="preserve">217723660 </v>
      </c>
      <c r="G1227" s="10" t="str">
        <f t="shared" si="38"/>
        <v>ON1</v>
      </c>
      <c r="H1227" s="10" t="s">
        <v>21</v>
      </c>
      <c r="I1227" s="10" t="s">
        <v>288</v>
      </c>
      <c r="J1227" s="10" t="str">
        <f>""</f>
        <v/>
      </c>
      <c r="K1227" s="10" t="str">
        <f>"PFES1162731064_0001"</f>
        <v>PFES1162731064_0001</v>
      </c>
      <c r="L1227" s="10">
        <v>1</v>
      </c>
      <c r="M1227" s="10">
        <v>3</v>
      </c>
    </row>
    <row r="1228" spans="1:13">
      <c r="A1228" s="6">
        <v>43844</v>
      </c>
      <c r="B1228" s="7">
        <v>0.56111111111111112</v>
      </c>
      <c r="C1228" s="10" t="str">
        <f>"FES1162731033"</f>
        <v>FES1162731033</v>
      </c>
      <c r="D1228" s="10" t="s">
        <v>19</v>
      </c>
      <c r="E1228" s="10" t="s">
        <v>673</v>
      </c>
      <c r="F1228" s="10" t="str">
        <f>"2170723630 "</f>
        <v xml:space="preserve">2170723630 </v>
      </c>
      <c r="G1228" s="10" t="str">
        <f t="shared" si="38"/>
        <v>ON1</v>
      </c>
      <c r="H1228" s="10" t="s">
        <v>21</v>
      </c>
      <c r="I1228" s="10" t="s">
        <v>674</v>
      </c>
      <c r="J1228" s="10" t="str">
        <f>""</f>
        <v/>
      </c>
      <c r="K1228" s="10" t="str">
        <f>"PFES1162731033_0001"</f>
        <v>PFES1162731033_0001</v>
      </c>
      <c r="L1228" s="10">
        <v>1</v>
      </c>
      <c r="M1228" s="10">
        <v>1</v>
      </c>
    </row>
    <row r="1229" spans="1:13">
      <c r="A1229" s="6">
        <v>43844</v>
      </c>
      <c r="B1229" s="7">
        <v>0.56041666666666667</v>
      </c>
      <c r="C1229" s="10" t="str">
        <f>"FES1162731072"</f>
        <v>FES1162731072</v>
      </c>
      <c r="D1229" s="10" t="s">
        <v>19</v>
      </c>
      <c r="E1229" s="10" t="s">
        <v>675</v>
      </c>
      <c r="F1229" s="10" t="str">
        <f>"                              2170723669 "</f>
        <v xml:space="preserve">                              2170723669 </v>
      </c>
      <c r="G1229" s="10" t="str">
        <f t="shared" si="38"/>
        <v>ON1</v>
      </c>
      <c r="H1229" s="10" t="s">
        <v>21</v>
      </c>
      <c r="I1229" s="10" t="s">
        <v>320</v>
      </c>
      <c r="J1229" s="10" t="str">
        <f>""</f>
        <v/>
      </c>
      <c r="K1229" s="10" t="str">
        <f>"PFES1162731072_0001"</f>
        <v>PFES1162731072_0001</v>
      </c>
      <c r="L1229" s="10">
        <v>1</v>
      </c>
      <c r="M1229" s="10">
        <v>1</v>
      </c>
    </row>
    <row r="1230" spans="1:13">
      <c r="A1230" s="6">
        <v>43844</v>
      </c>
      <c r="B1230" s="7">
        <v>0.55972222222222223</v>
      </c>
      <c r="C1230" s="10" t="str">
        <f>"FES1162731065"</f>
        <v>FES1162731065</v>
      </c>
      <c r="D1230" s="10" t="s">
        <v>19</v>
      </c>
      <c r="E1230" s="10" t="s">
        <v>289</v>
      </c>
      <c r="F1230" s="10" t="str">
        <f>"2170723661 "</f>
        <v xml:space="preserve">2170723661 </v>
      </c>
      <c r="G1230" s="10" t="str">
        <f t="shared" si="38"/>
        <v>ON1</v>
      </c>
      <c r="H1230" s="10" t="s">
        <v>21</v>
      </c>
      <c r="I1230" s="10" t="s">
        <v>233</v>
      </c>
      <c r="J1230" s="10" t="str">
        <f>""</f>
        <v/>
      </c>
      <c r="K1230" s="10" t="str">
        <f>"PFES1162731065_0001"</f>
        <v>PFES1162731065_0001</v>
      </c>
      <c r="L1230" s="10">
        <v>1</v>
      </c>
      <c r="M1230" s="10">
        <v>7</v>
      </c>
    </row>
    <row r="1231" spans="1:13">
      <c r="A1231" s="6">
        <v>43844</v>
      </c>
      <c r="B1231" s="7">
        <v>0.55902777777777779</v>
      </c>
      <c r="C1231" s="10" t="str">
        <f>"FES1162731062"</f>
        <v>FES1162731062</v>
      </c>
      <c r="D1231" s="10" t="s">
        <v>19</v>
      </c>
      <c r="E1231" s="10" t="s">
        <v>516</v>
      </c>
      <c r="F1231" s="10" t="str">
        <f>"2170723657 "</f>
        <v xml:space="preserve">2170723657 </v>
      </c>
      <c r="G1231" s="10" t="str">
        <f t="shared" si="38"/>
        <v>ON1</v>
      </c>
      <c r="H1231" s="10" t="s">
        <v>21</v>
      </c>
      <c r="I1231" s="10" t="s">
        <v>517</v>
      </c>
      <c r="J1231" s="10" t="str">
        <f>""</f>
        <v/>
      </c>
      <c r="K1231" s="10" t="str">
        <f>"PFES1162731062_0001"</f>
        <v>PFES1162731062_0001</v>
      </c>
      <c r="L1231" s="10">
        <v>1</v>
      </c>
      <c r="M1231" s="10">
        <v>1</v>
      </c>
    </row>
    <row r="1232" spans="1:13">
      <c r="A1232" s="6">
        <v>43844</v>
      </c>
      <c r="B1232" s="7">
        <v>0.55902777777777779</v>
      </c>
      <c r="C1232" s="10" t="str">
        <f>"FES1162731106"</f>
        <v>FES1162731106</v>
      </c>
      <c r="D1232" s="10" t="s">
        <v>19</v>
      </c>
      <c r="E1232" s="10" t="s">
        <v>64</v>
      </c>
      <c r="F1232" s="10" t="str">
        <f>"2170719258 "</f>
        <v xml:space="preserve">2170719258 </v>
      </c>
      <c r="G1232" s="10" t="str">
        <f t="shared" si="38"/>
        <v>ON1</v>
      </c>
      <c r="H1232" s="10" t="s">
        <v>21</v>
      </c>
      <c r="I1232" s="10" t="s">
        <v>60</v>
      </c>
      <c r="J1232" s="10" t="str">
        <f>""</f>
        <v/>
      </c>
      <c r="K1232" s="10" t="str">
        <f>"PFES1162731106_0001"</f>
        <v>PFES1162731106_0001</v>
      </c>
      <c r="L1232" s="10">
        <v>1</v>
      </c>
      <c r="M1232" s="10">
        <v>2</v>
      </c>
    </row>
    <row r="1233" spans="1:13">
      <c r="A1233" s="6">
        <v>43844</v>
      </c>
      <c r="B1233" s="7">
        <v>0.55902777777777779</v>
      </c>
      <c r="C1233" s="10" t="str">
        <f>"FES1162731024"</f>
        <v>FES1162731024</v>
      </c>
      <c r="D1233" s="10" t="s">
        <v>19</v>
      </c>
      <c r="E1233" s="10" t="s">
        <v>676</v>
      </c>
      <c r="F1233" s="10" t="str">
        <f>"2170723615 "</f>
        <v xml:space="preserve">2170723615 </v>
      </c>
      <c r="G1233" s="10" t="str">
        <f t="shared" si="38"/>
        <v>ON1</v>
      </c>
      <c r="H1233" s="10" t="s">
        <v>21</v>
      </c>
      <c r="I1233" s="10" t="s">
        <v>617</v>
      </c>
      <c r="J1233" s="10" t="str">
        <f>""</f>
        <v/>
      </c>
      <c r="K1233" s="10" t="str">
        <f>"PFES1162731024_0001"</f>
        <v>PFES1162731024_0001</v>
      </c>
      <c r="L1233" s="10">
        <v>1</v>
      </c>
      <c r="M1233" s="10">
        <v>3</v>
      </c>
    </row>
    <row r="1234" spans="1:13">
      <c r="A1234" s="6">
        <v>43844</v>
      </c>
      <c r="B1234" s="7">
        <v>0.55833333333333335</v>
      </c>
      <c r="C1234" s="10" t="str">
        <f>"FES1162731071"</f>
        <v>FES1162731071</v>
      </c>
      <c r="D1234" s="10" t="s">
        <v>19</v>
      </c>
      <c r="E1234" s="10" t="s">
        <v>606</v>
      </c>
      <c r="F1234" s="10" t="str">
        <f>"2170723668 "</f>
        <v xml:space="preserve">2170723668 </v>
      </c>
      <c r="G1234" s="10" t="str">
        <f t="shared" si="38"/>
        <v>ON1</v>
      </c>
      <c r="H1234" s="10" t="s">
        <v>21</v>
      </c>
      <c r="I1234" s="10" t="s">
        <v>235</v>
      </c>
      <c r="J1234" s="10" t="str">
        <f>""</f>
        <v/>
      </c>
      <c r="K1234" s="10" t="str">
        <f>"PFES1162731071_0001"</f>
        <v>PFES1162731071_0001</v>
      </c>
      <c r="L1234" s="10">
        <v>1</v>
      </c>
      <c r="M1234" s="10">
        <v>1</v>
      </c>
    </row>
    <row r="1235" spans="1:13">
      <c r="A1235" s="6">
        <v>43844</v>
      </c>
      <c r="B1235" s="7">
        <v>0.55763888888888891</v>
      </c>
      <c r="C1235" s="10" t="str">
        <f>"FES1162731040"</f>
        <v>FES1162731040</v>
      </c>
      <c r="D1235" s="10" t="s">
        <v>19</v>
      </c>
      <c r="E1235" s="10" t="s">
        <v>677</v>
      </c>
      <c r="F1235" s="10" t="str">
        <f>"2170723638 "</f>
        <v xml:space="preserve">2170723638 </v>
      </c>
      <c r="G1235" s="10" t="str">
        <f t="shared" si="38"/>
        <v>ON1</v>
      </c>
      <c r="H1235" s="10" t="s">
        <v>21</v>
      </c>
      <c r="I1235" s="10" t="s">
        <v>678</v>
      </c>
      <c r="J1235" s="10" t="str">
        <f>""</f>
        <v/>
      </c>
      <c r="K1235" s="10" t="str">
        <f>"PFES1162731040_0001"</f>
        <v>PFES1162731040_0001</v>
      </c>
      <c r="L1235" s="10">
        <v>1</v>
      </c>
      <c r="M1235" s="10">
        <v>9</v>
      </c>
    </row>
    <row r="1236" spans="1:13">
      <c r="A1236" s="6">
        <v>43844</v>
      </c>
      <c r="B1236" s="7">
        <v>0.55763888888888891</v>
      </c>
      <c r="C1236" s="10" t="str">
        <f>"FES1162731078"</f>
        <v>FES1162731078</v>
      </c>
      <c r="D1236" s="10" t="s">
        <v>19</v>
      </c>
      <c r="E1236" s="10" t="s">
        <v>679</v>
      </c>
      <c r="F1236" s="10" t="str">
        <f>"2170723675 "</f>
        <v xml:space="preserve">2170723675 </v>
      </c>
      <c r="G1236" s="10" t="str">
        <f t="shared" si="38"/>
        <v>ON1</v>
      </c>
      <c r="H1236" s="10" t="s">
        <v>21</v>
      </c>
      <c r="I1236" s="10" t="s">
        <v>554</v>
      </c>
      <c r="J1236" s="10" t="str">
        <f>""</f>
        <v/>
      </c>
      <c r="K1236" s="10" t="str">
        <f>"PFES1162731078_0001"</f>
        <v>PFES1162731078_0001</v>
      </c>
      <c r="L1236" s="10">
        <v>1</v>
      </c>
      <c r="M1236" s="10">
        <v>1</v>
      </c>
    </row>
    <row r="1237" spans="1:13">
      <c r="A1237" s="6">
        <v>43844</v>
      </c>
      <c r="B1237" s="7">
        <v>0.55763888888888891</v>
      </c>
      <c r="C1237" s="10" t="str">
        <f>"FES1162731102"</f>
        <v>FES1162731102</v>
      </c>
      <c r="D1237" s="10" t="s">
        <v>19</v>
      </c>
      <c r="E1237" s="10" t="s">
        <v>611</v>
      </c>
      <c r="F1237" s="10" t="str">
        <f>"2170723697 "</f>
        <v xml:space="preserve">2170723697 </v>
      </c>
      <c r="G1237" s="10" t="str">
        <f t="shared" si="38"/>
        <v>ON1</v>
      </c>
      <c r="H1237" s="10" t="s">
        <v>21</v>
      </c>
      <c r="I1237" s="10" t="s">
        <v>36</v>
      </c>
      <c r="J1237" s="10" t="str">
        <f>""</f>
        <v/>
      </c>
      <c r="K1237" s="10" t="str">
        <f>"PFES1162731102_0001"</f>
        <v>PFES1162731102_0001</v>
      </c>
      <c r="L1237" s="10">
        <v>1</v>
      </c>
      <c r="M1237" s="10">
        <v>1</v>
      </c>
    </row>
    <row r="1238" spans="1:13">
      <c r="A1238" s="6">
        <v>43844</v>
      </c>
      <c r="B1238" s="7">
        <v>0.55694444444444446</v>
      </c>
      <c r="C1238" s="10" t="str">
        <f>"FES1162731101"</f>
        <v>FES1162731101</v>
      </c>
      <c r="D1238" s="10" t="s">
        <v>19</v>
      </c>
      <c r="E1238" s="10" t="s">
        <v>218</v>
      </c>
      <c r="F1238" s="10" t="str">
        <f>"2170719968 "</f>
        <v xml:space="preserve">2170719968 </v>
      </c>
      <c r="G1238" s="10" t="str">
        <f t="shared" si="38"/>
        <v>ON1</v>
      </c>
      <c r="H1238" s="10" t="s">
        <v>21</v>
      </c>
      <c r="I1238" s="10" t="s">
        <v>49</v>
      </c>
      <c r="J1238" s="10" t="str">
        <f>""</f>
        <v/>
      </c>
      <c r="K1238" s="10" t="str">
        <f>"PFES1162731101_0001"</f>
        <v>PFES1162731101_0001</v>
      </c>
      <c r="L1238" s="10">
        <v>1</v>
      </c>
      <c r="M1238" s="10">
        <v>7</v>
      </c>
    </row>
    <row r="1239" spans="1:13">
      <c r="A1239" s="6">
        <v>43844</v>
      </c>
      <c r="B1239" s="7">
        <v>0.55694444444444446</v>
      </c>
      <c r="C1239" s="10" t="str">
        <f>"FES1162731057"</f>
        <v>FES1162731057</v>
      </c>
      <c r="D1239" s="10" t="s">
        <v>19</v>
      </c>
      <c r="E1239" s="10" t="s">
        <v>680</v>
      </c>
      <c r="F1239" s="10" t="str">
        <f>"2170723652 "</f>
        <v xml:space="preserve">2170723652 </v>
      </c>
      <c r="G1239" s="10" t="str">
        <f t="shared" si="38"/>
        <v>ON1</v>
      </c>
      <c r="H1239" s="10" t="s">
        <v>21</v>
      </c>
      <c r="I1239" s="10" t="s">
        <v>681</v>
      </c>
      <c r="J1239" s="10" t="str">
        <f>""</f>
        <v/>
      </c>
      <c r="K1239" s="10" t="str">
        <f>"PFES1162731057_0001"</f>
        <v>PFES1162731057_0001</v>
      </c>
      <c r="L1239" s="10">
        <v>1</v>
      </c>
      <c r="M1239" s="10">
        <v>1</v>
      </c>
    </row>
    <row r="1240" spans="1:13">
      <c r="A1240" s="6">
        <v>43844</v>
      </c>
      <c r="B1240" s="7">
        <v>0.53888888888888886</v>
      </c>
      <c r="C1240" s="10" t="str">
        <f>"FES1162731076"</f>
        <v>FES1162731076</v>
      </c>
      <c r="D1240" s="10" t="s">
        <v>19</v>
      </c>
      <c r="E1240" s="10" t="s">
        <v>682</v>
      </c>
      <c r="F1240" s="10" t="str">
        <f>"2170723673 "</f>
        <v xml:space="preserve">2170723673 </v>
      </c>
      <c r="G1240" s="10" t="str">
        <f t="shared" si="38"/>
        <v>ON1</v>
      </c>
      <c r="H1240" s="10" t="s">
        <v>21</v>
      </c>
      <c r="I1240" s="10" t="s">
        <v>36</v>
      </c>
      <c r="J1240" s="10" t="str">
        <f>""</f>
        <v/>
      </c>
      <c r="K1240" s="10" t="str">
        <f>"PFES1162731076_0001"</f>
        <v>PFES1162731076_0001</v>
      </c>
      <c r="L1240" s="10">
        <v>1</v>
      </c>
      <c r="M1240" s="10">
        <v>1</v>
      </c>
    </row>
    <row r="1241" spans="1:13">
      <c r="A1241" s="6">
        <v>43844</v>
      </c>
      <c r="B1241" s="7">
        <v>0.53819444444444442</v>
      </c>
      <c r="C1241" s="10" t="str">
        <f>"FES1162730979"</f>
        <v>FES1162730979</v>
      </c>
      <c r="D1241" s="10" t="s">
        <v>19</v>
      </c>
      <c r="E1241" s="10" t="s">
        <v>147</v>
      </c>
      <c r="F1241" s="10" t="str">
        <f>"2170722428 "</f>
        <v xml:space="preserve">2170722428 </v>
      </c>
      <c r="G1241" s="10" t="str">
        <f t="shared" si="38"/>
        <v>ON1</v>
      </c>
      <c r="H1241" s="10" t="s">
        <v>21</v>
      </c>
      <c r="I1241" s="10" t="s">
        <v>148</v>
      </c>
      <c r="J1241" s="10" t="str">
        <f>""</f>
        <v/>
      </c>
      <c r="K1241" s="10" t="str">
        <f>"PFES1162730979_0001"</f>
        <v>PFES1162730979_0001</v>
      </c>
      <c r="L1241" s="10">
        <v>1</v>
      </c>
      <c r="M1241" s="10">
        <v>1</v>
      </c>
    </row>
    <row r="1242" spans="1:13">
      <c r="A1242" s="6">
        <v>43844</v>
      </c>
      <c r="B1242" s="7">
        <v>0.53749999999999998</v>
      </c>
      <c r="C1242" s="10" t="str">
        <f>"FES1162731051"</f>
        <v>FES1162731051</v>
      </c>
      <c r="D1242" s="10" t="s">
        <v>19</v>
      </c>
      <c r="E1242" s="10" t="s">
        <v>188</v>
      </c>
      <c r="F1242" s="10" t="str">
        <f>"2170723646 "</f>
        <v xml:space="preserve">2170723646 </v>
      </c>
      <c r="G1242" s="10" t="str">
        <f t="shared" si="38"/>
        <v>ON1</v>
      </c>
      <c r="H1242" s="10" t="s">
        <v>21</v>
      </c>
      <c r="I1242" s="10" t="s">
        <v>189</v>
      </c>
      <c r="J1242" s="10" t="str">
        <f>""</f>
        <v/>
      </c>
      <c r="K1242" s="10" t="str">
        <f>"PFES1162731051_0001"</f>
        <v>PFES1162731051_0001</v>
      </c>
      <c r="L1242" s="10">
        <v>1</v>
      </c>
      <c r="M1242" s="10">
        <v>1</v>
      </c>
    </row>
    <row r="1243" spans="1:13">
      <c r="A1243" s="6">
        <v>43844</v>
      </c>
      <c r="B1243" s="7">
        <v>0.53680555555555554</v>
      </c>
      <c r="C1243" s="10" t="str">
        <f>"FES1162730815"</f>
        <v>FES1162730815</v>
      </c>
      <c r="D1243" s="10" t="s">
        <v>19</v>
      </c>
      <c r="E1243" s="10" t="s">
        <v>478</v>
      </c>
      <c r="F1243" s="10" t="str">
        <f>"2170723404 "</f>
        <v xml:space="preserve">2170723404 </v>
      </c>
      <c r="G1243" s="10" t="str">
        <f t="shared" si="38"/>
        <v>ON1</v>
      </c>
      <c r="H1243" s="10" t="s">
        <v>21</v>
      </c>
      <c r="I1243" s="10" t="s">
        <v>277</v>
      </c>
      <c r="J1243" s="10" t="str">
        <f>""</f>
        <v/>
      </c>
      <c r="K1243" s="10" t="str">
        <f>"PFES1162730815_0001"</f>
        <v>PFES1162730815_0001</v>
      </c>
      <c r="L1243" s="10">
        <v>1</v>
      </c>
      <c r="M1243" s="10">
        <v>1</v>
      </c>
    </row>
    <row r="1244" spans="1:13">
      <c r="A1244" s="6">
        <v>43844</v>
      </c>
      <c r="B1244" s="7">
        <v>0.53611111111111109</v>
      </c>
      <c r="C1244" s="10" t="str">
        <f>"FES1162730988"</f>
        <v>FES1162730988</v>
      </c>
      <c r="D1244" s="10" t="s">
        <v>19</v>
      </c>
      <c r="E1244" s="10" t="s">
        <v>683</v>
      </c>
      <c r="F1244" s="10" t="str">
        <f>"2170723176 "</f>
        <v xml:space="preserve">2170723176 </v>
      </c>
      <c r="G1244" s="10" t="str">
        <f t="shared" si="38"/>
        <v>ON1</v>
      </c>
      <c r="H1244" s="10" t="s">
        <v>21</v>
      </c>
      <c r="I1244" s="10" t="s">
        <v>31</v>
      </c>
      <c r="J1244" s="10" t="str">
        <f>""</f>
        <v/>
      </c>
      <c r="K1244" s="10" t="str">
        <f>"PFES1162730988_0001"</f>
        <v>PFES1162730988_0001</v>
      </c>
      <c r="L1244" s="10">
        <v>1</v>
      </c>
      <c r="M1244" s="10">
        <v>1</v>
      </c>
    </row>
    <row r="1245" spans="1:13">
      <c r="A1245" s="6">
        <v>43844</v>
      </c>
      <c r="B1245" s="7">
        <v>0.53611111111111109</v>
      </c>
      <c r="C1245" s="10" t="str">
        <f>"FES1162731068"</f>
        <v>FES1162731068</v>
      </c>
      <c r="D1245" s="10" t="s">
        <v>19</v>
      </c>
      <c r="E1245" s="10" t="s">
        <v>684</v>
      </c>
      <c r="F1245" s="10" t="str">
        <f>"2170723665 "</f>
        <v xml:space="preserve">2170723665 </v>
      </c>
      <c r="G1245" s="10" t="str">
        <f t="shared" si="38"/>
        <v>ON1</v>
      </c>
      <c r="H1245" s="10" t="s">
        <v>21</v>
      </c>
      <c r="I1245" s="10" t="s">
        <v>685</v>
      </c>
      <c r="J1245" s="10" t="str">
        <f>""</f>
        <v/>
      </c>
      <c r="K1245" s="10" t="str">
        <f>"PFES1162731068_0001"</f>
        <v>PFES1162731068_0001</v>
      </c>
      <c r="L1245" s="10">
        <v>1</v>
      </c>
      <c r="M1245" s="10">
        <v>1</v>
      </c>
    </row>
    <row r="1246" spans="1:13">
      <c r="A1246" s="6">
        <v>43844</v>
      </c>
      <c r="B1246" s="7">
        <v>0.53541666666666665</v>
      </c>
      <c r="C1246" s="10" t="str">
        <f>"FES1162730993"</f>
        <v>FES1162730993</v>
      </c>
      <c r="D1246" s="10" t="s">
        <v>19</v>
      </c>
      <c r="E1246" s="10" t="s">
        <v>84</v>
      </c>
      <c r="F1246" s="10" t="str">
        <f>"2170723558 "</f>
        <v xml:space="preserve">2170723558 </v>
      </c>
      <c r="G1246" s="10" t="str">
        <f t="shared" si="38"/>
        <v>ON1</v>
      </c>
      <c r="H1246" s="10" t="s">
        <v>21</v>
      </c>
      <c r="I1246" s="10" t="s">
        <v>85</v>
      </c>
      <c r="J1246" s="10" t="str">
        <f>""</f>
        <v/>
      </c>
      <c r="K1246" s="10" t="str">
        <f>"PFES1162730993_0001"</f>
        <v>PFES1162730993_0001</v>
      </c>
      <c r="L1246" s="10">
        <v>1</v>
      </c>
      <c r="M1246" s="10">
        <v>1</v>
      </c>
    </row>
    <row r="1247" spans="1:13">
      <c r="A1247" s="6">
        <v>43844</v>
      </c>
      <c r="B1247" s="7">
        <v>0.53472222222222221</v>
      </c>
      <c r="C1247" s="10" t="str">
        <f>"FES1162730998"</f>
        <v>FES1162730998</v>
      </c>
      <c r="D1247" s="10" t="s">
        <v>19</v>
      </c>
      <c r="E1247" s="10" t="s">
        <v>680</v>
      </c>
      <c r="F1247" s="10" t="str">
        <f>"2170723587 "</f>
        <v xml:space="preserve">2170723587 </v>
      </c>
      <c r="G1247" s="10" t="str">
        <f t="shared" si="38"/>
        <v>ON1</v>
      </c>
      <c r="H1247" s="10" t="s">
        <v>21</v>
      </c>
      <c r="I1247" s="10" t="s">
        <v>681</v>
      </c>
      <c r="J1247" s="10" t="str">
        <f>""</f>
        <v/>
      </c>
      <c r="K1247" s="10" t="str">
        <f>"PFES1162730998_0001"</f>
        <v>PFES1162730998_0001</v>
      </c>
      <c r="L1247" s="10">
        <v>1</v>
      </c>
      <c r="M1247" s="10">
        <v>1</v>
      </c>
    </row>
    <row r="1248" spans="1:13">
      <c r="A1248" s="6">
        <v>43844</v>
      </c>
      <c r="B1248" s="7">
        <v>0.53402777777777777</v>
      </c>
      <c r="C1248" s="10" t="str">
        <f>"FES1162731085"</f>
        <v>FES1162731085</v>
      </c>
      <c r="D1248" s="10" t="s">
        <v>19</v>
      </c>
      <c r="E1248" s="10" t="s">
        <v>37</v>
      </c>
      <c r="F1248" s="10" t="str">
        <f>"2170723682 "</f>
        <v xml:space="preserve">2170723682 </v>
      </c>
      <c r="G1248" s="10" t="str">
        <f t="shared" si="38"/>
        <v>ON1</v>
      </c>
      <c r="H1248" s="10" t="s">
        <v>21</v>
      </c>
      <c r="I1248" s="10" t="s">
        <v>38</v>
      </c>
      <c r="J1248" s="10" t="str">
        <f>""</f>
        <v/>
      </c>
      <c r="K1248" s="10" t="str">
        <f>"PFES1162731085_0001"</f>
        <v>PFES1162731085_0001</v>
      </c>
      <c r="L1248" s="10">
        <v>1</v>
      </c>
      <c r="M1248" s="10">
        <v>1</v>
      </c>
    </row>
    <row r="1249" spans="1:13">
      <c r="A1249" s="6">
        <v>43844</v>
      </c>
      <c r="B1249" s="7">
        <v>0.53333333333333333</v>
      </c>
      <c r="C1249" s="10" t="str">
        <f>"FES1162731012"</f>
        <v>FES1162731012</v>
      </c>
      <c r="D1249" s="10" t="s">
        <v>19</v>
      </c>
      <c r="E1249" s="10" t="s">
        <v>300</v>
      </c>
      <c r="F1249" s="10" t="str">
        <f>"2170723257 "</f>
        <v xml:space="preserve">2170723257 </v>
      </c>
      <c r="G1249" s="10" t="str">
        <f t="shared" si="38"/>
        <v>ON1</v>
      </c>
      <c r="H1249" s="10" t="s">
        <v>21</v>
      </c>
      <c r="I1249" s="10" t="s">
        <v>301</v>
      </c>
      <c r="J1249" s="10" t="str">
        <f>""</f>
        <v/>
      </c>
      <c r="K1249" s="10" t="str">
        <f>"PFES1162731012_0001"</f>
        <v>PFES1162731012_0001</v>
      </c>
      <c r="L1249" s="10">
        <v>1</v>
      </c>
      <c r="M1249" s="10">
        <v>1</v>
      </c>
    </row>
    <row r="1250" spans="1:13">
      <c r="A1250" s="6">
        <v>43844</v>
      </c>
      <c r="B1250" s="7">
        <v>0.53194444444444444</v>
      </c>
      <c r="C1250" s="10" t="str">
        <f>"FES1162730959"</f>
        <v>FES1162730959</v>
      </c>
      <c r="D1250" s="10" t="s">
        <v>19</v>
      </c>
      <c r="E1250" s="10" t="s">
        <v>686</v>
      </c>
      <c r="F1250" s="10" t="str">
        <f>"2170723063 "</f>
        <v xml:space="preserve">2170723063 </v>
      </c>
      <c r="G1250" s="10" t="str">
        <f t="shared" si="38"/>
        <v>ON1</v>
      </c>
      <c r="H1250" s="10" t="s">
        <v>21</v>
      </c>
      <c r="I1250" s="10" t="s">
        <v>687</v>
      </c>
      <c r="J1250" s="10" t="str">
        <f>""</f>
        <v/>
      </c>
      <c r="K1250" s="10" t="str">
        <f>"PFES1162730959_0001"</f>
        <v>PFES1162730959_0001</v>
      </c>
      <c r="L1250" s="10">
        <v>1</v>
      </c>
      <c r="M1250" s="10">
        <v>1</v>
      </c>
    </row>
    <row r="1251" spans="1:13">
      <c r="A1251" s="6">
        <v>43844</v>
      </c>
      <c r="B1251" s="7">
        <v>0.53055555555555556</v>
      </c>
      <c r="C1251" s="10" t="str">
        <f>"FES1162730997"</f>
        <v>FES1162730997</v>
      </c>
      <c r="D1251" s="10" t="s">
        <v>19</v>
      </c>
      <c r="E1251" s="10" t="s">
        <v>680</v>
      </c>
      <c r="F1251" s="10" t="str">
        <f>"2170723586 "</f>
        <v xml:space="preserve">2170723586 </v>
      </c>
      <c r="G1251" s="10" t="str">
        <f t="shared" si="38"/>
        <v>ON1</v>
      </c>
      <c r="H1251" s="10" t="s">
        <v>21</v>
      </c>
      <c r="I1251" s="10" t="s">
        <v>681</v>
      </c>
      <c r="J1251" s="10" t="str">
        <f>""</f>
        <v/>
      </c>
      <c r="K1251" s="10" t="str">
        <f>"PFES1162730997_0001"</f>
        <v>PFES1162730997_0001</v>
      </c>
      <c r="L1251" s="10">
        <v>1</v>
      </c>
      <c r="M1251" s="10">
        <v>1</v>
      </c>
    </row>
    <row r="1252" spans="1:13">
      <c r="A1252" s="6">
        <v>43844</v>
      </c>
      <c r="B1252" s="7">
        <v>0.52916666666666667</v>
      </c>
      <c r="C1252" s="10" t="str">
        <f>"FES1162730995"</f>
        <v>FES1162730995</v>
      </c>
      <c r="D1252" s="10" t="s">
        <v>19</v>
      </c>
      <c r="E1252" s="10" t="s">
        <v>445</v>
      </c>
      <c r="F1252" s="10" t="str">
        <f>"2170723580 "</f>
        <v xml:space="preserve">2170723580 </v>
      </c>
      <c r="G1252" s="10" t="str">
        <f t="shared" si="38"/>
        <v>ON1</v>
      </c>
      <c r="H1252" s="10" t="s">
        <v>21</v>
      </c>
      <c r="I1252" s="10" t="s">
        <v>277</v>
      </c>
      <c r="J1252" s="10" t="str">
        <f>""</f>
        <v/>
      </c>
      <c r="K1252" s="10" t="str">
        <f>"PFES1162730995_0001"</f>
        <v>PFES1162730995_0001</v>
      </c>
      <c r="L1252" s="10">
        <v>1</v>
      </c>
      <c r="M1252" s="10">
        <v>1</v>
      </c>
    </row>
    <row r="1253" spans="1:13">
      <c r="A1253" s="6">
        <v>43844</v>
      </c>
      <c r="B1253" s="7">
        <v>0.52777777777777779</v>
      </c>
      <c r="C1253" s="10" t="str">
        <f>"FES1162730809"</f>
        <v>FES1162730809</v>
      </c>
      <c r="D1253" s="10" t="s">
        <v>19</v>
      </c>
      <c r="E1253" s="10" t="s">
        <v>205</v>
      </c>
      <c r="F1253" s="10" t="str">
        <f>"2170723400 "</f>
        <v xml:space="preserve">2170723400 </v>
      </c>
      <c r="G1253" s="10" t="str">
        <f t="shared" si="38"/>
        <v>ON1</v>
      </c>
      <c r="H1253" s="10" t="s">
        <v>21</v>
      </c>
      <c r="I1253" s="10" t="s">
        <v>88</v>
      </c>
      <c r="J1253" s="10" t="str">
        <f>""</f>
        <v/>
      </c>
      <c r="K1253" s="10" t="str">
        <f>"PFES1162730809_0001"</f>
        <v>PFES1162730809_0001</v>
      </c>
      <c r="L1253" s="10">
        <v>1</v>
      </c>
      <c r="M1253" s="10">
        <v>1</v>
      </c>
    </row>
    <row r="1254" spans="1:13">
      <c r="A1254" s="6">
        <v>43844</v>
      </c>
      <c r="B1254" s="7">
        <v>0.52430555555555558</v>
      </c>
      <c r="C1254" s="10" t="str">
        <f>"FES1162730989"</f>
        <v>FES1162730989</v>
      </c>
      <c r="D1254" s="10" t="s">
        <v>19</v>
      </c>
      <c r="E1254" s="10" t="s">
        <v>456</v>
      </c>
      <c r="F1254" s="10" t="str">
        <f>"2170723224 "</f>
        <v xml:space="preserve">2170723224 </v>
      </c>
      <c r="G1254" s="10" t="str">
        <f t="shared" si="38"/>
        <v>ON1</v>
      </c>
      <c r="H1254" s="10" t="s">
        <v>21</v>
      </c>
      <c r="I1254" s="10" t="s">
        <v>344</v>
      </c>
      <c r="J1254" s="10" t="str">
        <f>""</f>
        <v/>
      </c>
      <c r="K1254" s="10" t="str">
        <f>"PFES1162730989_0001"</f>
        <v>PFES1162730989_0001</v>
      </c>
      <c r="L1254" s="10">
        <v>1</v>
      </c>
      <c r="M1254" s="10">
        <v>2</v>
      </c>
    </row>
    <row r="1255" spans="1:13">
      <c r="A1255" s="6">
        <v>43844</v>
      </c>
      <c r="B1255" s="7">
        <v>0.52361111111111114</v>
      </c>
      <c r="C1255" s="10" t="str">
        <f>"FES1162730987"</f>
        <v>FES1162730987</v>
      </c>
      <c r="D1255" s="10" t="s">
        <v>19</v>
      </c>
      <c r="E1255" s="10" t="s">
        <v>598</v>
      </c>
      <c r="F1255" s="10" t="str">
        <f>"2170723170 "</f>
        <v xml:space="preserve">2170723170 </v>
      </c>
      <c r="G1255" s="10" t="str">
        <f t="shared" si="38"/>
        <v>ON1</v>
      </c>
      <c r="H1255" s="10" t="s">
        <v>21</v>
      </c>
      <c r="I1255" s="10" t="s">
        <v>31</v>
      </c>
      <c r="J1255" s="10" t="str">
        <f>""</f>
        <v/>
      </c>
      <c r="K1255" s="10" t="str">
        <f>"PFES1162730987_0001"</f>
        <v>PFES1162730987_0001</v>
      </c>
      <c r="L1255" s="10">
        <v>1</v>
      </c>
      <c r="M1255" s="10">
        <v>3</v>
      </c>
    </row>
    <row r="1256" spans="1:13">
      <c r="A1256" s="6">
        <v>43844</v>
      </c>
      <c r="B1256" s="7">
        <v>0.52361111111111114</v>
      </c>
      <c r="C1256" s="10" t="str">
        <f>"FES1162730956"</f>
        <v>FES1162730956</v>
      </c>
      <c r="D1256" s="10" t="s">
        <v>19</v>
      </c>
      <c r="E1256" s="10" t="s">
        <v>688</v>
      </c>
      <c r="F1256" s="10" t="str">
        <f>"2170723459 "</f>
        <v xml:space="preserve">2170723459 </v>
      </c>
      <c r="G1256" s="10" t="str">
        <f t="shared" si="38"/>
        <v>ON1</v>
      </c>
      <c r="H1256" s="10" t="s">
        <v>21</v>
      </c>
      <c r="I1256" s="10" t="s">
        <v>689</v>
      </c>
      <c r="J1256" s="10" t="str">
        <f>"OIL"</f>
        <v>OIL</v>
      </c>
      <c r="K1256" s="10" t="str">
        <f>"PFES1162730956_0001"</f>
        <v>PFES1162730956_0001</v>
      </c>
      <c r="L1256" s="10">
        <v>1</v>
      </c>
      <c r="M1256" s="10">
        <v>10</v>
      </c>
    </row>
    <row r="1257" spans="1:13">
      <c r="A1257" s="6">
        <v>43844</v>
      </c>
      <c r="B1257" s="7">
        <v>0.5229166666666667</v>
      </c>
      <c r="C1257" s="10" t="str">
        <f>"FES1162730990"</f>
        <v>FES1162730990</v>
      </c>
      <c r="D1257" s="10" t="s">
        <v>19</v>
      </c>
      <c r="E1257" s="10" t="s">
        <v>35</v>
      </c>
      <c r="F1257" s="10" t="str">
        <f>"217073252 "</f>
        <v xml:space="preserve">217073252 </v>
      </c>
      <c r="G1257" s="10" t="str">
        <f t="shared" si="38"/>
        <v>ON1</v>
      </c>
      <c r="H1257" s="10" t="s">
        <v>21</v>
      </c>
      <c r="I1257" s="10" t="s">
        <v>36</v>
      </c>
      <c r="J1257" s="10" t="str">
        <f>""</f>
        <v/>
      </c>
      <c r="K1257" s="10" t="str">
        <f>"PFES1162730990_0001"</f>
        <v>PFES1162730990_0001</v>
      </c>
      <c r="L1257" s="10">
        <v>1</v>
      </c>
      <c r="M1257" s="10">
        <v>2</v>
      </c>
    </row>
    <row r="1258" spans="1:13">
      <c r="A1258" s="6">
        <v>43844</v>
      </c>
      <c r="B1258" s="7">
        <v>0.5229166666666667</v>
      </c>
      <c r="C1258" s="10" t="str">
        <f>"FES1162731019"</f>
        <v>FES1162731019</v>
      </c>
      <c r="D1258" s="10" t="s">
        <v>19</v>
      </c>
      <c r="E1258" s="10" t="s">
        <v>465</v>
      </c>
      <c r="F1258" s="10" t="str">
        <f>"2170723464 "</f>
        <v xml:space="preserve">2170723464 </v>
      </c>
      <c r="G1258" s="10" t="str">
        <f t="shared" si="38"/>
        <v>ON1</v>
      </c>
      <c r="H1258" s="10" t="s">
        <v>21</v>
      </c>
      <c r="I1258" s="10" t="s">
        <v>466</v>
      </c>
      <c r="J1258" s="10" t="str">
        <f>""</f>
        <v/>
      </c>
      <c r="K1258" s="10" t="str">
        <f>"PFES1162731019_0001"</f>
        <v>PFES1162731019_0001</v>
      </c>
      <c r="L1258" s="10">
        <v>1</v>
      </c>
      <c r="M1258" s="10">
        <v>1</v>
      </c>
    </row>
    <row r="1259" spans="1:13">
      <c r="A1259" s="6">
        <v>43844</v>
      </c>
      <c r="B1259" s="7">
        <v>0.5229166666666667</v>
      </c>
      <c r="C1259" s="10" t="str">
        <f>"FES1162730973"</f>
        <v>FES1162730973</v>
      </c>
      <c r="D1259" s="10" t="s">
        <v>19</v>
      </c>
      <c r="E1259" s="10" t="s">
        <v>64</v>
      </c>
      <c r="F1259" s="10" t="str">
        <f>"2170720219 "</f>
        <v xml:space="preserve">2170720219 </v>
      </c>
      <c r="G1259" s="10" t="str">
        <f t="shared" si="38"/>
        <v>ON1</v>
      </c>
      <c r="H1259" s="10" t="s">
        <v>21</v>
      </c>
      <c r="I1259" s="10" t="s">
        <v>60</v>
      </c>
      <c r="J1259" s="10" t="str">
        <f>""</f>
        <v/>
      </c>
      <c r="K1259" s="10" t="str">
        <f>"PFES1162730973_0001"</f>
        <v>PFES1162730973_0001</v>
      </c>
      <c r="L1259" s="10">
        <v>1</v>
      </c>
      <c r="M1259" s="10">
        <v>3</v>
      </c>
    </row>
    <row r="1260" spans="1:13">
      <c r="A1260" s="6">
        <v>43844</v>
      </c>
      <c r="B1260" s="7">
        <v>0.52222222222222225</v>
      </c>
      <c r="C1260" s="10" t="str">
        <f>"FES1162731021"</f>
        <v>FES1162731021</v>
      </c>
      <c r="D1260" s="10" t="s">
        <v>19</v>
      </c>
      <c r="E1260" s="10" t="s">
        <v>64</v>
      </c>
      <c r="F1260" s="10" t="str">
        <f>"2170723610 "</f>
        <v xml:space="preserve">2170723610 </v>
      </c>
      <c r="G1260" s="10" t="str">
        <f t="shared" si="38"/>
        <v>ON1</v>
      </c>
      <c r="H1260" s="10" t="s">
        <v>21</v>
      </c>
      <c r="I1260" s="10" t="s">
        <v>60</v>
      </c>
      <c r="J1260" s="10" t="str">
        <f>""</f>
        <v/>
      </c>
      <c r="K1260" s="10" t="str">
        <f>"PFES1162731021_0001"</f>
        <v>PFES1162731021_0001</v>
      </c>
      <c r="L1260" s="10">
        <v>1</v>
      </c>
      <c r="M1260" s="10">
        <v>3</v>
      </c>
    </row>
    <row r="1261" spans="1:13">
      <c r="A1261" s="6">
        <v>43844</v>
      </c>
      <c r="B1261" s="7">
        <v>0.52222222222222225</v>
      </c>
      <c r="C1261" s="10" t="str">
        <f>"FES1162730999"</f>
        <v>FES1162730999</v>
      </c>
      <c r="D1261" s="10" t="s">
        <v>19</v>
      </c>
      <c r="E1261" s="10" t="s">
        <v>680</v>
      </c>
      <c r="F1261" s="10" t="str">
        <f>"2170723588 "</f>
        <v xml:space="preserve">2170723588 </v>
      </c>
      <c r="G1261" s="10" t="str">
        <f t="shared" si="38"/>
        <v>ON1</v>
      </c>
      <c r="H1261" s="10" t="s">
        <v>21</v>
      </c>
      <c r="I1261" s="10" t="s">
        <v>681</v>
      </c>
      <c r="J1261" s="10" t="str">
        <f>""</f>
        <v/>
      </c>
      <c r="K1261" s="10" t="str">
        <f>"PFES1162730999_0001"</f>
        <v>PFES1162730999_0001</v>
      </c>
      <c r="L1261" s="10">
        <v>1</v>
      </c>
      <c r="M1261" s="10">
        <v>1</v>
      </c>
    </row>
    <row r="1262" spans="1:13">
      <c r="A1262" s="6">
        <v>43844</v>
      </c>
      <c r="B1262" s="7">
        <v>0.52222222222222225</v>
      </c>
      <c r="C1262" s="10" t="str">
        <f>"FES1162731001"</f>
        <v>FES1162731001</v>
      </c>
      <c r="D1262" s="10" t="s">
        <v>19</v>
      </c>
      <c r="E1262" s="10" t="s">
        <v>680</v>
      </c>
      <c r="F1262" s="10" t="str">
        <f>"2170723590 "</f>
        <v xml:space="preserve">2170723590 </v>
      </c>
      <c r="G1262" s="10" t="str">
        <f t="shared" si="38"/>
        <v>ON1</v>
      </c>
      <c r="H1262" s="10" t="s">
        <v>21</v>
      </c>
      <c r="I1262" s="10" t="s">
        <v>681</v>
      </c>
      <c r="J1262" s="10" t="str">
        <f>""</f>
        <v/>
      </c>
      <c r="K1262" s="10" t="str">
        <f>"PFES1162731001_0001"</f>
        <v>PFES1162731001_0001</v>
      </c>
      <c r="L1262" s="10">
        <v>1</v>
      </c>
      <c r="M1262" s="10">
        <v>7</v>
      </c>
    </row>
    <row r="1263" spans="1:13">
      <c r="A1263" s="6">
        <v>43844</v>
      </c>
      <c r="B1263" s="7">
        <v>0.52152777777777781</v>
      </c>
      <c r="C1263" s="10" t="str">
        <f>"FES1162731059"</f>
        <v>FES1162731059</v>
      </c>
      <c r="D1263" s="10" t="s">
        <v>19</v>
      </c>
      <c r="E1263" s="10" t="s">
        <v>690</v>
      </c>
      <c r="F1263" s="10" t="str">
        <f>"2170723654 "</f>
        <v xml:space="preserve">2170723654 </v>
      </c>
      <c r="G1263" s="10" t="str">
        <f t="shared" si="38"/>
        <v>ON1</v>
      </c>
      <c r="H1263" s="10" t="s">
        <v>21</v>
      </c>
      <c r="I1263" s="10" t="s">
        <v>146</v>
      </c>
      <c r="J1263" s="10" t="str">
        <f>""</f>
        <v/>
      </c>
      <c r="K1263" s="10" t="str">
        <f>"PFES1162731059_0001"</f>
        <v>PFES1162731059_0001</v>
      </c>
      <c r="L1263" s="10">
        <v>1</v>
      </c>
      <c r="M1263" s="10">
        <v>1</v>
      </c>
    </row>
    <row r="1264" spans="1:13">
      <c r="A1264" s="6">
        <v>43844</v>
      </c>
      <c r="B1264" s="7">
        <v>0.52152777777777781</v>
      </c>
      <c r="C1264" s="10" t="str">
        <f>"FES1162731015"</f>
        <v>FES1162731015</v>
      </c>
      <c r="D1264" s="10" t="s">
        <v>19</v>
      </c>
      <c r="E1264" s="10" t="s">
        <v>64</v>
      </c>
      <c r="F1264" s="10" t="str">
        <f>"2170721029 "</f>
        <v xml:space="preserve">2170721029 </v>
      </c>
      <c r="G1264" s="10" t="str">
        <f t="shared" si="38"/>
        <v>ON1</v>
      </c>
      <c r="H1264" s="10" t="s">
        <v>21</v>
      </c>
      <c r="I1264" s="10" t="s">
        <v>60</v>
      </c>
      <c r="J1264" s="10" t="str">
        <f>""</f>
        <v/>
      </c>
      <c r="K1264" s="10" t="str">
        <f>"PFES1162731015_0001"</f>
        <v>PFES1162731015_0001</v>
      </c>
      <c r="L1264" s="10">
        <v>1</v>
      </c>
      <c r="M1264" s="10">
        <v>3</v>
      </c>
    </row>
    <row r="1265" spans="1:13">
      <c r="A1265" s="6">
        <v>43844</v>
      </c>
      <c r="B1265" s="7">
        <v>0.52152777777777781</v>
      </c>
      <c r="C1265" s="10" t="str">
        <f>"FES1162730978"</f>
        <v>FES1162730978</v>
      </c>
      <c r="D1265" s="10" t="s">
        <v>19</v>
      </c>
      <c r="E1265" s="10" t="s">
        <v>470</v>
      </c>
      <c r="F1265" s="10" t="str">
        <f>"2170722188 "</f>
        <v xml:space="preserve">2170722188 </v>
      </c>
      <c r="G1265" s="10" t="str">
        <f t="shared" si="38"/>
        <v>ON1</v>
      </c>
      <c r="H1265" s="10" t="s">
        <v>21</v>
      </c>
      <c r="I1265" s="10" t="s">
        <v>471</v>
      </c>
      <c r="J1265" s="10" t="str">
        <f>""</f>
        <v/>
      </c>
      <c r="K1265" s="10" t="str">
        <f>"PFES1162730978_0001"</f>
        <v>PFES1162730978_0001</v>
      </c>
      <c r="L1265" s="10">
        <v>1</v>
      </c>
      <c r="M1265" s="10">
        <v>1</v>
      </c>
    </row>
    <row r="1266" spans="1:13">
      <c r="A1266" s="6">
        <v>43844</v>
      </c>
      <c r="B1266" s="7">
        <v>0.52152777777777781</v>
      </c>
      <c r="C1266" s="10" t="str">
        <f>"FES1162730930"</f>
        <v>FES1162730930</v>
      </c>
      <c r="D1266" s="10" t="s">
        <v>19</v>
      </c>
      <c r="E1266" s="10" t="s">
        <v>546</v>
      </c>
      <c r="F1266" s="10" t="str">
        <f>"2170723535 "</f>
        <v xml:space="preserve">2170723535 </v>
      </c>
      <c r="G1266" s="10" t="str">
        <f t="shared" si="38"/>
        <v>ON1</v>
      </c>
      <c r="H1266" s="10" t="s">
        <v>21</v>
      </c>
      <c r="I1266" s="10" t="s">
        <v>389</v>
      </c>
      <c r="J1266" s="10" t="str">
        <f>""</f>
        <v/>
      </c>
      <c r="K1266" s="10" t="str">
        <f>"PFES1162730930_0001"</f>
        <v>PFES1162730930_0001</v>
      </c>
      <c r="L1266" s="10">
        <v>1</v>
      </c>
      <c r="M1266" s="10">
        <v>2</v>
      </c>
    </row>
    <row r="1267" spans="1:13">
      <c r="A1267" s="6">
        <v>43844</v>
      </c>
      <c r="B1267" s="7">
        <v>0.52083333333333337</v>
      </c>
      <c r="C1267" s="10" t="str">
        <f>"FES1162730748"</f>
        <v>FES1162730748</v>
      </c>
      <c r="D1267" s="10" t="s">
        <v>19</v>
      </c>
      <c r="E1267" s="10" t="s">
        <v>600</v>
      </c>
      <c r="F1267" s="10" t="str">
        <f>"2170723328 "</f>
        <v xml:space="preserve">2170723328 </v>
      </c>
      <c r="G1267" s="10" t="str">
        <f t="shared" si="38"/>
        <v>ON1</v>
      </c>
      <c r="H1267" s="10" t="s">
        <v>21</v>
      </c>
      <c r="I1267" s="10" t="s">
        <v>601</v>
      </c>
      <c r="J1267" s="10" t="str">
        <f>""</f>
        <v/>
      </c>
      <c r="K1267" s="10" t="str">
        <f>"PFES1162730748_0001"</f>
        <v>PFES1162730748_0001</v>
      </c>
      <c r="L1267" s="10">
        <v>1</v>
      </c>
      <c r="M1267" s="10">
        <v>4</v>
      </c>
    </row>
    <row r="1268" spans="1:13">
      <c r="A1268" s="6">
        <v>43844</v>
      </c>
      <c r="B1268" s="7">
        <v>0.52013888888888882</v>
      </c>
      <c r="C1268" s="10" t="str">
        <f>"FES1162730985"</f>
        <v>FES1162730985</v>
      </c>
      <c r="D1268" s="10" t="s">
        <v>19</v>
      </c>
      <c r="E1268" s="10" t="s">
        <v>598</v>
      </c>
      <c r="F1268" s="10" t="str">
        <f>"2170723167 "</f>
        <v xml:space="preserve">2170723167 </v>
      </c>
      <c r="G1268" s="10" t="str">
        <f t="shared" si="38"/>
        <v>ON1</v>
      </c>
      <c r="H1268" s="10" t="s">
        <v>21</v>
      </c>
      <c r="I1268" s="10" t="s">
        <v>31</v>
      </c>
      <c r="J1268" s="10" t="str">
        <f>""</f>
        <v/>
      </c>
      <c r="K1268" s="10" t="str">
        <f>"PFES1162730985_0001"</f>
        <v>PFES1162730985_0001</v>
      </c>
      <c r="L1268" s="10">
        <v>1</v>
      </c>
      <c r="M1268" s="10">
        <v>1</v>
      </c>
    </row>
    <row r="1269" spans="1:13">
      <c r="A1269" s="6">
        <v>43844</v>
      </c>
      <c r="B1269" s="7">
        <v>0.52013888888888882</v>
      </c>
      <c r="C1269" s="10" t="str">
        <f>"FES1162730603"</f>
        <v>FES1162730603</v>
      </c>
      <c r="D1269" s="10" t="s">
        <v>19</v>
      </c>
      <c r="E1269" s="10" t="s">
        <v>585</v>
      </c>
      <c r="F1269" s="10" t="str">
        <f>"2170720698 "</f>
        <v xml:space="preserve">2170720698 </v>
      </c>
      <c r="G1269" s="10" t="str">
        <f>"DBC"</f>
        <v>DBC</v>
      </c>
      <c r="H1269" s="10" t="s">
        <v>21</v>
      </c>
      <c r="I1269" s="10" t="s">
        <v>198</v>
      </c>
      <c r="J1269" s="10" t="str">
        <f>""</f>
        <v/>
      </c>
      <c r="K1269" s="10" t="str">
        <f>"PFES1162730603_0001"</f>
        <v>PFES1162730603_0001</v>
      </c>
      <c r="L1269" s="10">
        <v>1</v>
      </c>
      <c r="M1269" s="10">
        <v>22</v>
      </c>
    </row>
    <row r="1270" spans="1:13">
      <c r="A1270" s="6">
        <v>43844</v>
      </c>
      <c r="B1270" s="7">
        <v>0.51944444444444449</v>
      </c>
      <c r="C1270" s="10" t="str">
        <f>"FES1162731018"</f>
        <v>FES1162731018</v>
      </c>
      <c r="D1270" s="10" t="s">
        <v>19</v>
      </c>
      <c r="E1270" s="10" t="s">
        <v>222</v>
      </c>
      <c r="F1270" s="10" t="str">
        <f>"2170723608 "</f>
        <v xml:space="preserve">2170723608 </v>
      </c>
      <c r="G1270" s="10" t="str">
        <f t="shared" ref="G1270:G1279" si="39">"ON1"</f>
        <v>ON1</v>
      </c>
      <c r="H1270" s="10" t="s">
        <v>21</v>
      </c>
      <c r="I1270" s="10" t="s">
        <v>28</v>
      </c>
      <c r="J1270" s="10" t="str">
        <f>""</f>
        <v/>
      </c>
      <c r="K1270" s="10" t="str">
        <f>"PFES1162731018_0001"</f>
        <v>PFES1162731018_0001</v>
      </c>
      <c r="L1270" s="10">
        <v>1</v>
      </c>
      <c r="M1270" s="10">
        <v>1</v>
      </c>
    </row>
    <row r="1271" spans="1:13">
      <c r="A1271" s="6">
        <v>43844</v>
      </c>
      <c r="B1271" s="7">
        <v>0.51944444444444449</v>
      </c>
      <c r="C1271" s="10" t="str">
        <f>"FES1162731000"</f>
        <v>FES1162731000</v>
      </c>
      <c r="D1271" s="10" t="s">
        <v>19</v>
      </c>
      <c r="E1271" s="10" t="s">
        <v>680</v>
      </c>
      <c r="F1271" s="10" t="str">
        <f>"2170725389 "</f>
        <v xml:space="preserve">2170725389 </v>
      </c>
      <c r="G1271" s="10" t="str">
        <f t="shared" si="39"/>
        <v>ON1</v>
      </c>
      <c r="H1271" s="10" t="s">
        <v>21</v>
      </c>
      <c r="I1271" s="10" t="s">
        <v>681</v>
      </c>
      <c r="J1271" s="10" t="str">
        <f>""</f>
        <v/>
      </c>
      <c r="K1271" s="10" t="str">
        <f>"PFES1162731000_0001"</f>
        <v>PFES1162731000_0001</v>
      </c>
      <c r="L1271" s="10">
        <v>1</v>
      </c>
      <c r="M1271" s="10">
        <v>3</v>
      </c>
    </row>
    <row r="1272" spans="1:13">
      <c r="A1272" s="6">
        <v>43844</v>
      </c>
      <c r="B1272" s="7">
        <v>0.51944444444444449</v>
      </c>
      <c r="C1272" s="10" t="str">
        <f>"FES1162731028"</f>
        <v>FES1162731028</v>
      </c>
      <c r="D1272" s="10" t="s">
        <v>19</v>
      </c>
      <c r="E1272" s="10" t="s">
        <v>691</v>
      </c>
      <c r="F1272" s="10" t="str">
        <f>"2170723619 "</f>
        <v xml:space="preserve">2170723619 </v>
      </c>
      <c r="G1272" s="10" t="str">
        <f t="shared" si="39"/>
        <v>ON1</v>
      </c>
      <c r="H1272" s="10" t="s">
        <v>21</v>
      </c>
      <c r="I1272" s="10" t="s">
        <v>692</v>
      </c>
      <c r="J1272" s="10" t="str">
        <f>""</f>
        <v/>
      </c>
      <c r="K1272" s="10" t="str">
        <f>"PFES1162731028_0001"</f>
        <v>PFES1162731028_0001</v>
      </c>
      <c r="L1272" s="10">
        <v>1</v>
      </c>
      <c r="M1272" s="10">
        <v>1</v>
      </c>
    </row>
    <row r="1273" spans="1:13">
      <c r="A1273" s="6">
        <v>43844</v>
      </c>
      <c r="B1273" s="7">
        <v>0.51874999999999993</v>
      </c>
      <c r="C1273" s="10" t="str">
        <f>"FES1162731013"</f>
        <v>FES1162731013</v>
      </c>
      <c r="D1273" s="10" t="s">
        <v>19</v>
      </c>
      <c r="E1273" s="10" t="s">
        <v>153</v>
      </c>
      <c r="F1273" s="10" t="str">
        <f>"2170722664 "</f>
        <v xml:space="preserve">2170722664 </v>
      </c>
      <c r="G1273" s="10" t="str">
        <f t="shared" si="39"/>
        <v>ON1</v>
      </c>
      <c r="H1273" s="10" t="s">
        <v>21</v>
      </c>
      <c r="I1273" s="10" t="s">
        <v>146</v>
      </c>
      <c r="J1273" s="10" t="str">
        <f>""</f>
        <v/>
      </c>
      <c r="K1273" s="10" t="str">
        <f>"PFES1162731013_0001"</f>
        <v>PFES1162731013_0001</v>
      </c>
      <c r="L1273" s="10">
        <v>1</v>
      </c>
      <c r="M1273" s="10">
        <v>1</v>
      </c>
    </row>
    <row r="1274" spans="1:13">
      <c r="A1274" s="6">
        <v>43844</v>
      </c>
      <c r="B1274" s="7">
        <v>0.51874999999999993</v>
      </c>
      <c r="C1274" s="10" t="str">
        <f>"FES1162730977"</f>
        <v>FES1162730977</v>
      </c>
      <c r="D1274" s="10" t="s">
        <v>19</v>
      </c>
      <c r="E1274" s="10" t="s">
        <v>693</v>
      </c>
      <c r="F1274" s="10" t="str">
        <f>"2170721524 "</f>
        <v xml:space="preserve">2170721524 </v>
      </c>
      <c r="G1274" s="10" t="str">
        <f t="shared" si="39"/>
        <v>ON1</v>
      </c>
      <c r="H1274" s="10" t="s">
        <v>21</v>
      </c>
      <c r="I1274" s="10" t="s">
        <v>694</v>
      </c>
      <c r="J1274" s="10" t="str">
        <f>""</f>
        <v/>
      </c>
      <c r="K1274" s="10" t="str">
        <f>"PFES1162730977_0001"</f>
        <v>PFES1162730977_0001</v>
      </c>
      <c r="L1274" s="10">
        <v>1</v>
      </c>
      <c r="M1274" s="10">
        <v>2</v>
      </c>
    </row>
    <row r="1275" spans="1:13">
      <c r="A1275" s="6">
        <v>43844</v>
      </c>
      <c r="B1275" s="7">
        <v>0.5180555555555556</v>
      </c>
      <c r="C1275" s="10" t="str">
        <f>"FES1162731070"</f>
        <v>FES1162731070</v>
      </c>
      <c r="D1275" s="10" t="s">
        <v>19</v>
      </c>
      <c r="E1275" s="10" t="s">
        <v>695</v>
      </c>
      <c r="F1275" s="10" t="str">
        <f>"2170723666 "</f>
        <v xml:space="preserve">2170723666 </v>
      </c>
      <c r="G1275" s="10" t="str">
        <f t="shared" si="39"/>
        <v>ON1</v>
      </c>
      <c r="H1275" s="10" t="s">
        <v>21</v>
      </c>
      <c r="I1275" s="10" t="s">
        <v>60</v>
      </c>
      <c r="J1275" s="10" t="str">
        <f>""</f>
        <v/>
      </c>
      <c r="K1275" s="10" t="str">
        <f>"PFES1162731070_0001"</f>
        <v>PFES1162731070_0001</v>
      </c>
      <c r="L1275" s="10">
        <v>1</v>
      </c>
      <c r="M1275" s="10">
        <v>1</v>
      </c>
    </row>
    <row r="1276" spans="1:13">
      <c r="A1276" s="6">
        <v>43844</v>
      </c>
      <c r="B1276" s="7">
        <v>0.5180555555555556</v>
      </c>
      <c r="C1276" s="10" t="str">
        <f>"FES1162730936"</f>
        <v>FES1162730936</v>
      </c>
      <c r="D1276" s="10" t="s">
        <v>19</v>
      </c>
      <c r="E1276" s="10" t="s">
        <v>197</v>
      </c>
      <c r="F1276" s="10" t="str">
        <f>"2170723019 "</f>
        <v xml:space="preserve">2170723019 </v>
      </c>
      <c r="G1276" s="10" t="str">
        <f t="shared" si="39"/>
        <v>ON1</v>
      </c>
      <c r="H1276" s="10" t="s">
        <v>21</v>
      </c>
      <c r="I1276" s="10" t="s">
        <v>198</v>
      </c>
      <c r="J1276" s="10" t="str">
        <f>""</f>
        <v/>
      </c>
      <c r="K1276" s="10" t="str">
        <f>"PFES1162730936_0001"</f>
        <v>PFES1162730936_0001</v>
      </c>
      <c r="L1276" s="10">
        <v>1</v>
      </c>
      <c r="M1276" s="10">
        <v>3</v>
      </c>
    </row>
    <row r="1277" spans="1:13">
      <c r="A1277" s="6">
        <v>43844</v>
      </c>
      <c r="B1277" s="7">
        <v>0.5180555555555556</v>
      </c>
      <c r="C1277" s="10" t="str">
        <f>"FES1162730604"</f>
        <v>FES1162730604</v>
      </c>
      <c r="D1277" s="10" t="s">
        <v>19</v>
      </c>
      <c r="E1277" s="10" t="s">
        <v>585</v>
      </c>
      <c r="F1277" s="10" t="str">
        <f>"21707207058 "</f>
        <v xml:space="preserve">21707207058 </v>
      </c>
      <c r="G1277" s="10" t="str">
        <f t="shared" si="39"/>
        <v>ON1</v>
      </c>
      <c r="H1277" s="10" t="s">
        <v>21</v>
      </c>
      <c r="I1277" s="10" t="s">
        <v>198</v>
      </c>
      <c r="J1277" s="10" t="str">
        <f>""</f>
        <v/>
      </c>
      <c r="K1277" s="10" t="str">
        <f>"PFES1162730604_0001"</f>
        <v>PFES1162730604_0001</v>
      </c>
      <c r="L1277" s="10">
        <v>1</v>
      </c>
      <c r="M1277" s="10">
        <v>2</v>
      </c>
    </row>
    <row r="1278" spans="1:13">
      <c r="A1278" s="6">
        <v>43844</v>
      </c>
      <c r="B1278" s="7">
        <v>0.51736111111111105</v>
      </c>
      <c r="C1278" s="10" t="str">
        <f>"FES1162731006"</f>
        <v>FES1162731006</v>
      </c>
      <c r="D1278" s="10" t="s">
        <v>19</v>
      </c>
      <c r="E1278" s="10" t="s">
        <v>82</v>
      </c>
      <c r="F1278" s="10" t="str">
        <f>"2170723599 "</f>
        <v xml:space="preserve">2170723599 </v>
      </c>
      <c r="G1278" s="10" t="str">
        <f t="shared" si="39"/>
        <v>ON1</v>
      </c>
      <c r="H1278" s="10" t="s">
        <v>21</v>
      </c>
      <c r="I1278" s="10" t="s">
        <v>165</v>
      </c>
      <c r="J1278" s="10" t="str">
        <f>""</f>
        <v/>
      </c>
      <c r="K1278" s="10" t="str">
        <f>"PFES1162731006_0001"</f>
        <v>PFES1162731006_0001</v>
      </c>
      <c r="L1278" s="10">
        <v>1</v>
      </c>
      <c r="M1278" s="10">
        <v>2</v>
      </c>
    </row>
    <row r="1279" spans="1:13">
      <c r="A1279" s="6">
        <v>43844</v>
      </c>
      <c r="B1279" s="7">
        <v>0.51736111111111105</v>
      </c>
      <c r="C1279" s="10" t="str">
        <f>"FES1162731005"</f>
        <v>FES1162731005</v>
      </c>
      <c r="D1279" s="10" t="s">
        <v>19</v>
      </c>
      <c r="E1279" s="10" t="s">
        <v>82</v>
      </c>
      <c r="F1279" s="10" t="str">
        <f>"2170723598 "</f>
        <v xml:space="preserve">2170723598 </v>
      </c>
      <c r="G1279" s="10" t="str">
        <f t="shared" si="39"/>
        <v>ON1</v>
      </c>
      <c r="H1279" s="10" t="s">
        <v>21</v>
      </c>
      <c r="I1279" s="10" t="s">
        <v>165</v>
      </c>
      <c r="J1279" s="10" t="str">
        <f>""</f>
        <v/>
      </c>
      <c r="K1279" s="10" t="str">
        <f>"PFES1162731005_0001"</f>
        <v>PFES1162731005_0001</v>
      </c>
      <c r="L1279" s="10">
        <v>1</v>
      </c>
      <c r="M1279" s="10">
        <v>2</v>
      </c>
    </row>
    <row r="1280" spans="1:13">
      <c r="A1280" s="6">
        <v>43844</v>
      </c>
      <c r="B1280" s="7">
        <v>0.51666666666666672</v>
      </c>
      <c r="C1280" s="10" t="str">
        <f>"FES1162731073"</f>
        <v>FES1162731073</v>
      </c>
      <c r="D1280" s="10" t="s">
        <v>19</v>
      </c>
      <c r="E1280" s="10" t="s">
        <v>132</v>
      </c>
      <c r="F1280" s="10" t="str">
        <f>"2170723670 "</f>
        <v xml:space="preserve">2170723670 </v>
      </c>
      <c r="G1280" s="10" t="str">
        <f>"DBC"</f>
        <v>DBC</v>
      </c>
      <c r="H1280" s="10" t="s">
        <v>21</v>
      </c>
      <c r="I1280" s="10" t="s">
        <v>133</v>
      </c>
      <c r="J1280" s="10" t="str">
        <f>"OIL"</f>
        <v>OIL</v>
      </c>
      <c r="K1280" s="10" t="str">
        <f>"PFES1162731073_0001"</f>
        <v>PFES1162731073_0001</v>
      </c>
      <c r="L1280" s="10">
        <v>1</v>
      </c>
      <c r="M1280" s="10">
        <v>6</v>
      </c>
    </row>
    <row r="1281" spans="1:13">
      <c r="A1281" s="6">
        <v>43844</v>
      </c>
      <c r="B1281" s="7">
        <v>0.51597222222222217</v>
      </c>
      <c r="C1281" s="10" t="str">
        <f>"FES1162731014"</f>
        <v>FES1162731014</v>
      </c>
      <c r="D1281" s="10" t="s">
        <v>19</v>
      </c>
      <c r="E1281" s="10" t="s">
        <v>147</v>
      </c>
      <c r="F1281" s="10" t="str">
        <f>"2170722631 "</f>
        <v xml:space="preserve">2170722631 </v>
      </c>
      <c r="G1281" s="10" t="str">
        <f t="shared" ref="G1281:G1344" si="40">"ON1"</f>
        <v>ON1</v>
      </c>
      <c r="H1281" s="10" t="s">
        <v>21</v>
      </c>
      <c r="I1281" s="10" t="s">
        <v>148</v>
      </c>
      <c r="J1281" s="10" t="str">
        <f>""</f>
        <v/>
      </c>
      <c r="K1281" s="10" t="str">
        <f>"PFES1162731014_0001"</f>
        <v>PFES1162731014_0001</v>
      </c>
      <c r="L1281" s="10">
        <v>1</v>
      </c>
      <c r="M1281" s="10">
        <v>7</v>
      </c>
    </row>
    <row r="1282" spans="1:13">
      <c r="A1282" s="6">
        <v>43844</v>
      </c>
      <c r="B1282" s="7">
        <v>0.51597222222222217</v>
      </c>
      <c r="C1282" s="10" t="str">
        <f>"FES1162731047"</f>
        <v>FES1162731047</v>
      </c>
      <c r="D1282" s="10" t="s">
        <v>19</v>
      </c>
      <c r="E1282" s="10" t="s">
        <v>273</v>
      </c>
      <c r="F1282" s="10" t="str">
        <f>"2170723627 "</f>
        <v xml:space="preserve">2170723627 </v>
      </c>
      <c r="G1282" s="10" t="str">
        <f t="shared" si="40"/>
        <v>ON1</v>
      </c>
      <c r="H1282" s="10" t="s">
        <v>21</v>
      </c>
      <c r="I1282" s="10" t="s">
        <v>274</v>
      </c>
      <c r="J1282" s="10" t="str">
        <f>""</f>
        <v/>
      </c>
      <c r="K1282" s="10" t="str">
        <f>"PFES1162731047_0001"</f>
        <v>PFES1162731047_0001</v>
      </c>
      <c r="L1282" s="10">
        <v>1</v>
      </c>
      <c r="M1282" s="10">
        <v>1</v>
      </c>
    </row>
    <row r="1283" spans="1:13">
      <c r="A1283" s="6">
        <v>43844</v>
      </c>
      <c r="B1283" s="7">
        <v>0.51527777777777783</v>
      </c>
      <c r="C1283" s="10" t="str">
        <f>"FES1162731043"</f>
        <v>FES1162731043</v>
      </c>
      <c r="D1283" s="10" t="s">
        <v>19</v>
      </c>
      <c r="E1283" s="10" t="s">
        <v>696</v>
      </c>
      <c r="F1283" s="10" t="str">
        <f>"2170723150 "</f>
        <v xml:space="preserve">2170723150 </v>
      </c>
      <c r="G1283" s="10" t="str">
        <f t="shared" si="40"/>
        <v>ON1</v>
      </c>
      <c r="H1283" s="10" t="s">
        <v>21</v>
      </c>
      <c r="I1283" s="10" t="s">
        <v>323</v>
      </c>
      <c r="J1283" s="10" t="str">
        <f>""</f>
        <v/>
      </c>
      <c r="K1283" s="10" t="str">
        <f>"PFES1162731043_0001"</f>
        <v>PFES1162731043_0001</v>
      </c>
      <c r="L1283" s="10">
        <v>1</v>
      </c>
      <c r="M1283" s="10">
        <v>4</v>
      </c>
    </row>
    <row r="1284" spans="1:13">
      <c r="A1284" s="6">
        <v>43844</v>
      </c>
      <c r="B1284" s="7">
        <v>0.51527777777777783</v>
      </c>
      <c r="C1284" s="10" t="str">
        <f>"FES1162730964"</f>
        <v>FES1162730964</v>
      </c>
      <c r="D1284" s="10" t="s">
        <v>19</v>
      </c>
      <c r="E1284" s="10" t="s">
        <v>162</v>
      </c>
      <c r="F1284" s="10" t="str">
        <f>"2170723562 "</f>
        <v xml:space="preserve">2170723562 </v>
      </c>
      <c r="G1284" s="10" t="str">
        <f t="shared" si="40"/>
        <v>ON1</v>
      </c>
      <c r="H1284" s="10" t="s">
        <v>21</v>
      </c>
      <c r="I1284" s="10" t="s">
        <v>163</v>
      </c>
      <c r="J1284" s="10" t="str">
        <f>""</f>
        <v/>
      </c>
      <c r="K1284" s="10" t="str">
        <f>"PFES1162730964_0001"</f>
        <v>PFES1162730964_0001</v>
      </c>
      <c r="L1284" s="10">
        <v>1</v>
      </c>
      <c r="M1284" s="10">
        <v>2</v>
      </c>
    </row>
    <row r="1285" spans="1:13">
      <c r="A1285" s="6">
        <v>43844</v>
      </c>
      <c r="B1285" s="7">
        <v>0.51527777777777783</v>
      </c>
      <c r="C1285" s="10" t="str">
        <f>"FES1162730974"</f>
        <v>FES1162730974</v>
      </c>
      <c r="D1285" s="10" t="s">
        <v>19</v>
      </c>
      <c r="E1285" s="10" t="s">
        <v>147</v>
      </c>
      <c r="F1285" s="10" t="str">
        <f>"2170721110 "</f>
        <v xml:space="preserve">2170721110 </v>
      </c>
      <c r="G1285" s="10" t="str">
        <f t="shared" si="40"/>
        <v>ON1</v>
      </c>
      <c r="H1285" s="10" t="s">
        <v>21</v>
      </c>
      <c r="I1285" s="10" t="s">
        <v>148</v>
      </c>
      <c r="J1285" s="10" t="str">
        <f>""</f>
        <v/>
      </c>
      <c r="K1285" s="10" t="str">
        <f>"PFES1162730974_0001"</f>
        <v>PFES1162730974_0001</v>
      </c>
      <c r="L1285" s="10">
        <v>1</v>
      </c>
      <c r="M1285" s="10">
        <v>1</v>
      </c>
    </row>
    <row r="1286" spans="1:13">
      <c r="A1286" s="6">
        <v>43844</v>
      </c>
      <c r="B1286" s="7">
        <v>0.51388888888888895</v>
      </c>
      <c r="C1286" s="10" t="str">
        <f>"FES1162731016"</f>
        <v>FES1162731016</v>
      </c>
      <c r="D1286" s="10" t="s">
        <v>19</v>
      </c>
      <c r="E1286" s="10" t="s">
        <v>697</v>
      </c>
      <c r="F1286" s="10" t="str">
        <f>"2170723606 "</f>
        <v xml:space="preserve">2170723606 </v>
      </c>
      <c r="G1286" s="10" t="str">
        <f t="shared" si="40"/>
        <v>ON1</v>
      </c>
      <c r="H1286" s="10" t="s">
        <v>21</v>
      </c>
      <c r="I1286" s="10" t="s">
        <v>114</v>
      </c>
      <c r="J1286" s="10" t="str">
        <f>""</f>
        <v/>
      </c>
      <c r="K1286" s="10" t="str">
        <f>"PFES1162731016_0001"</f>
        <v>PFES1162731016_0001</v>
      </c>
      <c r="L1286" s="10">
        <v>1</v>
      </c>
      <c r="M1286" s="10">
        <v>1</v>
      </c>
    </row>
    <row r="1287" spans="1:13">
      <c r="A1287" s="6">
        <v>43844</v>
      </c>
      <c r="B1287" s="7">
        <v>0.5131944444444444</v>
      </c>
      <c r="C1287" s="10" t="str">
        <f>"FES1162731009"</f>
        <v>FES1162731009</v>
      </c>
      <c r="D1287" s="10" t="s">
        <v>19</v>
      </c>
      <c r="E1287" s="10" t="s">
        <v>698</v>
      </c>
      <c r="F1287" s="10" t="str">
        <f>"2170723602 "</f>
        <v xml:space="preserve">2170723602 </v>
      </c>
      <c r="G1287" s="10" t="str">
        <f t="shared" si="40"/>
        <v>ON1</v>
      </c>
      <c r="H1287" s="10" t="s">
        <v>21</v>
      </c>
      <c r="I1287" s="10" t="s">
        <v>699</v>
      </c>
      <c r="J1287" s="10" t="str">
        <f>""</f>
        <v/>
      </c>
      <c r="K1287" s="10" t="str">
        <f>"PFES1162731009_0001"</f>
        <v>PFES1162731009_0001</v>
      </c>
      <c r="L1287" s="10">
        <v>1</v>
      </c>
      <c r="M1287" s="10">
        <v>1</v>
      </c>
    </row>
    <row r="1288" spans="1:13">
      <c r="A1288" s="6">
        <v>43844</v>
      </c>
      <c r="B1288" s="7">
        <v>0.51250000000000007</v>
      </c>
      <c r="C1288" s="10" t="str">
        <f>"FES1162730966"</f>
        <v>FES1162730966</v>
      </c>
      <c r="D1288" s="10" t="s">
        <v>19</v>
      </c>
      <c r="E1288" s="10" t="s">
        <v>700</v>
      </c>
      <c r="F1288" s="10" t="str">
        <f>"2170723564 "</f>
        <v xml:space="preserve">2170723564 </v>
      </c>
      <c r="G1288" s="10" t="str">
        <f t="shared" si="40"/>
        <v>ON1</v>
      </c>
      <c r="H1288" s="10" t="s">
        <v>21</v>
      </c>
      <c r="I1288" s="10" t="s">
        <v>31</v>
      </c>
      <c r="J1288" s="10" t="str">
        <f>""</f>
        <v/>
      </c>
      <c r="K1288" s="10" t="str">
        <f>"PFES1162730966_0001"</f>
        <v>PFES1162730966_0001</v>
      </c>
      <c r="L1288" s="10">
        <v>1</v>
      </c>
      <c r="M1288" s="10">
        <v>1</v>
      </c>
    </row>
    <row r="1289" spans="1:13">
      <c r="A1289" s="6">
        <v>43844</v>
      </c>
      <c r="B1289" s="7">
        <v>0.51111111111111118</v>
      </c>
      <c r="C1289" s="10" t="str">
        <f>"FES1162731074"</f>
        <v>FES1162731074</v>
      </c>
      <c r="D1289" s="10" t="s">
        <v>19</v>
      </c>
      <c r="E1289" s="10" t="s">
        <v>611</v>
      </c>
      <c r="F1289" s="10" t="str">
        <f>"2170723664 "</f>
        <v xml:space="preserve">2170723664 </v>
      </c>
      <c r="G1289" s="10" t="str">
        <f t="shared" si="40"/>
        <v>ON1</v>
      </c>
      <c r="H1289" s="10" t="s">
        <v>21</v>
      </c>
      <c r="I1289" s="10" t="s">
        <v>36</v>
      </c>
      <c r="J1289" s="10" t="str">
        <f>""</f>
        <v/>
      </c>
      <c r="K1289" s="10" t="str">
        <f>"PFES1162731074_0001"</f>
        <v>PFES1162731074_0001</v>
      </c>
      <c r="L1289" s="10">
        <v>1</v>
      </c>
      <c r="M1289" s="10">
        <v>1</v>
      </c>
    </row>
    <row r="1290" spans="1:13">
      <c r="A1290" s="6">
        <v>43845</v>
      </c>
      <c r="B1290" s="7">
        <v>0.68541666666666667</v>
      </c>
      <c r="C1290" s="11" t="str">
        <f>"FES1162731385"</f>
        <v>FES1162731385</v>
      </c>
      <c r="D1290" s="11" t="s">
        <v>19</v>
      </c>
      <c r="E1290" s="11" t="s">
        <v>33</v>
      </c>
      <c r="F1290" s="11" t="str">
        <f>"2170721551 "</f>
        <v xml:space="preserve">2170721551 </v>
      </c>
      <c r="G1290" s="11" t="str">
        <f t="shared" si="40"/>
        <v>ON1</v>
      </c>
      <c r="H1290" s="11" t="s">
        <v>21</v>
      </c>
      <c r="I1290" s="11" t="s">
        <v>34</v>
      </c>
      <c r="J1290" s="11" t="str">
        <f>""</f>
        <v/>
      </c>
      <c r="K1290" s="11" t="str">
        <f>"PFES1162731385_0001"</f>
        <v>PFES1162731385_0001</v>
      </c>
      <c r="L1290" s="11">
        <v>1</v>
      </c>
      <c r="M1290" s="11">
        <v>9</v>
      </c>
    </row>
    <row r="1291" spans="1:13">
      <c r="A1291" s="6">
        <v>43845</v>
      </c>
      <c r="B1291" s="7">
        <v>0.68263888888888891</v>
      </c>
      <c r="C1291" s="11" t="str">
        <f>"FES1162731387"</f>
        <v>FES1162731387</v>
      </c>
      <c r="D1291" s="11" t="s">
        <v>19</v>
      </c>
      <c r="E1291" s="11" t="s">
        <v>134</v>
      </c>
      <c r="F1291" s="11" t="str">
        <f>"2170724037 "</f>
        <v xml:space="preserve">2170724037 </v>
      </c>
      <c r="G1291" s="11" t="str">
        <f t="shared" si="40"/>
        <v>ON1</v>
      </c>
      <c r="H1291" s="11" t="s">
        <v>21</v>
      </c>
      <c r="I1291" s="11" t="s">
        <v>135</v>
      </c>
      <c r="J1291" s="11" t="str">
        <f>""</f>
        <v/>
      </c>
      <c r="K1291" s="11" t="str">
        <f>"PFES1162731387_0001"</f>
        <v>PFES1162731387_0001</v>
      </c>
      <c r="L1291" s="11">
        <v>1</v>
      </c>
      <c r="M1291" s="11">
        <v>1</v>
      </c>
    </row>
    <row r="1292" spans="1:13">
      <c r="A1292" s="6">
        <v>43845</v>
      </c>
      <c r="B1292" s="7">
        <v>0.68194444444444446</v>
      </c>
      <c r="C1292" s="11" t="str">
        <f>"FES1162731383"</f>
        <v>FES1162731383</v>
      </c>
      <c r="D1292" s="11" t="s">
        <v>19</v>
      </c>
      <c r="E1292" s="11" t="s">
        <v>516</v>
      </c>
      <c r="F1292" s="11" t="str">
        <f>"2170724024 "</f>
        <v xml:space="preserve">2170724024 </v>
      </c>
      <c r="G1292" s="11" t="str">
        <f t="shared" si="40"/>
        <v>ON1</v>
      </c>
      <c r="H1292" s="11" t="s">
        <v>21</v>
      </c>
      <c r="I1292" s="11" t="s">
        <v>517</v>
      </c>
      <c r="J1292" s="11" t="str">
        <f>""</f>
        <v/>
      </c>
      <c r="K1292" s="11" t="str">
        <f>"PFES1162731383_0001"</f>
        <v>PFES1162731383_0001</v>
      </c>
      <c r="L1292" s="11">
        <v>1</v>
      </c>
      <c r="M1292" s="11">
        <v>1</v>
      </c>
    </row>
    <row r="1293" spans="1:13">
      <c r="A1293" s="6">
        <v>43845</v>
      </c>
      <c r="B1293" s="7">
        <v>0.68125000000000002</v>
      </c>
      <c r="C1293" s="11" t="str">
        <f>"FES1162731373"</f>
        <v>FES1162731373</v>
      </c>
      <c r="D1293" s="11" t="s">
        <v>19</v>
      </c>
      <c r="E1293" s="11" t="s">
        <v>701</v>
      </c>
      <c r="F1293" s="11" t="str">
        <f>"2170724011 "</f>
        <v xml:space="preserve">2170724011 </v>
      </c>
      <c r="G1293" s="11" t="str">
        <f t="shared" si="40"/>
        <v>ON1</v>
      </c>
      <c r="H1293" s="11" t="s">
        <v>21</v>
      </c>
      <c r="I1293" s="11" t="s">
        <v>702</v>
      </c>
      <c r="J1293" s="11" t="str">
        <f>""</f>
        <v/>
      </c>
      <c r="K1293" s="11" t="str">
        <f>"PFES1162731373_0001"</f>
        <v>PFES1162731373_0001</v>
      </c>
      <c r="L1293" s="11">
        <v>1</v>
      </c>
      <c r="M1293" s="11">
        <v>1</v>
      </c>
    </row>
    <row r="1294" spans="1:13">
      <c r="A1294" s="6">
        <v>43845</v>
      </c>
      <c r="B1294" s="7">
        <v>0.68055555555555547</v>
      </c>
      <c r="C1294" s="11" t="str">
        <f>"FES1162731382"</f>
        <v>FES1162731382</v>
      </c>
      <c r="D1294" s="11" t="s">
        <v>19</v>
      </c>
      <c r="E1294" s="11" t="s">
        <v>703</v>
      </c>
      <c r="F1294" s="11" t="str">
        <f>"2170724022 "</f>
        <v xml:space="preserve">2170724022 </v>
      </c>
      <c r="G1294" s="11" t="str">
        <f t="shared" si="40"/>
        <v>ON1</v>
      </c>
      <c r="H1294" s="11" t="s">
        <v>21</v>
      </c>
      <c r="I1294" s="11" t="s">
        <v>704</v>
      </c>
      <c r="J1294" s="11" t="str">
        <f>""</f>
        <v/>
      </c>
      <c r="K1294" s="11" t="str">
        <f>"PFES1162731382_0001"</f>
        <v>PFES1162731382_0001</v>
      </c>
      <c r="L1294" s="11">
        <v>1</v>
      </c>
      <c r="M1294" s="11">
        <v>1</v>
      </c>
    </row>
    <row r="1295" spans="1:13">
      <c r="A1295" s="6">
        <v>43845</v>
      </c>
      <c r="B1295" s="7">
        <v>0.6791666666666667</v>
      </c>
      <c r="C1295" s="11" t="str">
        <f>"FES1162731334"</f>
        <v>FES1162731334</v>
      </c>
      <c r="D1295" s="11" t="s">
        <v>19</v>
      </c>
      <c r="E1295" s="11" t="s">
        <v>222</v>
      </c>
      <c r="F1295" s="11" t="str">
        <f>"2170723958 "</f>
        <v xml:space="preserve">2170723958 </v>
      </c>
      <c r="G1295" s="11" t="str">
        <f t="shared" si="40"/>
        <v>ON1</v>
      </c>
      <c r="H1295" s="11" t="s">
        <v>21</v>
      </c>
      <c r="I1295" s="11" t="s">
        <v>28</v>
      </c>
      <c r="J1295" s="11" t="str">
        <f>""</f>
        <v/>
      </c>
      <c r="K1295" s="11" t="str">
        <f>"PFES1162731334_0001"</f>
        <v>PFES1162731334_0001</v>
      </c>
      <c r="L1295" s="11">
        <v>1</v>
      </c>
      <c r="M1295" s="11">
        <v>1</v>
      </c>
    </row>
    <row r="1296" spans="1:13">
      <c r="A1296" s="6">
        <v>43845</v>
      </c>
      <c r="B1296" s="7">
        <v>0.67638888888888893</v>
      </c>
      <c r="C1296" s="11" t="str">
        <f>"FES1162731380"</f>
        <v>FES1162731380</v>
      </c>
      <c r="D1296" s="11" t="s">
        <v>19</v>
      </c>
      <c r="E1296" s="11" t="s">
        <v>705</v>
      </c>
      <c r="F1296" s="11" t="str">
        <f>"2170724020 "</f>
        <v xml:space="preserve">2170724020 </v>
      </c>
      <c r="G1296" s="11" t="str">
        <f t="shared" si="40"/>
        <v>ON1</v>
      </c>
      <c r="H1296" s="11" t="s">
        <v>21</v>
      </c>
      <c r="I1296" s="11" t="s">
        <v>394</v>
      </c>
      <c r="J1296" s="11" t="str">
        <f>""</f>
        <v/>
      </c>
      <c r="K1296" s="11" t="str">
        <f>"PFES1162731380_0001"</f>
        <v>PFES1162731380_0001</v>
      </c>
      <c r="L1296" s="11">
        <v>1</v>
      </c>
      <c r="M1296" s="11">
        <v>8</v>
      </c>
    </row>
    <row r="1297" spans="1:13">
      <c r="A1297" s="6">
        <v>43845</v>
      </c>
      <c r="B1297" s="7">
        <v>0.67569444444444438</v>
      </c>
      <c r="C1297" s="11" t="str">
        <f>"FES1162731379"</f>
        <v>FES1162731379</v>
      </c>
      <c r="D1297" s="11" t="s">
        <v>19</v>
      </c>
      <c r="E1297" s="11" t="s">
        <v>659</v>
      </c>
      <c r="F1297" s="11" t="str">
        <f>"2170723876 "</f>
        <v xml:space="preserve">2170723876 </v>
      </c>
      <c r="G1297" s="11" t="str">
        <f t="shared" si="40"/>
        <v>ON1</v>
      </c>
      <c r="H1297" s="11" t="s">
        <v>21</v>
      </c>
      <c r="I1297" s="11" t="s">
        <v>28</v>
      </c>
      <c r="J1297" s="11" t="str">
        <f>""</f>
        <v/>
      </c>
      <c r="K1297" s="11" t="str">
        <f>"PFES1162731379_0001"</f>
        <v>PFES1162731379_0001</v>
      </c>
      <c r="L1297" s="11">
        <v>1</v>
      </c>
      <c r="M1297" s="11">
        <v>19</v>
      </c>
    </row>
    <row r="1298" spans="1:13">
      <c r="A1298" s="6">
        <v>43845</v>
      </c>
      <c r="B1298" s="7">
        <v>0.67499999999999993</v>
      </c>
      <c r="C1298" s="11" t="str">
        <f>"FES1162731300"</f>
        <v>FES1162731300</v>
      </c>
      <c r="D1298" s="11" t="s">
        <v>19</v>
      </c>
      <c r="E1298" s="11" t="s">
        <v>352</v>
      </c>
      <c r="F1298" s="11" t="str">
        <f>"2170723769 "</f>
        <v xml:space="preserve">2170723769 </v>
      </c>
      <c r="G1298" s="11" t="str">
        <f t="shared" si="40"/>
        <v>ON1</v>
      </c>
      <c r="H1298" s="11" t="s">
        <v>21</v>
      </c>
      <c r="I1298" s="11" t="s">
        <v>114</v>
      </c>
      <c r="J1298" s="11" t="str">
        <f>""</f>
        <v/>
      </c>
      <c r="K1298" s="11" t="str">
        <f>"PFES1162731300_0001"</f>
        <v>PFES1162731300_0001</v>
      </c>
      <c r="L1298" s="11">
        <v>1</v>
      </c>
      <c r="M1298" s="11">
        <v>7</v>
      </c>
    </row>
    <row r="1299" spans="1:13">
      <c r="A1299" s="6">
        <v>43845</v>
      </c>
      <c r="B1299" s="7">
        <v>0.67499999999999993</v>
      </c>
      <c r="C1299" s="11" t="str">
        <f>"FES1162731384"</f>
        <v>FES1162731384</v>
      </c>
      <c r="D1299" s="11" t="s">
        <v>19</v>
      </c>
      <c r="E1299" s="11" t="s">
        <v>369</v>
      </c>
      <c r="F1299" s="11" t="str">
        <f>"2170724026 "</f>
        <v xml:space="preserve">2170724026 </v>
      </c>
      <c r="G1299" s="11" t="str">
        <f t="shared" si="40"/>
        <v>ON1</v>
      </c>
      <c r="H1299" s="11" t="s">
        <v>21</v>
      </c>
      <c r="I1299" s="11" t="s">
        <v>294</v>
      </c>
      <c r="J1299" s="11" t="str">
        <f>""</f>
        <v/>
      </c>
      <c r="K1299" s="11" t="str">
        <f>"PFES1162731384_0001"</f>
        <v>PFES1162731384_0001</v>
      </c>
      <c r="L1299" s="11">
        <v>1</v>
      </c>
      <c r="M1299" s="11">
        <v>3</v>
      </c>
    </row>
    <row r="1300" spans="1:13">
      <c r="A1300" s="6">
        <v>43845</v>
      </c>
      <c r="B1300" s="7">
        <v>0.67013888888888884</v>
      </c>
      <c r="C1300" s="11" t="str">
        <f>"FES1162731299"</f>
        <v>FES1162731299</v>
      </c>
      <c r="D1300" s="11" t="s">
        <v>19</v>
      </c>
      <c r="E1300" s="11" t="s">
        <v>593</v>
      </c>
      <c r="F1300" s="11" t="str">
        <f>"2170723748 "</f>
        <v xml:space="preserve">2170723748 </v>
      </c>
      <c r="G1300" s="11" t="str">
        <f t="shared" si="40"/>
        <v>ON1</v>
      </c>
      <c r="H1300" s="11" t="s">
        <v>21</v>
      </c>
      <c r="I1300" s="11" t="s">
        <v>179</v>
      </c>
      <c r="J1300" s="11" t="str">
        <f>""</f>
        <v/>
      </c>
      <c r="K1300" s="11" t="str">
        <f>"PFES1162731299_0001"</f>
        <v>PFES1162731299_0001</v>
      </c>
      <c r="L1300" s="11">
        <v>1</v>
      </c>
      <c r="M1300" s="11">
        <v>9</v>
      </c>
    </row>
    <row r="1301" spans="1:13">
      <c r="A1301" s="6">
        <v>43845</v>
      </c>
      <c r="B1301" s="7">
        <v>0.67013888888888884</v>
      </c>
      <c r="C1301" s="11" t="str">
        <f>"FES1162731361"</f>
        <v>FES1162731361</v>
      </c>
      <c r="D1301" s="11" t="s">
        <v>19</v>
      </c>
      <c r="E1301" s="11" t="s">
        <v>128</v>
      </c>
      <c r="F1301" s="11" t="str">
        <f>"2170723991 "</f>
        <v xml:space="preserve">2170723991 </v>
      </c>
      <c r="G1301" s="11" t="str">
        <f t="shared" si="40"/>
        <v>ON1</v>
      </c>
      <c r="H1301" s="11" t="s">
        <v>21</v>
      </c>
      <c r="I1301" s="11" t="s">
        <v>129</v>
      </c>
      <c r="J1301" s="11" t="str">
        <f>""</f>
        <v/>
      </c>
      <c r="K1301" s="11" t="str">
        <f>"PFES1162731361_0001"</f>
        <v>PFES1162731361_0001</v>
      </c>
      <c r="L1301" s="11">
        <v>1</v>
      </c>
      <c r="M1301" s="11">
        <v>1</v>
      </c>
    </row>
    <row r="1302" spans="1:13">
      <c r="A1302" s="6">
        <v>43845</v>
      </c>
      <c r="B1302" s="7">
        <v>0.6694444444444444</v>
      </c>
      <c r="C1302" s="11" t="str">
        <f>"FES1162731362"</f>
        <v>FES1162731362</v>
      </c>
      <c r="D1302" s="11" t="s">
        <v>19</v>
      </c>
      <c r="E1302" s="11" t="s">
        <v>128</v>
      </c>
      <c r="F1302" s="11" t="str">
        <f>"21707239921 "</f>
        <v xml:space="preserve">21707239921 </v>
      </c>
      <c r="G1302" s="11" t="str">
        <f t="shared" si="40"/>
        <v>ON1</v>
      </c>
      <c r="H1302" s="11" t="s">
        <v>21</v>
      </c>
      <c r="I1302" s="11" t="s">
        <v>129</v>
      </c>
      <c r="J1302" s="11" t="str">
        <f>""</f>
        <v/>
      </c>
      <c r="K1302" s="11" t="str">
        <f>"PFES1162731362_0001"</f>
        <v>PFES1162731362_0001</v>
      </c>
      <c r="L1302" s="11">
        <v>1</v>
      </c>
      <c r="M1302" s="11">
        <v>1</v>
      </c>
    </row>
    <row r="1303" spans="1:13">
      <c r="A1303" s="6">
        <v>43845</v>
      </c>
      <c r="B1303" s="7">
        <v>0.66875000000000007</v>
      </c>
      <c r="C1303" s="11" t="str">
        <f>"FES1162731258"</f>
        <v>FES1162731258</v>
      </c>
      <c r="D1303" s="11" t="s">
        <v>19</v>
      </c>
      <c r="E1303" s="11" t="s">
        <v>706</v>
      </c>
      <c r="F1303" s="11" t="str">
        <f>"2170723873 "</f>
        <v xml:space="preserve">2170723873 </v>
      </c>
      <c r="G1303" s="11" t="str">
        <f t="shared" si="40"/>
        <v>ON1</v>
      </c>
      <c r="H1303" s="11" t="s">
        <v>21</v>
      </c>
      <c r="I1303" s="11" t="s">
        <v>408</v>
      </c>
      <c r="J1303" s="11" t="str">
        <f>""</f>
        <v/>
      </c>
      <c r="K1303" s="11" t="str">
        <f>"PFES1162731258_0001"</f>
        <v>PFES1162731258_0001</v>
      </c>
      <c r="L1303" s="11">
        <v>1</v>
      </c>
      <c r="M1303" s="11">
        <v>2</v>
      </c>
    </row>
    <row r="1304" spans="1:13">
      <c r="A1304" s="6">
        <v>43845</v>
      </c>
      <c r="B1304" s="7">
        <v>0.66875000000000007</v>
      </c>
      <c r="C1304" s="11" t="str">
        <f>"FES1162731292"</f>
        <v>FES1162731292</v>
      </c>
      <c r="D1304" s="11" t="s">
        <v>19</v>
      </c>
      <c r="E1304" s="11" t="s">
        <v>537</v>
      </c>
      <c r="F1304" s="11" t="str">
        <f>"2170723536 "</f>
        <v xml:space="preserve">2170723536 </v>
      </c>
      <c r="G1304" s="11" t="str">
        <f t="shared" si="40"/>
        <v>ON1</v>
      </c>
      <c r="H1304" s="11" t="s">
        <v>21</v>
      </c>
      <c r="I1304" s="11" t="s">
        <v>209</v>
      </c>
      <c r="J1304" s="11" t="str">
        <f>""</f>
        <v/>
      </c>
      <c r="K1304" s="11" t="str">
        <f>"PFES1162731292_0001"</f>
        <v>PFES1162731292_0001</v>
      </c>
      <c r="L1304" s="11">
        <v>1</v>
      </c>
      <c r="M1304" s="11">
        <v>2</v>
      </c>
    </row>
    <row r="1305" spans="1:13">
      <c r="A1305" s="6">
        <v>43845</v>
      </c>
      <c r="B1305" s="7">
        <v>0.66805555555555562</v>
      </c>
      <c r="C1305" s="11" t="str">
        <f>"FES1162731335"</f>
        <v>FES1162731335</v>
      </c>
      <c r="D1305" s="11" t="s">
        <v>19</v>
      </c>
      <c r="E1305" s="11" t="s">
        <v>205</v>
      </c>
      <c r="F1305" s="11" t="str">
        <f>"2170723959 "</f>
        <v xml:space="preserve">2170723959 </v>
      </c>
      <c r="G1305" s="11" t="str">
        <f t="shared" si="40"/>
        <v>ON1</v>
      </c>
      <c r="H1305" s="11" t="s">
        <v>21</v>
      </c>
      <c r="I1305" s="11" t="s">
        <v>88</v>
      </c>
      <c r="J1305" s="11" t="str">
        <f>""</f>
        <v/>
      </c>
      <c r="K1305" s="11" t="str">
        <f>"PFES1162731335_0001"</f>
        <v>PFES1162731335_0001</v>
      </c>
      <c r="L1305" s="11">
        <v>1</v>
      </c>
      <c r="M1305" s="11">
        <v>12</v>
      </c>
    </row>
    <row r="1306" spans="1:13">
      <c r="A1306" s="6">
        <v>43845</v>
      </c>
      <c r="B1306" s="7">
        <v>0.6645833333333333</v>
      </c>
      <c r="C1306" s="11" t="str">
        <f>"FES1162731278"</f>
        <v>FES1162731278</v>
      </c>
      <c r="D1306" s="11" t="s">
        <v>19</v>
      </c>
      <c r="E1306" s="11" t="s">
        <v>33</v>
      </c>
      <c r="F1306" s="11" t="str">
        <f>"2170721530 "</f>
        <v xml:space="preserve">2170721530 </v>
      </c>
      <c r="G1306" s="11" t="str">
        <f t="shared" si="40"/>
        <v>ON1</v>
      </c>
      <c r="H1306" s="11" t="s">
        <v>21</v>
      </c>
      <c r="I1306" s="11" t="s">
        <v>34</v>
      </c>
      <c r="J1306" s="11" t="str">
        <f>""</f>
        <v/>
      </c>
      <c r="K1306" s="11" t="str">
        <f>"PFES1162731278_0001"</f>
        <v>PFES1162731278_0001</v>
      </c>
      <c r="L1306" s="11">
        <v>1</v>
      </c>
      <c r="M1306" s="11">
        <v>5</v>
      </c>
    </row>
    <row r="1307" spans="1:13">
      <c r="A1307" s="6">
        <v>43845</v>
      </c>
      <c r="B1307" s="7">
        <v>0.6645833333333333</v>
      </c>
      <c r="C1307" s="11" t="str">
        <f>"FES1162731372"</f>
        <v>FES1162731372</v>
      </c>
      <c r="D1307" s="11" t="s">
        <v>19</v>
      </c>
      <c r="E1307" s="11" t="s">
        <v>67</v>
      </c>
      <c r="F1307" s="11" t="str">
        <f>"2170724010 "</f>
        <v xml:space="preserve">2170724010 </v>
      </c>
      <c r="G1307" s="11" t="str">
        <f t="shared" si="40"/>
        <v>ON1</v>
      </c>
      <c r="H1307" s="11" t="s">
        <v>21</v>
      </c>
      <c r="I1307" s="11" t="s">
        <v>253</v>
      </c>
      <c r="J1307" s="11" t="str">
        <f>""</f>
        <v/>
      </c>
      <c r="K1307" s="11" t="str">
        <f>"PFES1162731372_0001"</f>
        <v>PFES1162731372_0001</v>
      </c>
      <c r="L1307" s="11">
        <v>1</v>
      </c>
      <c r="M1307" s="11">
        <v>3</v>
      </c>
    </row>
    <row r="1308" spans="1:13">
      <c r="A1308" s="6">
        <v>43845</v>
      </c>
      <c r="B1308" s="7">
        <v>0.66249999999999998</v>
      </c>
      <c r="C1308" s="11" t="str">
        <f>"FES1162731377"</f>
        <v>FES1162731377</v>
      </c>
      <c r="D1308" s="11" t="s">
        <v>19</v>
      </c>
      <c r="E1308" s="11" t="s">
        <v>410</v>
      </c>
      <c r="F1308" s="11" t="str">
        <f>"2170724012 "</f>
        <v xml:space="preserve">2170724012 </v>
      </c>
      <c r="G1308" s="11" t="str">
        <f t="shared" si="40"/>
        <v>ON1</v>
      </c>
      <c r="H1308" s="11" t="s">
        <v>21</v>
      </c>
      <c r="I1308" s="11" t="s">
        <v>707</v>
      </c>
      <c r="J1308" s="11" t="str">
        <f>""</f>
        <v/>
      </c>
      <c r="K1308" s="11" t="str">
        <f>"PFES1162731377_0001"</f>
        <v>PFES1162731377_0001</v>
      </c>
      <c r="L1308" s="11">
        <v>1</v>
      </c>
      <c r="M1308" s="11">
        <v>5</v>
      </c>
    </row>
    <row r="1309" spans="1:13">
      <c r="A1309" s="6">
        <v>43845</v>
      </c>
      <c r="B1309" s="7">
        <v>0.66249999999999998</v>
      </c>
      <c r="C1309" s="11" t="str">
        <f>"FES1162731376"</f>
        <v>FES1162731376</v>
      </c>
      <c r="D1309" s="11" t="s">
        <v>19</v>
      </c>
      <c r="E1309" s="11" t="s">
        <v>708</v>
      </c>
      <c r="F1309" s="11" t="str">
        <f>"2170723148 "</f>
        <v xml:space="preserve">2170723148 </v>
      </c>
      <c r="G1309" s="11" t="str">
        <f t="shared" si="40"/>
        <v>ON1</v>
      </c>
      <c r="H1309" s="11" t="s">
        <v>21</v>
      </c>
      <c r="I1309" s="11" t="s">
        <v>601</v>
      </c>
      <c r="J1309" s="11" t="str">
        <f>""</f>
        <v/>
      </c>
      <c r="K1309" s="11" t="str">
        <f>"PFES1162731376_0001"</f>
        <v>PFES1162731376_0001</v>
      </c>
      <c r="L1309" s="11">
        <v>1</v>
      </c>
      <c r="M1309" s="11">
        <v>5</v>
      </c>
    </row>
    <row r="1310" spans="1:13">
      <c r="A1310" s="6">
        <v>43845</v>
      </c>
      <c r="B1310" s="7">
        <v>0.66180555555555554</v>
      </c>
      <c r="C1310" s="11" t="str">
        <f>"FES1162731375"</f>
        <v>FES1162731375</v>
      </c>
      <c r="D1310" s="11" t="s">
        <v>19</v>
      </c>
      <c r="E1310" s="11" t="s">
        <v>232</v>
      </c>
      <c r="F1310" s="11" t="str">
        <f>"21707230033 "</f>
        <v xml:space="preserve">21707230033 </v>
      </c>
      <c r="G1310" s="11" t="str">
        <f t="shared" si="40"/>
        <v>ON1</v>
      </c>
      <c r="H1310" s="11" t="s">
        <v>21</v>
      </c>
      <c r="I1310" s="11" t="s">
        <v>247</v>
      </c>
      <c r="J1310" s="11" t="str">
        <f>""</f>
        <v/>
      </c>
      <c r="K1310" s="11" t="str">
        <f>"PFES1162731375_0001"</f>
        <v>PFES1162731375_0001</v>
      </c>
      <c r="L1310" s="11">
        <v>1</v>
      </c>
      <c r="M1310" s="11">
        <v>4</v>
      </c>
    </row>
    <row r="1311" spans="1:13">
      <c r="A1311" s="6">
        <v>43845</v>
      </c>
      <c r="B1311" s="7">
        <v>0.66111111111111109</v>
      </c>
      <c r="C1311" s="11" t="str">
        <f>"009935712047"</f>
        <v>009935712047</v>
      </c>
      <c r="D1311" s="11" t="s">
        <v>19</v>
      </c>
      <c r="E1311" s="11" t="s">
        <v>322</v>
      </c>
      <c r="F1311" s="11" t="str">
        <f>"1162730543 "</f>
        <v xml:space="preserve">1162730543 </v>
      </c>
      <c r="G1311" s="11" t="str">
        <f t="shared" si="40"/>
        <v>ON1</v>
      </c>
      <c r="H1311" s="11" t="s">
        <v>21</v>
      </c>
      <c r="I1311" s="11" t="s">
        <v>323</v>
      </c>
      <c r="J1311" s="11" t="str">
        <f>"RESEND"</f>
        <v>RESEND</v>
      </c>
      <c r="K1311" s="11" t="str">
        <f>"P009935712047_0001"</f>
        <v>P009935712047_0001</v>
      </c>
      <c r="L1311" s="11">
        <v>1</v>
      </c>
      <c r="M1311" s="11">
        <v>5</v>
      </c>
    </row>
    <row r="1312" spans="1:13">
      <c r="A1312" s="6">
        <v>43845</v>
      </c>
      <c r="B1312" s="7">
        <v>0.63888888888888895</v>
      </c>
      <c r="C1312" s="11" t="str">
        <f>"FES1162731356"</f>
        <v>FES1162731356</v>
      </c>
      <c r="D1312" s="11" t="s">
        <v>19</v>
      </c>
      <c r="E1312" s="11" t="s">
        <v>709</v>
      </c>
      <c r="F1312" s="11" t="str">
        <f>"2170723982 "</f>
        <v xml:space="preserve">2170723982 </v>
      </c>
      <c r="G1312" s="11" t="str">
        <f t="shared" si="40"/>
        <v>ON1</v>
      </c>
      <c r="H1312" s="11" t="s">
        <v>21</v>
      </c>
      <c r="I1312" s="11" t="s">
        <v>270</v>
      </c>
      <c r="J1312" s="11" t="str">
        <f>""</f>
        <v/>
      </c>
      <c r="K1312" s="11" t="str">
        <f>"PFES1162731356_0001"</f>
        <v>PFES1162731356_0001</v>
      </c>
      <c r="L1312" s="11">
        <v>1</v>
      </c>
      <c r="M1312" s="11">
        <v>7</v>
      </c>
    </row>
    <row r="1313" spans="1:13">
      <c r="A1313" s="6">
        <v>43845</v>
      </c>
      <c r="B1313" s="7">
        <v>0.6381944444444444</v>
      </c>
      <c r="C1313" s="11" t="str">
        <f>"FES1162731364"</f>
        <v>FES1162731364</v>
      </c>
      <c r="D1313" s="11" t="s">
        <v>19</v>
      </c>
      <c r="E1313" s="11" t="s">
        <v>710</v>
      </c>
      <c r="F1313" s="11" t="str">
        <f>"2170723987 "</f>
        <v xml:space="preserve">2170723987 </v>
      </c>
      <c r="G1313" s="11" t="str">
        <f t="shared" si="40"/>
        <v>ON1</v>
      </c>
      <c r="H1313" s="11" t="s">
        <v>21</v>
      </c>
      <c r="I1313" s="11" t="s">
        <v>247</v>
      </c>
      <c r="J1313" s="11" t="str">
        <f>""</f>
        <v/>
      </c>
      <c r="K1313" s="11" t="str">
        <f>"PFES1162731364_0001"</f>
        <v>PFES1162731364_0001</v>
      </c>
      <c r="L1313" s="11">
        <v>1</v>
      </c>
      <c r="M1313" s="11">
        <v>2</v>
      </c>
    </row>
    <row r="1314" spans="1:13">
      <c r="A1314" s="6">
        <v>43845</v>
      </c>
      <c r="B1314" s="7">
        <v>0.63541666666666663</v>
      </c>
      <c r="C1314" s="11" t="str">
        <f>"FES1162731366"</f>
        <v>FES1162731366</v>
      </c>
      <c r="D1314" s="11" t="s">
        <v>19</v>
      </c>
      <c r="E1314" s="11" t="s">
        <v>259</v>
      </c>
      <c r="F1314" s="11" t="str">
        <f>"2170723995 "</f>
        <v xml:space="preserve">2170723995 </v>
      </c>
      <c r="G1314" s="11" t="str">
        <f t="shared" si="40"/>
        <v>ON1</v>
      </c>
      <c r="H1314" s="11" t="s">
        <v>21</v>
      </c>
      <c r="I1314" s="11" t="s">
        <v>260</v>
      </c>
      <c r="J1314" s="11" t="str">
        <f>""</f>
        <v/>
      </c>
      <c r="K1314" s="11" t="str">
        <f>"PFES1162731366_0001"</f>
        <v>PFES1162731366_0001</v>
      </c>
      <c r="L1314" s="11">
        <v>1</v>
      </c>
      <c r="M1314" s="11">
        <v>1</v>
      </c>
    </row>
    <row r="1315" spans="1:13">
      <c r="A1315" s="6">
        <v>43845</v>
      </c>
      <c r="B1315" s="7">
        <v>0.63541666666666663</v>
      </c>
      <c r="C1315" s="11" t="str">
        <f>"FES1162731358"</f>
        <v>FES1162731358</v>
      </c>
      <c r="D1315" s="11" t="s">
        <v>19</v>
      </c>
      <c r="E1315" s="11" t="s">
        <v>259</v>
      </c>
      <c r="F1315" s="11" t="str">
        <f>"2170723986 "</f>
        <v xml:space="preserve">2170723986 </v>
      </c>
      <c r="G1315" s="11" t="str">
        <f t="shared" si="40"/>
        <v>ON1</v>
      </c>
      <c r="H1315" s="11" t="s">
        <v>21</v>
      </c>
      <c r="I1315" s="11" t="s">
        <v>260</v>
      </c>
      <c r="J1315" s="11" t="str">
        <f>""</f>
        <v/>
      </c>
      <c r="K1315" s="11" t="str">
        <f>"PFES1162731358_0001"</f>
        <v>PFES1162731358_0001</v>
      </c>
      <c r="L1315" s="11">
        <v>1</v>
      </c>
      <c r="M1315" s="11">
        <v>6</v>
      </c>
    </row>
    <row r="1316" spans="1:13">
      <c r="A1316" s="6">
        <v>43845</v>
      </c>
      <c r="B1316" s="7">
        <v>0.63402777777777775</v>
      </c>
      <c r="C1316" s="11" t="str">
        <f>"FES1162731370"</f>
        <v>FES1162731370</v>
      </c>
      <c r="D1316" s="11" t="s">
        <v>19</v>
      </c>
      <c r="E1316" s="11" t="s">
        <v>611</v>
      </c>
      <c r="F1316" s="11" t="str">
        <f>"2170724001 "</f>
        <v xml:space="preserve">2170724001 </v>
      </c>
      <c r="G1316" s="11" t="str">
        <f t="shared" si="40"/>
        <v>ON1</v>
      </c>
      <c r="H1316" s="11" t="s">
        <v>21</v>
      </c>
      <c r="I1316" s="11" t="s">
        <v>36</v>
      </c>
      <c r="J1316" s="11" t="str">
        <f>""</f>
        <v/>
      </c>
      <c r="K1316" s="11" t="str">
        <f>"PFES1162731370_0001"</f>
        <v>PFES1162731370_0001</v>
      </c>
      <c r="L1316" s="11">
        <v>1</v>
      </c>
      <c r="M1316" s="11">
        <v>1</v>
      </c>
    </row>
    <row r="1317" spans="1:13">
      <c r="A1317" s="6">
        <v>43845</v>
      </c>
      <c r="B1317" s="7">
        <v>0.62708333333333333</v>
      </c>
      <c r="C1317" s="11" t="str">
        <f>"FES1162731359"</f>
        <v>FES1162731359</v>
      </c>
      <c r="D1317" s="11" t="s">
        <v>19</v>
      </c>
      <c r="E1317" s="11" t="s">
        <v>248</v>
      </c>
      <c r="F1317" s="11" t="str">
        <f>"2170723989 "</f>
        <v xml:space="preserve">2170723989 </v>
      </c>
      <c r="G1317" s="11" t="str">
        <f t="shared" si="40"/>
        <v>ON1</v>
      </c>
      <c r="H1317" s="11" t="s">
        <v>21</v>
      </c>
      <c r="I1317" s="11" t="s">
        <v>247</v>
      </c>
      <c r="J1317" s="11" t="str">
        <f>""</f>
        <v/>
      </c>
      <c r="K1317" s="11" t="str">
        <f>"PFES1162731359_0001"</f>
        <v>PFES1162731359_0001</v>
      </c>
      <c r="L1317" s="11">
        <v>1</v>
      </c>
      <c r="M1317" s="11">
        <v>1</v>
      </c>
    </row>
    <row r="1318" spans="1:13">
      <c r="A1318" s="6">
        <v>43845</v>
      </c>
      <c r="B1318" s="7">
        <v>0.62638888888888888</v>
      </c>
      <c r="C1318" s="11" t="str">
        <f>"FES1162731357"</f>
        <v>FES1162731357</v>
      </c>
      <c r="D1318" s="11" t="s">
        <v>19</v>
      </c>
      <c r="E1318" s="11" t="s">
        <v>101</v>
      </c>
      <c r="F1318" s="11" t="str">
        <f>"2170723981 "</f>
        <v xml:space="preserve">2170723981 </v>
      </c>
      <c r="G1318" s="11" t="str">
        <f t="shared" si="40"/>
        <v>ON1</v>
      </c>
      <c r="H1318" s="11" t="s">
        <v>21</v>
      </c>
      <c r="I1318" s="11" t="s">
        <v>102</v>
      </c>
      <c r="J1318" s="11" t="str">
        <f>""</f>
        <v/>
      </c>
      <c r="K1318" s="11" t="str">
        <f>"PFES1162731357_0001"</f>
        <v>PFES1162731357_0001</v>
      </c>
      <c r="L1318" s="11">
        <v>1</v>
      </c>
      <c r="M1318" s="11">
        <v>1</v>
      </c>
    </row>
    <row r="1319" spans="1:13">
      <c r="A1319" s="6">
        <v>43845</v>
      </c>
      <c r="B1319" s="7">
        <v>0.61527777777777781</v>
      </c>
      <c r="C1319" s="11" t="str">
        <f>"FES1162731369"</f>
        <v>FES1162731369</v>
      </c>
      <c r="D1319" s="11" t="s">
        <v>19</v>
      </c>
      <c r="E1319" s="11" t="s">
        <v>244</v>
      </c>
      <c r="F1319" s="11" t="str">
        <f>"2170724000 "</f>
        <v xml:space="preserve">2170724000 </v>
      </c>
      <c r="G1319" s="11" t="str">
        <f t="shared" si="40"/>
        <v>ON1</v>
      </c>
      <c r="H1319" s="11" t="s">
        <v>21</v>
      </c>
      <c r="I1319" s="11" t="s">
        <v>36</v>
      </c>
      <c r="J1319" s="11" t="str">
        <f>""</f>
        <v/>
      </c>
      <c r="K1319" s="11" t="str">
        <f>"PFES1162731369_0001"</f>
        <v>PFES1162731369_0001</v>
      </c>
      <c r="L1319" s="11">
        <v>1</v>
      </c>
      <c r="M1319" s="11">
        <v>1</v>
      </c>
    </row>
    <row r="1320" spans="1:13">
      <c r="A1320" s="6">
        <v>43845</v>
      </c>
      <c r="B1320" s="7">
        <v>0.61458333333333337</v>
      </c>
      <c r="C1320" s="11" t="str">
        <f>"FES1162731363"</f>
        <v>FES1162731363</v>
      </c>
      <c r="D1320" s="11" t="s">
        <v>19</v>
      </c>
      <c r="E1320" s="11" t="s">
        <v>611</v>
      </c>
      <c r="F1320" s="11" t="str">
        <f>"2170723983 "</f>
        <v xml:space="preserve">2170723983 </v>
      </c>
      <c r="G1320" s="11" t="str">
        <f t="shared" si="40"/>
        <v>ON1</v>
      </c>
      <c r="H1320" s="11" t="s">
        <v>21</v>
      </c>
      <c r="I1320" s="11" t="s">
        <v>36</v>
      </c>
      <c r="J1320" s="11" t="str">
        <f>""</f>
        <v/>
      </c>
      <c r="K1320" s="11" t="str">
        <f>"PFES1162731363_0001"</f>
        <v>PFES1162731363_0001</v>
      </c>
      <c r="L1320" s="11">
        <v>1</v>
      </c>
      <c r="M1320" s="11">
        <v>1</v>
      </c>
    </row>
    <row r="1321" spans="1:13">
      <c r="A1321" s="6">
        <v>43845</v>
      </c>
      <c r="B1321" s="7">
        <v>0.61319444444444449</v>
      </c>
      <c r="C1321" s="11" t="str">
        <f>"FES1162731345"</f>
        <v>FES1162731345</v>
      </c>
      <c r="D1321" s="11" t="s">
        <v>19</v>
      </c>
      <c r="E1321" s="11" t="s">
        <v>54</v>
      </c>
      <c r="F1321" s="11" t="str">
        <f>"2170723968 "</f>
        <v xml:space="preserve">2170723968 </v>
      </c>
      <c r="G1321" s="11" t="str">
        <f t="shared" si="40"/>
        <v>ON1</v>
      </c>
      <c r="H1321" s="11" t="s">
        <v>21</v>
      </c>
      <c r="I1321" s="11" t="s">
        <v>31</v>
      </c>
      <c r="J1321" s="11" t="str">
        <f>""</f>
        <v/>
      </c>
      <c r="K1321" s="11" t="str">
        <f>"PFES1162731345_0001"</f>
        <v>PFES1162731345_0001</v>
      </c>
      <c r="L1321" s="11">
        <v>1</v>
      </c>
      <c r="M1321" s="11">
        <v>1</v>
      </c>
    </row>
    <row r="1322" spans="1:13">
      <c r="A1322" s="6">
        <v>43845</v>
      </c>
      <c r="B1322" s="7">
        <v>0.61249999999999993</v>
      </c>
      <c r="C1322" s="11" t="str">
        <f>"FES1162731264"</f>
        <v>FES1162731264</v>
      </c>
      <c r="D1322" s="11" t="s">
        <v>19</v>
      </c>
      <c r="E1322" s="11" t="s">
        <v>711</v>
      </c>
      <c r="F1322" s="11" t="str">
        <f>"2170723881 "</f>
        <v xml:space="preserve">2170723881 </v>
      </c>
      <c r="G1322" s="11" t="str">
        <f t="shared" si="40"/>
        <v>ON1</v>
      </c>
      <c r="H1322" s="11" t="s">
        <v>21</v>
      </c>
      <c r="I1322" s="11" t="s">
        <v>28</v>
      </c>
      <c r="J1322" s="11" t="str">
        <f>""</f>
        <v/>
      </c>
      <c r="K1322" s="11" t="str">
        <f>"PFES1162731264_0001"</f>
        <v>PFES1162731264_0001</v>
      </c>
      <c r="L1322" s="11">
        <v>1</v>
      </c>
      <c r="M1322" s="11">
        <v>1</v>
      </c>
    </row>
    <row r="1323" spans="1:13">
      <c r="A1323" s="6">
        <v>43845</v>
      </c>
      <c r="B1323" s="7">
        <v>0.61249999999999993</v>
      </c>
      <c r="C1323" s="11" t="str">
        <f>"FES1162731254"</f>
        <v>FES1162731254</v>
      </c>
      <c r="D1323" s="11" t="s">
        <v>19</v>
      </c>
      <c r="E1323" s="11" t="s">
        <v>593</v>
      </c>
      <c r="F1323" s="11" t="str">
        <f>"2170723870 "</f>
        <v xml:space="preserve">2170723870 </v>
      </c>
      <c r="G1323" s="11" t="str">
        <f t="shared" si="40"/>
        <v>ON1</v>
      </c>
      <c r="H1323" s="11" t="s">
        <v>21</v>
      </c>
      <c r="I1323" s="11" t="s">
        <v>179</v>
      </c>
      <c r="J1323" s="11" t="str">
        <f>""</f>
        <v/>
      </c>
      <c r="K1323" s="11" t="str">
        <f>"PFES1162731254_0001"</f>
        <v>PFES1162731254_0001</v>
      </c>
      <c r="L1323" s="11">
        <v>1</v>
      </c>
      <c r="M1323" s="11">
        <v>16</v>
      </c>
    </row>
    <row r="1324" spans="1:13">
      <c r="A1324" s="6">
        <v>43845</v>
      </c>
      <c r="B1324" s="7">
        <v>0.61249999999999993</v>
      </c>
      <c r="C1324" s="11" t="str">
        <f>"FES1162731307"</f>
        <v>FES1162731307</v>
      </c>
      <c r="D1324" s="11" t="s">
        <v>19</v>
      </c>
      <c r="E1324" s="11" t="s">
        <v>588</v>
      </c>
      <c r="F1324" s="11" t="str">
        <f>"2170723932 "</f>
        <v xml:space="preserve">2170723932 </v>
      </c>
      <c r="G1324" s="11" t="str">
        <f t="shared" si="40"/>
        <v>ON1</v>
      </c>
      <c r="H1324" s="11" t="s">
        <v>21</v>
      </c>
      <c r="I1324" s="11" t="s">
        <v>408</v>
      </c>
      <c r="J1324" s="11" t="str">
        <f>""</f>
        <v/>
      </c>
      <c r="K1324" s="11" t="str">
        <f>"PFES1162731307_0001"</f>
        <v>PFES1162731307_0001</v>
      </c>
      <c r="L1324" s="11">
        <v>1</v>
      </c>
      <c r="M1324" s="11">
        <v>6</v>
      </c>
    </row>
    <row r="1325" spans="1:13">
      <c r="A1325" s="6">
        <v>43845</v>
      </c>
      <c r="B1325" s="7">
        <v>0.6118055555555556</v>
      </c>
      <c r="C1325" s="11" t="str">
        <f>"FES1162731253"</f>
        <v>FES1162731253</v>
      </c>
      <c r="D1325" s="11" t="s">
        <v>19</v>
      </c>
      <c r="E1325" s="11" t="s">
        <v>593</v>
      </c>
      <c r="F1325" s="11" t="str">
        <f>"2170723869 "</f>
        <v xml:space="preserve">2170723869 </v>
      </c>
      <c r="G1325" s="11" t="str">
        <f t="shared" si="40"/>
        <v>ON1</v>
      </c>
      <c r="H1325" s="11" t="s">
        <v>21</v>
      </c>
      <c r="I1325" s="11" t="s">
        <v>179</v>
      </c>
      <c r="J1325" s="11" t="str">
        <f>""</f>
        <v/>
      </c>
      <c r="K1325" s="11" t="str">
        <f>"PFES1162731253_0001"</f>
        <v>PFES1162731253_0001</v>
      </c>
      <c r="L1325" s="11">
        <v>1</v>
      </c>
      <c r="M1325" s="11">
        <v>6</v>
      </c>
    </row>
    <row r="1326" spans="1:13">
      <c r="A1326" s="6">
        <v>43845</v>
      </c>
      <c r="B1326" s="7">
        <v>0.6118055555555556</v>
      </c>
      <c r="C1326" s="11" t="str">
        <f>"FES1162731314"</f>
        <v>FES1162731314</v>
      </c>
      <c r="D1326" s="11" t="s">
        <v>19</v>
      </c>
      <c r="E1326" s="11" t="s">
        <v>698</v>
      </c>
      <c r="F1326" s="11" t="str">
        <f>"2170723945 "</f>
        <v xml:space="preserve">2170723945 </v>
      </c>
      <c r="G1326" s="11" t="str">
        <f t="shared" si="40"/>
        <v>ON1</v>
      </c>
      <c r="H1326" s="11" t="s">
        <v>21</v>
      </c>
      <c r="I1326" s="11" t="s">
        <v>699</v>
      </c>
      <c r="J1326" s="11" t="str">
        <f>""</f>
        <v/>
      </c>
      <c r="K1326" s="11" t="str">
        <f>"PFES1162731314_0001"</f>
        <v>PFES1162731314_0001</v>
      </c>
      <c r="L1326" s="11">
        <v>1</v>
      </c>
      <c r="M1326" s="11">
        <v>1</v>
      </c>
    </row>
    <row r="1327" spans="1:13">
      <c r="A1327" s="6">
        <v>43845</v>
      </c>
      <c r="B1327" s="7">
        <v>0.6118055555555556</v>
      </c>
      <c r="C1327" s="11" t="str">
        <f>"FES1162731353"</f>
        <v>FES1162731353</v>
      </c>
      <c r="D1327" s="11" t="s">
        <v>19</v>
      </c>
      <c r="E1327" s="11" t="s">
        <v>712</v>
      </c>
      <c r="F1327" s="11" t="str">
        <f>"2170723977 "</f>
        <v xml:space="preserve">2170723977 </v>
      </c>
      <c r="G1327" s="11" t="str">
        <f t="shared" si="40"/>
        <v>ON1</v>
      </c>
      <c r="H1327" s="11" t="s">
        <v>21</v>
      </c>
      <c r="I1327" s="11" t="s">
        <v>713</v>
      </c>
      <c r="J1327" s="11" t="str">
        <f>""</f>
        <v/>
      </c>
      <c r="K1327" s="11" t="str">
        <f>"PFES1162731353_0001"</f>
        <v>PFES1162731353_0001</v>
      </c>
      <c r="L1327" s="11">
        <v>1</v>
      </c>
      <c r="M1327" s="11">
        <v>3</v>
      </c>
    </row>
    <row r="1328" spans="1:13">
      <c r="A1328" s="6">
        <v>43845</v>
      </c>
      <c r="B1328" s="7">
        <v>0.6118055555555556</v>
      </c>
      <c r="C1328" s="11" t="str">
        <f>"FES1162731351"</f>
        <v>FES1162731351</v>
      </c>
      <c r="D1328" s="11" t="s">
        <v>19</v>
      </c>
      <c r="E1328" s="11" t="s">
        <v>712</v>
      </c>
      <c r="F1328" s="11" t="str">
        <f>"2170723975 "</f>
        <v xml:space="preserve">2170723975 </v>
      </c>
      <c r="G1328" s="11" t="str">
        <f t="shared" si="40"/>
        <v>ON1</v>
      </c>
      <c r="H1328" s="11" t="s">
        <v>21</v>
      </c>
      <c r="I1328" s="11" t="s">
        <v>713</v>
      </c>
      <c r="J1328" s="11" t="str">
        <f>""</f>
        <v/>
      </c>
      <c r="K1328" s="11" t="str">
        <f>"PFES1162731351_0001"</f>
        <v>PFES1162731351_0001</v>
      </c>
      <c r="L1328" s="11">
        <v>1</v>
      </c>
      <c r="M1328" s="11">
        <v>3</v>
      </c>
    </row>
    <row r="1329" spans="1:13">
      <c r="A1329" s="6">
        <v>43845</v>
      </c>
      <c r="B1329" s="7">
        <v>0.61111111111111105</v>
      </c>
      <c r="C1329" s="11" t="str">
        <f>"FES1162731340"</f>
        <v>FES1162731340</v>
      </c>
      <c r="D1329" s="11" t="s">
        <v>19</v>
      </c>
      <c r="E1329" s="11" t="s">
        <v>128</v>
      </c>
      <c r="F1329" s="11" t="str">
        <f>"2170723963 "</f>
        <v xml:space="preserve">2170723963 </v>
      </c>
      <c r="G1329" s="11" t="str">
        <f t="shared" si="40"/>
        <v>ON1</v>
      </c>
      <c r="H1329" s="11" t="s">
        <v>21</v>
      </c>
      <c r="I1329" s="11" t="s">
        <v>129</v>
      </c>
      <c r="J1329" s="11" t="str">
        <f>""</f>
        <v/>
      </c>
      <c r="K1329" s="11" t="str">
        <f>"PFES1162731340_0001"</f>
        <v>PFES1162731340_0001</v>
      </c>
      <c r="L1329" s="11">
        <v>1</v>
      </c>
      <c r="M1329" s="11">
        <v>1</v>
      </c>
    </row>
    <row r="1330" spans="1:13">
      <c r="A1330" s="6">
        <v>43845</v>
      </c>
      <c r="B1330" s="7">
        <v>0.61111111111111105</v>
      </c>
      <c r="C1330" s="11" t="str">
        <f>"FES1162731290"</f>
        <v>FES1162731290</v>
      </c>
      <c r="D1330" s="11" t="s">
        <v>19</v>
      </c>
      <c r="E1330" s="11" t="s">
        <v>600</v>
      </c>
      <c r="F1330" s="11" t="str">
        <f>"2170723328 "</f>
        <v xml:space="preserve">2170723328 </v>
      </c>
      <c r="G1330" s="11" t="str">
        <f t="shared" si="40"/>
        <v>ON1</v>
      </c>
      <c r="H1330" s="11" t="s">
        <v>21</v>
      </c>
      <c r="I1330" s="11" t="s">
        <v>601</v>
      </c>
      <c r="J1330" s="11" t="str">
        <f>""</f>
        <v/>
      </c>
      <c r="K1330" s="11" t="str">
        <f>"PFES1162731290_0001"</f>
        <v>PFES1162731290_0001</v>
      </c>
      <c r="L1330" s="11">
        <v>1</v>
      </c>
      <c r="M1330" s="11">
        <v>2</v>
      </c>
    </row>
    <row r="1331" spans="1:13">
      <c r="A1331" s="6">
        <v>43845</v>
      </c>
      <c r="B1331" s="7">
        <v>0.61111111111111105</v>
      </c>
      <c r="C1331" s="11" t="str">
        <f>"FES1162731360"</f>
        <v>FES1162731360</v>
      </c>
      <c r="D1331" s="11" t="s">
        <v>19</v>
      </c>
      <c r="E1331" s="11" t="s">
        <v>46</v>
      </c>
      <c r="F1331" s="11" t="str">
        <f>"2170723990 "</f>
        <v xml:space="preserve">2170723990 </v>
      </c>
      <c r="G1331" s="11" t="str">
        <f t="shared" si="40"/>
        <v>ON1</v>
      </c>
      <c r="H1331" s="11" t="s">
        <v>21</v>
      </c>
      <c r="I1331" s="11" t="s">
        <v>47</v>
      </c>
      <c r="J1331" s="11" t="str">
        <f>""</f>
        <v/>
      </c>
      <c r="K1331" s="11" t="str">
        <f>"PFES1162731360_0001"</f>
        <v>PFES1162731360_0001</v>
      </c>
      <c r="L1331" s="11">
        <v>1</v>
      </c>
      <c r="M1331" s="11">
        <v>5</v>
      </c>
    </row>
    <row r="1332" spans="1:13">
      <c r="A1332" s="6">
        <v>43845</v>
      </c>
      <c r="B1332" s="7">
        <v>0.61041666666666672</v>
      </c>
      <c r="C1332" s="11" t="str">
        <f>"FES1162731267"</f>
        <v>FES1162731267</v>
      </c>
      <c r="D1332" s="11" t="s">
        <v>19</v>
      </c>
      <c r="E1332" s="11" t="s">
        <v>426</v>
      </c>
      <c r="F1332" s="11" t="str">
        <f>"2170723884 "</f>
        <v xml:space="preserve">2170723884 </v>
      </c>
      <c r="G1332" s="11" t="str">
        <f t="shared" si="40"/>
        <v>ON1</v>
      </c>
      <c r="H1332" s="11" t="s">
        <v>21</v>
      </c>
      <c r="I1332" s="11" t="s">
        <v>26</v>
      </c>
      <c r="J1332" s="11" t="str">
        <f>""</f>
        <v/>
      </c>
      <c r="K1332" s="11" t="str">
        <f>"PFES1162731267_0001"</f>
        <v>PFES1162731267_0001</v>
      </c>
      <c r="L1332" s="11">
        <v>1</v>
      </c>
      <c r="M1332" s="11">
        <v>1</v>
      </c>
    </row>
    <row r="1333" spans="1:13">
      <c r="A1333" s="6">
        <v>43845</v>
      </c>
      <c r="B1333" s="7">
        <v>0.61041666666666672</v>
      </c>
      <c r="C1333" s="11" t="str">
        <f>"FES1162731320"</f>
        <v>FES1162731320</v>
      </c>
      <c r="D1333" s="11" t="s">
        <v>19</v>
      </c>
      <c r="E1333" s="11" t="s">
        <v>142</v>
      </c>
      <c r="F1333" s="11" t="str">
        <f>"2170723782 "</f>
        <v xml:space="preserve">2170723782 </v>
      </c>
      <c r="G1333" s="11" t="str">
        <f t="shared" si="40"/>
        <v>ON1</v>
      </c>
      <c r="H1333" s="11" t="s">
        <v>21</v>
      </c>
      <c r="I1333" s="11" t="s">
        <v>123</v>
      </c>
      <c r="J1333" s="11" t="str">
        <f>""</f>
        <v/>
      </c>
      <c r="K1333" s="11" t="str">
        <f>"PFES1162731320_0001"</f>
        <v>PFES1162731320_0001</v>
      </c>
      <c r="L1333" s="11">
        <v>1</v>
      </c>
      <c r="M1333" s="11">
        <v>4</v>
      </c>
    </row>
    <row r="1334" spans="1:13">
      <c r="A1334" s="6">
        <v>43845</v>
      </c>
      <c r="B1334" s="7">
        <v>0.61041666666666672</v>
      </c>
      <c r="C1334" s="11" t="str">
        <f>"FES1162731352"</f>
        <v>FES1162731352</v>
      </c>
      <c r="D1334" s="11" t="s">
        <v>19</v>
      </c>
      <c r="E1334" s="11" t="s">
        <v>712</v>
      </c>
      <c r="F1334" s="11" t="str">
        <f>"2170723973 "</f>
        <v xml:space="preserve">2170723973 </v>
      </c>
      <c r="G1334" s="11" t="str">
        <f t="shared" si="40"/>
        <v>ON1</v>
      </c>
      <c r="H1334" s="11" t="s">
        <v>21</v>
      </c>
      <c r="I1334" s="11" t="s">
        <v>713</v>
      </c>
      <c r="J1334" s="11" t="str">
        <f>""</f>
        <v/>
      </c>
      <c r="K1334" s="11" t="str">
        <f>"PFES1162731352_0001"</f>
        <v>PFES1162731352_0001</v>
      </c>
      <c r="L1334" s="11">
        <v>1</v>
      </c>
      <c r="M1334" s="11">
        <v>5</v>
      </c>
    </row>
    <row r="1335" spans="1:13">
      <c r="A1335" s="6">
        <v>43845</v>
      </c>
      <c r="B1335" s="7">
        <v>0.60972222222222217</v>
      </c>
      <c r="C1335" s="11" t="str">
        <f>"FES1162731347"</f>
        <v>FES1162731347</v>
      </c>
      <c r="D1335" s="11" t="s">
        <v>19</v>
      </c>
      <c r="E1335" s="11" t="s">
        <v>656</v>
      </c>
      <c r="F1335" s="11" t="str">
        <f>"2170723970 "</f>
        <v xml:space="preserve">2170723970 </v>
      </c>
      <c r="G1335" s="11" t="str">
        <f t="shared" si="40"/>
        <v>ON1</v>
      </c>
      <c r="H1335" s="11" t="s">
        <v>21</v>
      </c>
      <c r="I1335" s="11" t="s">
        <v>657</v>
      </c>
      <c r="J1335" s="11" t="str">
        <f>""</f>
        <v/>
      </c>
      <c r="K1335" s="11" t="str">
        <f>"PFES1162731347_0001"</f>
        <v>PFES1162731347_0001</v>
      </c>
      <c r="L1335" s="11">
        <v>1</v>
      </c>
      <c r="M1335" s="11">
        <v>1</v>
      </c>
    </row>
    <row r="1336" spans="1:13">
      <c r="A1336" s="6">
        <v>43845</v>
      </c>
      <c r="B1336" s="7">
        <v>0.60972222222222217</v>
      </c>
      <c r="C1336" s="11" t="str">
        <f>"FES1162731312"</f>
        <v>FES1162731312</v>
      </c>
      <c r="D1336" s="11" t="s">
        <v>19</v>
      </c>
      <c r="E1336" s="11" t="s">
        <v>239</v>
      </c>
      <c r="F1336" s="11" t="str">
        <f>"2170723940 "</f>
        <v xml:space="preserve">2170723940 </v>
      </c>
      <c r="G1336" s="11" t="str">
        <f t="shared" si="40"/>
        <v>ON1</v>
      </c>
      <c r="H1336" s="11" t="s">
        <v>21</v>
      </c>
      <c r="I1336" s="11" t="s">
        <v>165</v>
      </c>
      <c r="J1336" s="11" t="str">
        <f>""</f>
        <v/>
      </c>
      <c r="K1336" s="11" t="str">
        <f>"PFES1162731312_0001"</f>
        <v>PFES1162731312_0001</v>
      </c>
      <c r="L1336" s="11">
        <v>1</v>
      </c>
      <c r="M1336" s="11">
        <v>1</v>
      </c>
    </row>
    <row r="1337" spans="1:13">
      <c r="A1337" s="6">
        <v>43845</v>
      </c>
      <c r="B1337" s="7">
        <v>0.60972222222222217</v>
      </c>
      <c r="C1337" s="11" t="str">
        <f>"FES1162731344"</f>
        <v>FES1162731344</v>
      </c>
      <c r="D1337" s="11" t="s">
        <v>19</v>
      </c>
      <c r="E1337" s="11" t="s">
        <v>714</v>
      </c>
      <c r="F1337" s="11" t="str">
        <f>"2170723967 "</f>
        <v xml:space="preserve">2170723967 </v>
      </c>
      <c r="G1337" s="11" t="str">
        <f t="shared" si="40"/>
        <v>ON1</v>
      </c>
      <c r="H1337" s="11" t="s">
        <v>21</v>
      </c>
      <c r="I1337" s="11" t="s">
        <v>202</v>
      </c>
      <c r="J1337" s="11" t="str">
        <f>""</f>
        <v/>
      </c>
      <c r="K1337" s="11" t="str">
        <f>"PFES1162731344_0001"</f>
        <v>PFES1162731344_0001</v>
      </c>
      <c r="L1337" s="11">
        <v>1</v>
      </c>
      <c r="M1337" s="11">
        <v>3</v>
      </c>
    </row>
    <row r="1338" spans="1:13">
      <c r="A1338" s="6">
        <v>43845</v>
      </c>
      <c r="B1338" s="7">
        <v>0.60902777777777783</v>
      </c>
      <c r="C1338" s="11" t="str">
        <f>"FES1162731333"</f>
        <v>FES1162731333</v>
      </c>
      <c r="D1338" s="11" t="s">
        <v>19</v>
      </c>
      <c r="E1338" s="11" t="s">
        <v>240</v>
      </c>
      <c r="F1338" s="11" t="str">
        <f>"2170723957 "</f>
        <v xml:space="preserve">2170723957 </v>
      </c>
      <c r="G1338" s="11" t="str">
        <f t="shared" si="40"/>
        <v>ON1</v>
      </c>
      <c r="H1338" s="11" t="s">
        <v>21</v>
      </c>
      <c r="I1338" s="11" t="s">
        <v>241</v>
      </c>
      <c r="J1338" s="11" t="str">
        <f>""</f>
        <v/>
      </c>
      <c r="K1338" s="11" t="str">
        <f>"PFES1162731333_0001"</f>
        <v>PFES1162731333_0001</v>
      </c>
      <c r="L1338" s="11">
        <v>1</v>
      </c>
      <c r="M1338" s="11">
        <v>3</v>
      </c>
    </row>
    <row r="1339" spans="1:13">
      <c r="A1339" s="6">
        <v>43845</v>
      </c>
      <c r="B1339" s="7">
        <v>0.60902777777777783</v>
      </c>
      <c r="C1339" s="11" t="str">
        <f>"FES1162731339"</f>
        <v>FES1162731339</v>
      </c>
      <c r="D1339" s="11" t="s">
        <v>19</v>
      </c>
      <c r="E1339" s="11" t="s">
        <v>232</v>
      </c>
      <c r="F1339" s="11" t="str">
        <f>"2170721640 "</f>
        <v xml:space="preserve">2170721640 </v>
      </c>
      <c r="G1339" s="11" t="str">
        <f t="shared" si="40"/>
        <v>ON1</v>
      </c>
      <c r="H1339" s="11" t="s">
        <v>21</v>
      </c>
      <c r="I1339" s="11" t="s">
        <v>233</v>
      </c>
      <c r="J1339" s="11" t="str">
        <f>""</f>
        <v/>
      </c>
      <c r="K1339" s="11" t="str">
        <f>"PFES1162731339_0001"</f>
        <v>PFES1162731339_0001</v>
      </c>
      <c r="L1339" s="11">
        <v>1</v>
      </c>
      <c r="M1339" s="11">
        <v>5</v>
      </c>
    </row>
    <row r="1340" spans="1:13">
      <c r="A1340" s="6">
        <v>43845</v>
      </c>
      <c r="B1340" s="7">
        <v>0.60833333333333328</v>
      </c>
      <c r="C1340" s="11" t="str">
        <f>"FES1162731324"</f>
        <v>FES1162731324</v>
      </c>
      <c r="D1340" s="11" t="s">
        <v>19</v>
      </c>
      <c r="E1340" s="11" t="s">
        <v>258</v>
      </c>
      <c r="F1340" s="11" t="str">
        <f>"2170723887 "</f>
        <v xml:space="preserve">2170723887 </v>
      </c>
      <c r="G1340" s="11" t="str">
        <f t="shared" si="40"/>
        <v>ON1</v>
      </c>
      <c r="H1340" s="11" t="s">
        <v>21</v>
      </c>
      <c r="I1340" s="11" t="s">
        <v>45</v>
      </c>
      <c r="J1340" s="11" t="str">
        <f>""</f>
        <v/>
      </c>
      <c r="K1340" s="11" t="str">
        <f>"PFES1162731324_0001"</f>
        <v>PFES1162731324_0001</v>
      </c>
      <c r="L1340" s="11">
        <v>1</v>
      </c>
      <c r="M1340" s="11">
        <v>1</v>
      </c>
    </row>
    <row r="1341" spans="1:13">
      <c r="A1341" s="6">
        <v>43845</v>
      </c>
      <c r="B1341" s="7">
        <v>0.60833333333333328</v>
      </c>
      <c r="C1341" s="11" t="str">
        <f>"FES1162731332"</f>
        <v>FES1162731332</v>
      </c>
      <c r="D1341" s="11" t="s">
        <v>19</v>
      </c>
      <c r="E1341" s="11" t="s">
        <v>715</v>
      </c>
      <c r="F1341" s="11" t="str">
        <f>"2170723956 "</f>
        <v xml:space="preserve">2170723956 </v>
      </c>
      <c r="G1341" s="11" t="str">
        <f t="shared" si="40"/>
        <v>ON1</v>
      </c>
      <c r="H1341" s="11" t="s">
        <v>21</v>
      </c>
      <c r="I1341" s="11" t="s">
        <v>114</v>
      </c>
      <c r="J1341" s="11" t="str">
        <f>""</f>
        <v/>
      </c>
      <c r="K1341" s="11" t="str">
        <f>"PFES1162731332_0001"</f>
        <v>PFES1162731332_0001</v>
      </c>
      <c r="L1341" s="11">
        <v>1</v>
      </c>
      <c r="M1341" s="11">
        <v>1</v>
      </c>
    </row>
    <row r="1342" spans="1:13">
      <c r="A1342" s="6">
        <v>43845</v>
      </c>
      <c r="B1342" s="7">
        <v>0.60833333333333328</v>
      </c>
      <c r="C1342" s="11" t="str">
        <f>"FES1162731318"</f>
        <v>FES1162731318</v>
      </c>
      <c r="D1342" s="11" t="s">
        <v>19</v>
      </c>
      <c r="E1342" s="11" t="s">
        <v>343</v>
      </c>
      <c r="F1342" s="11" t="str">
        <f>"2170723951 "</f>
        <v xml:space="preserve">2170723951 </v>
      </c>
      <c r="G1342" s="11" t="str">
        <f t="shared" si="40"/>
        <v>ON1</v>
      </c>
      <c r="H1342" s="11" t="s">
        <v>21</v>
      </c>
      <c r="I1342" s="11" t="s">
        <v>344</v>
      </c>
      <c r="J1342" s="11" t="str">
        <f>""</f>
        <v/>
      </c>
      <c r="K1342" s="11" t="str">
        <f>"PFES1162731318_0001"</f>
        <v>PFES1162731318_0001</v>
      </c>
      <c r="L1342" s="11">
        <v>1</v>
      </c>
      <c r="M1342" s="11">
        <v>4</v>
      </c>
    </row>
    <row r="1343" spans="1:13">
      <c r="A1343" s="6">
        <v>43845</v>
      </c>
      <c r="B1343" s="7">
        <v>0.60763888888888895</v>
      </c>
      <c r="C1343" s="11" t="str">
        <f>"FES1162731323"</f>
        <v>FES1162731323</v>
      </c>
      <c r="D1343" s="11" t="s">
        <v>19</v>
      </c>
      <c r="E1343" s="11" t="s">
        <v>378</v>
      </c>
      <c r="F1343" s="11" t="str">
        <f>"2170723953 "</f>
        <v xml:space="preserve">2170723953 </v>
      </c>
      <c r="G1343" s="11" t="str">
        <f t="shared" si="40"/>
        <v>ON1</v>
      </c>
      <c r="H1343" s="11" t="s">
        <v>21</v>
      </c>
      <c r="I1343" s="11" t="s">
        <v>507</v>
      </c>
      <c r="J1343" s="11" t="str">
        <f>""</f>
        <v/>
      </c>
      <c r="K1343" s="11" t="str">
        <f>"PFES1162731323_0001"</f>
        <v>PFES1162731323_0001</v>
      </c>
      <c r="L1343" s="11">
        <v>1</v>
      </c>
      <c r="M1343" s="11">
        <v>1</v>
      </c>
    </row>
    <row r="1344" spans="1:13">
      <c r="A1344" s="6">
        <v>43845</v>
      </c>
      <c r="B1344" s="7">
        <v>0.60763888888888895</v>
      </c>
      <c r="C1344" s="11" t="str">
        <f>"FES1162731317"</f>
        <v>FES1162731317</v>
      </c>
      <c r="D1344" s="11" t="s">
        <v>19</v>
      </c>
      <c r="E1344" s="11" t="s">
        <v>240</v>
      </c>
      <c r="F1344" s="11" t="str">
        <f>"2170723949 "</f>
        <v xml:space="preserve">2170723949 </v>
      </c>
      <c r="G1344" s="11" t="str">
        <f t="shared" si="40"/>
        <v>ON1</v>
      </c>
      <c r="H1344" s="11" t="s">
        <v>21</v>
      </c>
      <c r="I1344" s="11" t="s">
        <v>241</v>
      </c>
      <c r="J1344" s="11" t="str">
        <f>""</f>
        <v/>
      </c>
      <c r="K1344" s="11" t="str">
        <f>"PFES1162731317_0001"</f>
        <v>PFES1162731317_0001</v>
      </c>
      <c r="L1344" s="11">
        <v>1</v>
      </c>
      <c r="M1344" s="11">
        <v>4</v>
      </c>
    </row>
    <row r="1345" spans="1:13">
      <c r="A1345" s="6">
        <v>43845</v>
      </c>
      <c r="B1345" s="7">
        <v>0.6069444444444444</v>
      </c>
      <c r="C1345" s="11" t="str">
        <f>"FES1162731230"</f>
        <v>FES1162731230</v>
      </c>
      <c r="D1345" s="11" t="s">
        <v>19</v>
      </c>
      <c r="E1345" s="11" t="s">
        <v>716</v>
      </c>
      <c r="F1345" s="11" t="str">
        <f>"2170723835 "</f>
        <v xml:space="preserve">2170723835 </v>
      </c>
      <c r="G1345" s="11" t="str">
        <f t="shared" ref="G1345:G1386" si="41">"ON1"</f>
        <v>ON1</v>
      </c>
      <c r="H1345" s="11" t="s">
        <v>21</v>
      </c>
      <c r="I1345" s="11" t="s">
        <v>368</v>
      </c>
      <c r="J1345" s="11" t="str">
        <f>""</f>
        <v/>
      </c>
      <c r="K1345" s="11" t="str">
        <f>"PFES1162731230_0001"</f>
        <v>PFES1162731230_0001</v>
      </c>
      <c r="L1345" s="11">
        <v>1</v>
      </c>
      <c r="M1345" s="11">
        <v>2</v>
      </c>
    </row>
    <row r="1346" spans="1:13">
      <c r="A1346" s="6">
        <v>43845</v>
      </c>
      <c r="B1346" s="7">
        <v>0.6069444444444444</v>
      </c>
      <c r="C1346" s="11" t="str">
        <f>"FES1162731308"</f>
        <v>FES1162731308</v>
      </c>
      <c r="D1346" s="11" t="s">
        <v>19</v>
      </c>
      <c r="E1346" s="11" t="s">
        <v>151</v>
      </c>
      <c r="F1346" s="11" t="str">
        <f>"2170723933 "</f>
        <v xml:space="preserve">2170723933 </v>
      </c>
      <c r="G1346" s="11" t="str">
        <f t="shared" si="41"/>
        <v>ON1</v>
      </c>
      <c r="H1346" s="11" t="s">
        <v>21</v>
      </c>
      <c r="I1346" s="11" t="s">
        <v>152</v>
      </c>
      <c r="J1346" s="11" t="str">
        <f>""</f>
        <v/>
      </c>
      <c r="K1346" s="11" t="str">
        <f>"PFES1162731308_0001"</f>
        <v>PFES1162731308_0001</v>
      </c>
      <c r="L1346" s="11">
        <v>1</v>
      </c>
      <c r="M1346" s="11">
        <v>1</v>
      </c>
    </row>
    <row r="1347" spans="1:13">
      <c r="A1347" s="6">
        <v>43845</v>
      </c>
      <c r="B1347" s="7">
        <v>0.60625000000000007</v>
      </c>
      <c r="C1347" s="11" t="str">
        <f>"FES1162731325"</f>
        <v>FES1162731325</v>
      </c>
      <c r="D1347" s="11" t="s">
        <v>19</v>
      </c>
      <c r="E1347" s="11" t="s">
        <v>717</v>
      </c>
      <c r="F1347" s="11" t="str">
        <f>"2170723888 "</f>
        <v xml:space="preserve">2170723888 </v>
      </c>
      <c r="G1347" s="11" t="str">
        <f t="shared" si="41"/>
        <v>ON1</v>
      </c>
      <c r="H1347" s="11" t="s">
        <v>21</v>
      </c>
      <c r="I1347" s="11" t="s">
        <v>718</v>
      </c>
      <c r="J1347" s="11" t="str">
        <f>""</f>
        <v/>
      </c>
      <c r="K1347" s="11" t="str">
        <f>"PFES1162731325_0001"</f>
        <v>PFES1162731325_0001</v>
      </c>
      <c r="L1347" s="11">
        <v>1</v>
      </c>
      <c r="M1347" s="11">
        <v>2</v>
      </c>
    </row>
    <row r="1348" spans="1:13">
      <c r="A1348" s="6">
        <v>43845</v>
      </c>
      <c r="B1348" s="7">
        <v>0.60625000000000007</v>
      </c>
      <c r="C1348" s="11" t="str">
        <f>"FES1162731305"</f>
        <v>FES1162731305</v>
      </c>
      <c r="D1348" s="11" t="s">
        <v>19</v>
      </c>
      <c r="E1348" s="11" t="s">
        <v>259</v>
      </c>
      <c r="F1348" s="11" t="str">
        <f>"2170723925 "</f>
        <v xml:space="preserve">2170723925 </v>
      </c>
      <c r="G1348" s="11" t="str">
        <f t="shared" si="41"/>
        <v>ON1</v>
      </c>
      <c r="H1348" s="11" t="s">
        <v>21</v>
      </c>
      <c r="I1348" s="11" t="s">
        <v>260</v>
      </c>
      <c r="J1348" s="11" t="str">
        <f>""</f>
        <v/>
      </c>
      <c r="K1348" s="11" t="str">
        <f>"PFES1162731305_0001"</f>
        <v>PFES1162731305_0001</v>
      </c>
      <c r="L1348" s="11">
        <v>1</v>
      </c>
      <c r="M1348" s="11">
        <v>1</v>
      </c>
    </row>
    <row r="1349" spans="1:13">
      <c r="A1349" s="6">
        <v>43845</v>
      </c>
      <c r="B1349" s="7">
        <v>0.60625000000000007</v>
      </c>
      <c r="C1349" s="11" t="str">
        <f>"FES1162731354"</f>
        <v>FES1162731354</v>
      </c>
      <c r="D1349" s="11" t="s">
        <v>19</v>
      </c>
      <c r="E1349" s="11" t="s">
        <v>142</v>
      </c>
      <c r="F1349" s="11" t="str">
        <f>"2170723978 "</f>
        <v xml:space="preserve">2170723978 </v>
      </c>
      <c r="G1349" s="11" t="str">
        <f t="shared" si="41"/>
        <v>ON1</v>
      </c>
      <c r="H1349" s="11" t="s">
        <v>21</v>
      </c>
      <c r="I1349" s="11" t="s">
        <v>123</v>
      </c>
      <c r="J1349" s="11" t="str">
        <f>""</f>
        <v/>
      </c>
      <c r="K1349" s="11" t="str">
        <f>"PFES1162731354_0001"</f>
        <v>PFES1162731354_0001</v>
      </c>
      <c r="L1349" s="11">
        <v>1</v>
      </c>
      <c r="M1349" s="11">
        <v>6</v>
      </c>
    </row>
    <row r="1350" spans="1:13">
      <c r="A1350" s="6">
        <v>43845</v>
      </c>
      <c r="B1350" s="7">
        <v>0.60555555555555551</v>
      </c>
      <c r="C1350" s="11" t="str">
        <f>"FES1162731348"</f>
        <v>FES1162731348</v>
      </c>
      <c r="D1350" s="11" t="s">
        <v>19</v>
      </c>
      <c r="E1350" s="11" t="s">
        <v>151</v>
      </c>
      <c r="F1350" s="11" t="str">
        <f>"2170723971 "</f>
        <v xml:space="preserve">2170723971 </v>
      </c>
      <c r="G1350" s="11" t="str">
        <f t="shared" si="41"/>
        <v>ON1</v>
      </c>
      <c r="H1350" s="11" t="s">
        <v>21</v>
      </c>
      <c r="I1350" s="11" t="s">
        <v>152</v>
      </c>
      <c r="J1350" s="11" t="str">
        <f>""</f>
        <v/>
      </c>
      <c r="K1350" s="11" t="str">
        <f>"PFES1162731348_0001"</f>
        <v>PFES1162731348_0001</v>
      </c>
      <c r="L1350" s="11">
        <v>1</v>
      </c>
      <c r="M1350" s="11">
        <v>3</v>
      </c>
    </row>
    <row r="1351" spans="1:13">
      <c r="A1351" s="6">
        <v>43845</v>
      </c>
      <c r="B1351" s="7">
        <v>0.60555555555555551</v>
      </c>
      <c r="C1351" s="11" t="str">
        <f>"FES1162731281"</f>
        <v>FES1162731281</v>
      </c>
      <c r="D1351" s="11" t="s">
        <v>19</v>
      </c>
      <c r="E1351" s="11" t="s">
        <v>54</v>
      </c>
      <c r="F1351" s="11" t="str">
        <f>"2170723907 "</f>
        <v xml:space="preserve">2170723907 </v>
      </c>
      <c r="G1351" s="11" t="str">
        <f t="shared" si="41"/>
        <v>ON1</v>
      </c>
      <c r="H1351" s="11" t="s">
        <v>21</v>
      </c>
      <c r="I1351" s="11" t="s">
        <v>31</v>
      </c>
      <c r="J1351" s="11" t="str">
        <f>""</f>
        <v/>
      </c>
      <c r="K1351" s="11" t="str">
        <f>"PFES1162731281_0001"</f>
        <v>PFES1162731281_0001</v>
      </c>
      <c r="L1351" s="11">
        <v>1</v>
      </c>
      <c r="M1351" s="11">
        <v>1</v>
      </c>
    </row>
    <row r="1352" spans="1:13">
      <c r="A1352" s="6">
        <v>43845</v>
      </c>
      <c r="B1352" s="7">
        <v>0.60416666666666663</v>
      </c>
      <c r="C1352" s="11" t="str">
        <f>"FES1162731259"</f>
        <v>FES1162731259</v>
      </c>
      <c r="D1352" s="11" t="s">
        <v>19</v>
      </c>
      <c r="E1352" s="11" t="s">
        <v>285</v>
      </c>
      <c r="F1352" s="11" t="str">
        <f>"2170723874 "</f>
        <v xml:space="preserve">2170723874 </v>
      </c>
      <c r="G1352" s="11" t="str">
        <f t="shared" si="41"/>
        <v>ON1</v>
      </c>
      <c r="H1352" s="11" t="s">
        <v>21</v>
      </c>
      <c r="I1352" s="11" t="s">
        <v>165</v>
      </c>
      <c r="J1352" s="11" t="str">
        <f>""</f>
        <v/>
      </c>
      <c r="K1352" s="11" t="str">
        <f>"PFES1162731259_0001"</f>
        <v>PFES1162731259_0001</v>
      </c>
      <c r="L1352" s="11">
        <v>1</v>
      </c>
      <c r="M1352" s="11">
        <v>1</v>
      </c>
    </row>
    <row r="1353" spans="1:13">
      <c r="A1353" s="6">
        <v>43845</v>
      </c>
      <c r="B1353" s="7">
        <v>0.60347222222222219</v>
      </c>
      <c r="C1353" s="11" t="str">
        <f>"FES1162731306"</f>
        <v>FES1162731306</v>
      </c>
      <c r="D1353" s="11" t="s">
        <v>19</v>
      </c>
      <c r="E1353" s="11" t="s">
        <v>719</v>
      </c>
      <c r="F1353" s="11" t="str">
        <f>"2170723766 "</f>
        <v xml:space="preserve">2170723766 </v>
      </c>
      <c r="G1353" s="11" t="str">
        <f t="shared" si="41"/>
        <v>ON1</v>
      </c>
      <c r="H1353" s="11" t="s">
        <v>21</v>
      </c>
      <c r="I1353" s="11" t="s">
        <v>720</v>
      </c>
      <c r="J1353" s="11" t="str">
        <f>""</f>
        <v/>
      </c>
      <c r="K1353" s="11" t="str">
        <f>"PFES1162731306_0001"</f>
        <v>PFES1162731306_0001</v>
      </c>
      <c r="L1353" s="11">
        <v>1</v>
      </c>
      <c r="M1353" s="11">
        <v>1</v>
      </c>
    </row>
    <row r="1354" spans="1:13">
      <c r="A1354" s="6">
        <v>43845</v>
      </c>
      <c r="B1354" s="7">
        <v>0.56527777777777777</v>
      </c>
      <c r="C1354" s="11" t="str">
        <f>"FES1162731331"</f>
        <v>FES1162731331</v>
      </c>
      <c r="D1354" s="11" t="s">
        <v>19</v>
      </c>
      <c r="E1354" s="11" t="s">
        <v>279</v>
      </c>
      <c r="F1354" s="11" t="str">
        <f>"2170723954 "</f>
        <v xml:space="preserve">2170723954 </v>
      </c>
      <c r="G1354" s="11" t="str">
        <f t="shared" si="41"/>
        <v>ON1</v>
      </c>
      <c r="H1354" s="11" t="s">
        <v>21</v>
      </c>
      <c r="I1354" s="11" t="s">
        <v>69</v>
      </c>
      <c r="J1354" s="11" t="str">
        <f>""</f>
        <v/>
      </c>
      <c r="K1354" s="11" t="str">
        <f>"PFES1162731331_0001"</f>
        <v>PFES1162731331_0001</v>
      </c>
      <c r="L1354" s="11">
        <v>1</v>
      </c>
      <c r="M1354" s="11">
        <v>1</v>
      </c>
    </row>
    <row r="1355" spans="1:13">
      <c r="A1355" s="6">
        <v>43845</v>
      </c>
      <c r="B1355" s="7">
        <v>0.56458333333333333</v>
      </c>
      <c r="C1355" s="11" t="str">
        <f>"FES1162731327"</f>
        <v>FES1162731327</v>
      </c>
      <c r="D1355" s="11" t="s">
        <v>19</v>
      </c>
      <c r="E1355" s="11" t="s">
        <v>278</v>
      </c>
      <c r="F1355" s="11" t="str">
        <f>"2170723898 "</f>
        <v xml:space="preserve">2170723898 </v>
      </c>
      <c r="G1355" s="11" t="str">
        <f t="shared" si="41"/>
        <v>ON1</v>
      </c>
      <c r="H1355" s="11" t="s">
        <v>21</v>
      </c>
      <c r="I1355" s="11" t="s">
        <v>38</v>
      </c>
      <c r="J1355" s="11" t="str">
        <f>""</f>
        <v/>
      </c>
      <c r="K1355" s="11" t="str">
        <f>"PFES1162731327_0001"</f>
        <v>PFES1162731327_0001</v>
      </c>
      <c r="L1355" s="11">
        <v>1</v>
      </c>
      <c r="M1355" s="11">
        <v>1</v>
      </c>
    </row>
    <row r="1356" spans="1:13">
      <c r="A1356" s="6">
        <v>43845</v>
      </c>
      <c r="B1356" s="7">
        <v>0.56388888888888888</v>
      </c>
      <c r="C1356" s="11" t="str">
        <f>"FES1162731326"</f>
        <v>FES1162731326</v>
      </c>
      <c r="D1356" s="11" t="s">
        <v>19</v>
      </c>
      <c r="E1356" s="11" t="s">
        <v>278</v>
      </c>
      <c r="F1356" s="11" t="str">
        <f>"2170723896 "</f>
        <v xml:space="preserve">2170723896 </v>
      </c>
      <c r="G1356" s="11" t="str">
        <f t="shared" si="41"/>
        <v>ON1</v>
      </c>
      <c r="H1356" s="11" t="s">
        <v>21</v>
      </c>
      <c r="I1356" s="11" t="s">
        <v>38</v>
      </c>
      <c r="J1356" s="11" t="str">
        <f>""</f>
        <v/>
      </c>
      <c r="K1356" s="11" t="str">
        <f>"PFES1162731326_0001"</f>
        <v>PFES1162731326_0001</v>
      </c>
      <c r="L1356" s="11">
        <v>1</v>
      </c>
      <c r="M1356" s="11">
        <v>1</v>
      </c>
    </row>
    <row r="1357" spans="1:13">
      <c r="A1357" s="6">
        <v>43845</v>
      </c>
      <c r="B1357" s="7">
        <v>0.56319444444444444</v>
      </c>
      <c r="C1357" s="11" t="str">
        <f>"FES1162731328"</f>
        <v>FES1162731328</v>
      </c>
      <c r="D1357" s="11" t="s">
        <v>19</v>
      </c>
      <c r="E1357" s="11" t="s">
        <v>278</v>
      </c>
      <c r="F1357" s="11" t="str">
        <f>"2170723899 "</f>
        <v xml:space="preserve">2170723899 </v>
      </c>
      <c r="G1357" s="11" t="str">
        <f t="shared" si="41"/>
        <v>ON1</v>
      </c>
      <c r="H1357" s="11" t="s">
        <v>21</v>
      </c>
      <c r="I1357" s="11" t="s">
        <v>38</v>
      </c>
      <c r="J1357" s="11" t="str">
        <f>""</f>
        <v/>
      </c>
      <c r="K1357" s="11" t="str">
        <f>"PFES1162731328_0001"</f>
        <v>PFES1162731328_0001</v>
      </c>
      <c r="L1357" s="11">
        <v>1</v>
      </c>
      <c r="M1357" s="11">
        <v>1</v>
      </c>
    </row>
    <row r="1358" spans="1:13">
      <c r="A1358" s="6">
        <v>43845</v>
      </c>
      <c r="B1358" s="7">
        <v>0.5625</v>
      </c>
      <c r="C1358" s="11" t="str">
        <f>"FES1162731269"</f>
        <v>FES1162731269</v>
      </c>
      <c r="D1358" s="11" t="s">
        <v>19</v>
      </c>
      <c r="E1358" s="11" t="s">
        <v>229</v>
      </c>
      <c r="F1358" s="11" t="str">
        <f>"2170723889 "</f>
        <v xml:space="preserve">2170723889 </v>
      </c>
      <c r="G1358" s="11" t="str">
        <f t="shared" si="41"/>
        <v>ON1</v>
      </c>
      <c r="H1358" s="11" t="s">
        <v>21</v>
      </c>
      <c r="I1358" s="11" t="s">
        <v>230</v>
      </c>
      <c r="J1358" s="11" t="str">
        <f>""</f>
        <v/>
      </c>
      <c r="K1358" s="11" t="str">
        <f>"PFES1162731269_0001"</f>
        <v>PFES1162731269_0001</v>
      </c>
      <c r="L1358" s="11">
        <v>1</v>
      </c>
      <c r="M1358" s="11">
        <v>1</v>
      </c>
    </row>
    <row r="1359" spans="1:13">
      <c r="A1359" s="6">
        <v>43845</v>
      </c>
      <c r="B1359" s="7">
        <v>0.56180555555555556</v>
      </c>
      <c r="C1359" s="11" t="str">
        <f>"FES1162731285"</f>
        <v>FES1162731285</v>
      </c>
      <c r="D1359" s="11" t="s">
        <v>19</v>
      </c>
      <c r="E1359" s="11" t="s">
        <v>55</v>
      </c>
      <c r="F1359" s="11" t="str">
        <f>"2170723909 "</f>
        <v xml:space="preserve">2170723909 </v>
      </c>
      <c r="G1359" s="11" t="str">
        <f t="shared" si="41"/>
        <v>ON1</v>
      </c>
      <c r="H1359" s="11" t="s">
        <v>21</v>
      </c>
      <c r="I1359" s="11" t="s">
        <v>56</v>
      </c>
      <c r="J1359" s="11" t="str">
        <f>""</f>
        <v/>
      </c>
      <c r="K1359" s="11" t="str">
        <f>"PFES1162731285_0001"</f>
        <v>PFES1162731285_0001</v>
      </c>
      <c r="L1359" s="11">
        <v>1</v>
      </c>
      <c r="M1359" s="11">
        <v>1</v>
      </c>
    </row>
    <row r="1360" spans="1:13">
      <c r="A1360" s="6">
        <v>43845</v>
      </c>
      <c r="B1360" s="7">
        <v>0.54513888888888895</v>
      </c>
      <c r="C1360" s="11" t="str">
        <f>"FES1162731293"</f>
        <v>FES1162731293</v>
      </c>
      <c r="D1360" s="11" t="s">
        <v>19</v>
      </c>
      <c r="E1360" s="11" t="s">
        <v>259</v>
      </c>
      <c r="F1360" s="11" t="str">
        <f>"217073916 "</f>
        <v xml:space="preserve">217073916 </v>
      </c>
      <c r="G1360" s="11" t="str">
        <f t="shared" si="41"/>
        <v>ON1</v>
      </c>
      <c r="H1360" s="11" t="s">
        <v>21</v>
      </c>
      <c r="I1360" s="11" t="s">
        <v>260</v>
      </c>
      <c r="J1360" s="11" t="str">
        <f>""</f>
        <v/>
      </c>
      <c r="K1360" s="11" t="str">
        <f>"PFES1162731293_0001"</f>
        <v>PFES1162731293_0001</v>
      </c>
      <c r="L1360" s="11">
        <v>1</v>
      </c>
      <c r="M1360" s="11">
        <v>2</v>
      </c>
    </row>
    <row r="1361" spans="1:13">
      <c r="A1361" s="6">
        <v>43845</v>
      </c>
      <c r="B1361" s="7">
        <v>0.54513888888888895</v>
      </c>
      <c r="C1361" s="11" t="str">
        <f>"FES1162731282"</f>
        <v>FES1162731282</v>
      </c>
      <c r="D1361" s="11" t="s">
        <v>19</v>
      </c>
      <c r="E1361" s="11" t="s">
        <v>588</v>
      </c>
      <c r="F1361" s="11" t="str">
        <f>"2170723908 "</f>
        <v xml:space="preserve">2170723908 </v>
      </c>
      <c r="G1361" s="11" t="str">
        <f t="shared" si="41"/>
        <v>ON1</v>
      </c>
      <c r="H1361" s="11" t="s">
        <v>21</v>
      </c>
      <c r="I1361" s="11" t="s">
        <v>408</v>
      </c>
      <c r="J1361" s="11" t="str">
        <f>""</f>
        <v/>
      </c>
      <c r="K1361" s="11" t="str">
        <f>"PFES1162731282_0001"</f>
        <v>PFES1162731282_0001</v>
      </c>
      <c r="L1361" s="11">
        <v>1</v>
      </c>
      <c r="M1361" s="11">
        <v>1</v>
      </c>
    </row>
    <row r="1362" spans="1:13">
      <c r="A1362" s="6">
        <v>43845</v>
      </c>
      <c r="B1362" s="7">
        <v>0.5444444444444444</v>
      </c>
      <c r="C1362" s="11" t="str">
        <f>"FES1162731288"</f>
        <v>FES1162731288</v>
      </c>
      <c r="D1362" s="11" t="s">
        <v>19</v>
      </c>
      <c r="E1362" s="11" t="s">
        <v>721</v>
      </c>
      <c r="F1362" s="11" t="str">
        <f>"2170723913 "</f>
        <v xml:space="preserve">2170723913 </v>
      </c>
      <c r="G1362" s="11" t="str">
        <f t="shared" si="41"/>
        <v>ON1</v>
      </c>
      <c r="H1362" s="11" t="s">
        <v>21</v>
      </c>
      <c r="I1362" s="11" t="s">
        <v>288</v>
      </c>
      <c r="J1362" s="11" t="str">
        <f>""</f>
        <v/>
      </c>
      <c r="K1362" s="11" t="str">
        <f>"PFES1162731288_0001"</f>
        <v>PFES1162731288_0001</v>
      </c>
      <c r="L1362" s="11">
        <v>1</v>
      </c>
      <c r="M1362" s="11">
        <v>2</v>
      </c>
    </row>
    <row r="1363" spans="1:13">
      <c r="A1363" s="6">
        <v>43845</v>
      </c>
      <c r="B1363" s="7">
        <v>0.5444444444444444</v>
      </c>
      <c r="C1363" s="11" t="str">
        <f>"FES1162731283"</f>
        <v>FES1162731283</v>
      </c>
      <c r="D1363" s="11" t="s">
        <v>19</v>
      </c>
      <c r="E1363" s="11" t="s">
        <v>192</v>
      </c>
      <c r="F1363" s="11" t="str">
        <f>"2170715547 "</f>
        <v xml:space="preserve">2170715547 </v>
      </c>
      <c r="G1363" s="11" t="str">
        <f t="shared" si="41"/>
        <v>ON1</v>
      </c>
      <c r="H1363" s="11" t="s">
        <v>21</v>
      </c>
      <c r="I1363" s="11" t="s">
        <v>193</v>
      </c>
      <c r="J1363" s="11" t="str">
        <f>""</f>
        <v/>
      </c>
      <c r="K1363" s="11" t="str">
        <f>"PFES1162731283_0001"</f>
        <v>PFES1162731283_0001</v>
      </c>
      <c r="L1363" s="11">
        <v>1</v>
      </c>
      <c r="M1363" s="11">
        <v>10</v>
      </c>
    </row>
    <row r="1364" spans="1:13">
      <c r="A1364" s="6">
        <v>43845</v>
      </c>
      <c r="B1364" s="7">
        <v>0.5444444444444444</v>
      </c>
      <c r="C1364" s="11" t="str">
        <f>"FES1162731204"</f>
        <v>FES1162731204</v>
      </c>
      <c r="D1364" s="11" t="s">
        <v>19</v>
      </c>
      <c r="E1364" s="11" t="s">
        <v>470</v>
      </c>
      <c r="F1364" s="11" t="str">
        <f>"2170720772 "</f>
        <v xml:space="preserve">2170720772 </v>
      </c>
      <c r="G1364" s="11" t="str">
        <f t="shared" si="41"/>
        <v>ON1</v>
      </c>
      <c r="H1364" s="11" t="s">
        <v>21</v>
      </c>
      <c r="I1364" s="11" t="s">
        <v>471</v>
      </c>
      <c r="J1364" s="11" t="str">
        <f>""</f>
        <v/>
      </c>
      <c r="K1364" s="11" t="str">
        <f>"PFES1162731204_0001"</f>
        <v>PFES1162731204_0001</v>
      </c>
      <c r="L1364" s="11">
        <v>1</v>
      </c>
      <c r="M1364" s="11">
        <v>14</v>
      </c>
    </row>
    <row r="1365" spans="1:13">
      <c r="A1365" s="6">
        <v>43845</v>
      </c>
      <c r="B1365" s="7">
        <v>0.54375000000000007</v>
      </c>
      <c r="C1365" s="11" t="str">
        <f>"FES1162731329"</f>
        <v>FES1162731329</v>
      </c>
      <c r="D1365" s="11" t="s">
        <v>19</v>
      </c>
      <c r="E1365" s="11" t="s">
        <v>611</v>
      </c>
      <c r="F1365" s="11" t="str">
        <f>"2170723929 "</f>
        <v xml:space="preserve">2170723929 </v>
      </c>
      <c r="G1365" s="11" t="str">
        <f t="shared" si="41"/>
        <v>ON1</v>
      </c>
      <c r="H1365" s="11" t="s">
        <v>21</v>
      </c>
      <c r="I1365" s="11" t="s">
        <v>36</v>
      </c>
      <c r="J1365" s="11" t="str">
        <f>""</f>
        <v/>
      </c>
      <c r="K1365" s="11" t="str">
        <f>"PFES1162731329_0001"</f>
        <v>PFES1162731329_0001</v>
      </c>
      <c r="L1365" s="11">
        <v>1</v>
      </c>
      <c r="M1365" s="11">
        <v>2</v>
      </c>
    </row>
    <row r="1366" spans="1:13">
      <c r="A1366" s="6">
        <v>43845</v>
      </c>
      <c r="B1366" s="7">
        <v>0.54236111111111118</v>
      </c>
      <c r="C1366" s="11" t="str">
        <f>"FES1162731235"</f>
        <v>FES1162731235</v>
      </c>
      <c r="D1366" s="11" t="s">
        <v>19</v>
      </c>
      <c r="E1366" s="11" t="s">
        <v>322</v>
      </c>
      <c r="F1366" s="11" t="str">
        <f>"2170722256 "</f>
        <v xml:space="preserve">2170722256 </v>
      </c>
      <c r="G1366" s="11" t="str">
        <f t="shared" si="41"/>
        <v>ON1</v>
      </c>
      <c r="H1366" s="11" t="s">
        <v>21</v>
      </c>
      <c r="I1366" s="11" t="s">
        <v>323</v>
      </c>
      <c r="J1366" s="11" t="str">
        <f>""</f>
        <v/>
      </c>
      <c r="K1366" s="11" t="str">
        <f>"PFES1162731235_0001"</f>
        <v>PFES1162731235_0001</v>
      </c>
      <c r="L1366" s="11">
        <v>1</v>
      </c>
      <c r="M1366" s="11">
        <v>2</v>
      </c>
    </row>
    <row r="1367" spans="1:13">
      <c r="A1367" s="6">
        <v>43845</v>
      </c>
      <c r="B1367" s="7">
        <v>0.54236111111111118</v>
      </c>
      <c r="C1367" s="11" t="str">
        <f>"FES1162731247"</f>
        <v>FES1162731247</v>
      </c>
      <c r="D1367" s="11" t="s">
        <v>19</v>
      </c>
      <c r="E1367" s="11" t="s">
        <v>722</v>
      </c>
      <c r="F1367" s="11" t="str">
        <f>"2170723864 "</f>
        <v xml:space="preserve">2170723864 </v>
      </c>
      <c r="G1367" s="11" t="str">
        <f t="shared" si="41"/>
        <v>ON1</v>
      </c>
      <c r="H1367" s="11" t="s">
        <v>21</v>
      </c>
      <c r="I1367" s="11" t="s">
        <v>22</v>
      </c>
      <c r="J1367" s="11" t="str">
        <f>""</f>
        <v/>
      </c>
      <c r="K1367" s="11" t="str">
        <f>"PFES1162731247_0001"</f>
        <v>PFES1162731247_0001</v>
      </c>
      <c r="L1367" s="11">
        <v>1</v>
      </c>
      <c r="M1367" s="11">
        <v>2</v>
      </c>
    </row>
    <row r="1368" spans="1:13">
      <c r="A1368" s="6">
        <v>43845</v>
      </c>
      <c r="B1368" s="7">
        <v>0.54166666666666663</v>
      </c>
      <c r="C1368" s="11" t="str">
        <f>"FES1162731244"</f>
        <v>FES1162731244</v>
      </c>
      <c r="D1368" s="11" t="s">
        <v>19</v>
      </c>
      <c r="E1368" s="11" t="s">
        <v>711</v>
      </c>
      <c r="F1368" s="11" t="str">
        <f>"2170723862 "</f>
        <v xml:space="preserve">2170723862 </v>
      </c>
      <c r="G1368" s="11" t="str">
        <f t="shared" si="41"/>
        <v>ON1</v>
      </c>
      <c r="H1368" s="11" t="s">
        <v>21</v>
      </c>
      <c r="I1368" s="11" t="s">
        <v>28</v>
      </c>
      <c r="J1368" s="11" t="str">
        <f>""</f>
        <v/>
      </c>
      <c r="K1368" s="11" t="str">
        <f>"PFES1162731244_0001"</f>
        <v>PFES1162731244_0001</v>
      </c>
      <c r="L1368" s="11">
        <v>1</v>
      </c>
      <c r="M1368" s="11">
        <v>9</v>
      </c>
    </row>
    <row r="1369" spans="1:13">
      <c r="A1369" s="6">
        <v>43845</v>
      </c>
      <c r="B1369" s="7">
        <v>0.54166666666666663</v>
      </c>
      <c r="C1369" s="11" t="str">
        <f>"FES1162731203"</f>
        <v>FES1162731203</v>
      </c>
      <c r="D1369" s="11" t="s">
        <v>19</v>
      </c>
      <c r="E1369" s="11" t="s">
        <v>30</v>
      </c>
      <c r="F1369" s="11" t="str">
        <f>"2170719940 "</f>
        <v xml:space="preserve">2170719940 </v>
      </c>
      <c r="G1369" s="11" t="str">
        <f t="shared" si="41"/>
        <v>ON1</v>
      </c>
      <c r="H1369" s="11" t="s">
        <v>21</v>
      </c>
      <c r="I1369" s="11" t="s">
        <v>31</v>
      </c>
      <c r="J1369" s="11" t="str">
        <f>""</f>
        <v/>
      </c>
      <c r="K1369" s="11" t="str">
        <f>"PFES1162731203_0001"</f>
        <v>PFES1162731203_0001</v>
      </c>
      <c r="L1369" s="11">
        <v>1</v>
      </c>
      <c r="M1369" s="11">
        <v>13</v>
      </c>
    </row>
    <row r="1370" spans="1:13">
      <c r="A1370" s="6">
        <v>43845</v>
      </c>
      <c r="B1370" s="7">
        <v>0.54097222222222219</v>
      </c>
      <c r="C1370" s="11" t="str">
        <f>"FES1162731234"</f>
        <v>FES1162731234</v>
      </c>
      <c r="D1370" s="11" t="s">
        <v>19</v>
      </c>
      <c r="E1370" s="11" t="s">
        <v>322</v>
      </c>
      <c r="F1370" s="11" t="str">
        <f>"21707222213 "</f>
        <v xml:space="preserve">21707222213 </v>
      </c>
      <c r="G1370" s="11" t="str">
        <f t="shared" si="41"/>
        <v>ON1</v>
      </c>
      <c r="H1370" s="11" t="s">
        <v>21</v>
      </c>
      <c r="I1370" s="11" t="s">
        <v>323</v>
      </c>
      <c r="J1370" s="11" t="str">
        <f>""</f>
        <v/>
      </c>
      <c r="K1370" s="11" t="str">
        <f>"PFES1162731234_0001"</f>
        <v>PFES1162731234_0001</v>
      </c>
      <c r="L1370" s="11">
        <v>1</v>
      </c>
      <c r="M1370" s="11">
        <v>3</v>
      </c>
    </row>
    <row r="1371" spans="1:13">
      <c r="A1371" s="6">
        <v>43845</v>
      </c>
      <c r="B1371" s="7">
        <v>0.54027777777777775</v>
      </c>
      <c r="C1371" s="11" t="str">
        <f>"FES1162731236"</f>
        <v>FES1162731236</v>
      </c>
      <c r="D1371" s="11" t="s">
        <v>19</v>
      </c>
      <c r="E1371" s="11" t="s">
        <v>662</v>
      </c>
      <c r="F1371" s="11" t="str">
        <f>"21707222209 "</f>
        <v xml:space="preserve">21707222209 </v>
      </c>
      <c r="G1371" s="11" t="str">
        <f t="shared" si="41"/>
        <v>ON1</v>
      </c>
      <c r="H1371" s="11" t="s">
        <v>21</v>
      </c>
      <c r="I1371" s="11" t="s">
        <v>663</v>
      </c>
      <c r="J1371" s="11" t="str">
        <f>""</f>
        <v/>
      </c>
      <c r="K1371" s="11" t="str">
        <f>"PFES1162731236_0001"</f>
        <v>PFES1162731236_0001</v>
      </c>
      <c r="L1371" s="11">
        <v>1</v>
      </c>
      <c r="M1371" s="11">
        <v>2</v>
      </c>
    </row>
    <row r="1372" spans="1:13">
      <c r="A1372" s="6">
        <v>43845</v>
      </c>
      <c r="B1372" s="7">
        <v>0.54027777777777775</v>
      </c>
      <c r="C1372" s="11" t="str">
        <f>"FES1162731237"</f>
        <v>FES1162731237</v>
      </c>
      <c r="D1372" s="11" t="s">
        <v>19</v>
      </c>
      <c r="E1372" s="11" t="s">
        <v>662</v>
      </c>
      <c r="F1372" s="11" t="str">
        <f>"21707222257 "</f>
        <v xml:space="preserve">21707222257 </v>
      </c>
      <c r="G1372" s="11" t="str">
        <f t="shared" si="41"/>
        <v>ON1</v>
      </c>
      <c r="H1372" s="11" t="s">
        <v>21</v>
      </c>
      <c r="I1372" s="11" t="s">
        <v>663</v>
      </c>
      <c r="J1372" s="11" t="str">
        <f>""</f>
        <v/>
      </c>
      <c r="K1372" s="11" t="str">
        <f>"PFES1162731237_0001"</f>
        <v>PFES1162731237_0001</v>
      </c>
      <c r="L1372" s="11">
        <v>1</v>
      </c>
      <c r="M1372" s="11">
        <v>2</v>
      </c>
    </row>
    <row r="1373" spans="1:13">
      <c r="A1373" s="6">
        <v>43845</v>
      </c>
      <c r="B1373" s="7">
        <v>0.5395833333333333</v>
      </c>
      <c r="C1373" s="11" t="str">
        <f>"FES1162731265"</f>
        <v>FES1162731265</v>
      </c>
      <c r="D1373" s="11" t="s">
        <v>19</v>
      </c>
      <c r="E1373" s="11" t="s">
        <v>343</v>
      </c>
      <c r="F1373" s="11" t="str">
        <f>"2170723882 "</f>
        <v xml:space="preserve">2170723882 </v>
      </c>
      <c r="G1373" s="11" t="str">
        <f t="shared" si="41"/>
        <v>ON1</v>
      </c>
      <c r="H1373" s="11" t="s">
        <v>21</v>
      </c>
      <c r="I1373" s="11" t="s">
        <v>344</v>
      </c>
      <c r="J1373" s="11" t="str">
        <f>""</f>
        <v/>
      </c>
      <c r="K1373" s="11" t="str">
        <f>"PFES1162731265_0001"</f>
        <v>PFES1162731265_0001</v>
      </c>
      <c r="L1373" s="11">
        <v>1</v>
      </c>
      <c r="M1373" s="11">
        <v>1</v>
      </c>
    </row>
    <row r="1374" spans="1:13">
      <c r="A1374" s="6">
        <v>43845</v>
      </c>
      <c r="B1374" s="7">
        <v>0.53888888888888886</v>
      </c>
      <c r="C1374" s="11" t="str">
        <f>"FES1162731225"</f>
        <v>FES1162731225</v>
      </c>
      <c r="D1374" s="11" t="s">
        <v>19</v>
      </c>
      <c r="E1374" s="11" t="s">
        <v>478</v>
      </c>
      <c r="F1374" s="11" t="str">
        <f>"2170723829 "</f>
        <v xml:space="preserve">2170723829 </v>
      </c>
      <c r="G1374" s="11" t="str">
        <f t="shared" si="41"/>
        <v>ON1</v>
      </c>
      <c r="H1374" s="11" t="s">
        <v>21</v>
      </c>
      <c r="I1374" s="11" t="s">
        <v>277</v>
      </c>
      <c r="J1374" s="11" t="str">
        <f>""</f>
        <v/>
      </c>
      <c r="K1374" s="11" t="str">
        <f>"PFES1162731225_0001"</f>
        <v>PFES1162731225_0001</v>
      </c>
      <c r="L1374" s="11">
        <v>1</v>
      </c>
      <c r="M1374" s="11">
        <v>2</v>
      </c>
    </row>
    <row r="1375" spans="1:13">
      <c r="A1375" s="6">
        <v>43845</v>
      </c>
      <c r="B1375" s="7">
        <v>0.53819444444444442</v>
      </c>
      <c r="C1375" s="11" t="str">
        <f>"FES1162731226"</f>
        <v>FES1162731226</v>
      </c>
      <c r="D1375" s="11" t="s">
        <v>19</v>
      </c>
      <c r="E1375" s="11" t="s">
        <v>478</v>
      </c>
      <c r="F1375" s="11" t="str">
        <f>"2170723831 "</f>
        <v xml:space="preserve">2170723831 </v>
      </c>
      <c r="G1375" s="11" t="str">
        <f t="shared" si="41"/>
        <v>ON1</v>
      </c>
      <c r="H1375" s="11" t="s">
        <v>21</v>
      </c>
      <c r="I1375" s="11" t="s">
        <v>277</v>
      </c>
      <c r="J1375" s="11" t="str">
        <f>""</f>
        <v/>
      </c>
      <c r="K1375" s="11" t="str">
        <f>"PFES1162731226_0001"</f>
        <v>PFES1162731226_0001</v>
      </c>
      <c r="L1375" s="11">
        <v>1</v>
      </c>
      <c r="M1375" s="11">
        <v>8</v>
      </c>
    </row>
    <row r="1376" spans="1:13">
      <c r="A1376" s="6">
        <v>43845</v>
      </c>
      <c r="B1376" s="7">
        <v>0.53819444444444442</v>
      </c>
      <c r="C1376" s="11" t="str">
        <f>"FES1162731200"</f>
        <v>FES1162731200</v>
      </c>
      <c r="D1376" s="11" t="s">
        <v>19</v>
      </c>
      <c r="E1376" s="11" t="s">
        <v>723</v>
      </c>
      <c r="F1376" s="11" t="str">
        <f>"2170723812 "</f>
        <v xml:space="preserve">2170723812 </v>
      </c>
      <c r="G1376" s="11" t="str">
        <f t="shared" si="41"/>
        <v>ON1</v>
      </c>
      <c r="H1376" s="11" t="s">
        <v>21</v>
      </c>
      <c r="I1376" s="11" t="s">
        <v>724</v>
      </c>
      <c r="J1376" s="11" t="str">
        <f>""</f>
        <v/>
      </c>
      <c r="K1376" s="11" t="str">
        <f>"PFES1162731200_0001"</f>
        <v>PFES1162731200_0001</v>
      </c>
      <c r="L1376" s="11">
        <v>1</v>
      </c>
      <c r="M1376" s="11">
        <v>1</v>
      </c>
    </row>
    <row r="1377" spans="1:13">
      <c r="A1377" s="6">
        <v>43845</v>
      </c>
      <c r="B1377" s="7">
        <v>0.53819444444444442</v>
      </c>
      <c r="C1377" s="11" t="str">
        <f>"FES1162731224"</f>
        <v>FES1162731224</v>
      </c>
      <c r="D1377" s="11" t="s">
        <v>19</v>
      </c>
      <c r="E1377" s="11" t="s">
        <v>64</v>
      </c>
      <c r="F1377" s="11" t="str">
        <f>"2170720599 "</f>
        <v xml:space="preserve">2170720599 </v>
      </c>
      <c r="G1377" s="11" t="str">
        <f t="shared" si="41"/>
        <v>ON1</v>
      </c>
      <c r="H1377" s="11" t="s">
        <v>21</v>
      </c>
      <c r="I1377" s="11" t="s">
        <v>60</v>
      </c>
      <c r="J1377" s="11" t="str">
        <f>""</f>
        <v/>
      </c>
      <c r="K1377" s="11" t="str">
        <f>"PFES1162731224_0001"</f>
        <v>PFES1162731224_0001</v>
      </c>
      <c r="L1377" s="11">
        <v>1</v>
      </c>
      <c r="M1377" s="11">
        <v>9</v>
      </c>
    </row>
    <row r="1378" spans="1:13">
      <c r="A1378" s="6">
        <v>43845</v>
      </c>
      <c r="B1378" s="7">
        <v>0.53819444444444442</v>
      </c>
      <c r="C1378" s="11" t="str">
        <f>"FES1162731243"</f>
        <v>FES1162731243</v>
      </c>
      <c r="D1378" s="11" t="s">
        <v>19</v>
      </c>
      <c r="E1378" s="11" t="s">
        <v>67</v>
      </c>
      <c r="F1378" s="11" t="str">
        <f>"2170723858 "</f>
        <v xml:space="preserve">2170723858 </v>
      </c>
      <c r="G1378" s="11" t="str">
        <f t="shared" si="41"/>
        <v>ON1</v>
      </c>
      <c r="H1378" s="11" t="s">
        <v>21</v>
      </c>
      <c r="I1378" s="11" t="s">
        <v>253</v>
      </c>
      <c r="J1378" s="11" t="str">
        <f>""</f>
        <v/>
      </c>
      <c r="K1378" s="11" t="str">
        <f>"PFES1162731243_0001"</f>
        <v>PFES1162731243_0001</v>
      </c>
      <c r="L1378" s="11">
        <v>1</v>
      </c>
      <c r="M1378" s="11">
        <v>2</v>
      </c>
    </row>
    <row r="1379" spans="1:13">
      <c r="A1379" s="6">
        <v>43845</v>
      </c>
      <c r="B1379" s="7">
        <v>0.53749999999999998</v>
      </c>
      <c r="C1379" s="11" t="str">
        <f>"FES1162731178"</f>
        <v>FES1162731178</v>
      </c>
      <c r="D1379" s="11" t="s">
        <v>19</v>
      </c>
      <c r="E1379" s="11" t="s">
        <v>147</v>
      </c>
      <c r="F1379" s="11" t="str">
        <f>"2170722424 "</f>
        <v xml:space="preserve">2170722424 </v>
      </c>
      <c r="G1379" s="11" t="str">
        <f t="shared" si="41"/>
        <v>ON1</v>
      </c>
      <c r="H1379" s="11" t="s">
        <v>21</v>
      </c>
      <c r="I1379" s="11" t="s">
        <v>148</v>
      </c>
      <c r="J1379" s="11" t="str">
        <f>""</f>
        <v/>
      </c>
      <c r="K1379" s="11" t="str">
        <f>"PFES1162731178_0001"</f>
        <v>PFES1162731178_0001</v>
      </c>
      <c r="L1379" s="11">
        <v>2</v>
      </c>
      <c r="M1379" s="11">
        <v>4</v>
      </c>
    </row>
    <row r="1380" spans="1:13">
      <c r="A1380" s="6">
        <v>43845</v>
      </c>
      <c r="B1380" s="7">
        <v>0.53749999999999998</v>
      </c>
      <c r="C1380" s="11" t="str">
        <f>"FES1162731178"</f>
        <v>FES1162731178</v>
      </c>
      <c r="D1380" s="11" t="s">
        <v>19</v>
      </c>
      <c r="E1380" s="11" t="s">
        <v>147</v>
      </c>
      <c r="F1380" s="11" t="str">
        <f>"2170722424 "</f>
        <v xml:space="preserve">2170722424 </v>
      </c>
      <c r="G1380" s="11" t="str">
        <f t="shared" si="41"/>
        <v>ON1</v>
      </c>
      <c r="H1380" s="11" t="s">
        <v>21</v>
      </c>
      <c r="I1380" s="11" t="s">
        <v>148</v>
      </c>
      <c r="J1380" s="11"/>
      <c r="K1380" s="11" t="str">
        <f>"PFES1162731178_0002"</f>
        <v>PFES1162731178_0002</v>
      </c>
      <c r="L1380" s="11">
        <v>2</v>
      </c>
      <c r="M1380" s="11">
        <v>4</v>
      </c>
    </row>
    <row r="1381" spans="1:13">
      <c r="A1381" s="6">
        <v>43845</v>
      </c>
      <c r="B1381" s="7">
        <v>0.53680555555555554</v>
      </c>
      <c r="C1381" s="11" t="str">
        <f>"FES1162731272"</f>
        <v>FES1162731272</v>
      </c>
      <c r="D1381" s="11" t="s">
        <v>19</v>
      </c>
      <c r="E1381" s="11" t="s">
        <v>670</v>
      </c>
      <c r="F1381" s="11" t="str">
        <f>"2170723893 "</f>
        <v xml:space="preserve">2170723893 </v>
      </c>
      <c r="G1381" s="11" t="str">
        <f t="shared" si="41"/>
        <v>ON1</v>
      </c>
      <c r="H1381" s="11" t="s">
        <v>21</v>
      </c>
      <c r="I1381" s="11" t="s">
        <v>528</v>
      </c>
      <c r="J1381" s="11" t="str">
        <f>""</f>
        <v/>
      </c>
      <c r="K1381" s="11" t="str">
        <f>"PFES1162731272_0001"</f>
        <v>PFES1162731272_0001</v>
      </c>
      <c r="L1381" s="11">
        <v>1</v>
      </c>
      <c r="M1381" s="11">
        <v>5</v>
      </c>
    </row>
    <row r="1382" spans="1:13">
      <c r="A1382" s="6">
        <v>43845</v>
      </c>
      <c r="B1382" s="7">
        <v>0.53680555555555554</v>
      </c>
      <c r="C1382" s="11" t="str">
        <f>"FES1162731273"</f>
        <v>FES1162731273</v>
      </c>
      <c r="D1382" s="11" t="s">
        <v>19</v>
      </c>
      <c r="E1382" s="11" t="s">
        <v>725</v>
      </c>
      <c r="F1382" s="11" t="str">
        <f>"2170723894 "</f>
        <v xml:space="preserve">2170723894 </v>
      </c>
      <c r="G1382" s="11" t="str">
        <f t="shared" si="41"/>
        <v>ON1</v>
      </c>
      <c r="H1382" s="11" t="s">
        <v>21</v>
      </c>
      <c r="I1382" s="11" t="s">
        <v>533</v>
      </c>
      <c r="J1382" s="11" t="str">
        <f>""</f>
        <v/>
      </c>
      <c r="K1382" s="11" t="str">
        <f>"PFES1162731273_0001"</f>
        <v>PFES1162731273_0001</v>
      </c>
      <c r="L1382" s="11">
        <v>1</v>
      </c>
      <c r="M1382" s="11">
        <v>1</v>
      </c>
    </row>
    <row r="1383" spans="1:13">
      <c r="A1383" s="6">
        <v>43845</v>
      </c>
      <c r="B1383" s="7">
        <v>0.53680555555555554</v>
      </c>
      <c r="C1383" s="11" t="str">
        <f>"FES1162731212"</f>
        <v>FES1162731212</v>
      </c>
      <c r="D1383" s="11" t="s">
        <v>19</v>
      </c>
      <c r="E1383" s="11" t="s">
        <v>29</v>
      </c>
      <c r="F1383" s="11" t="str">
        <f>"2170723500 "</f>
        <v xml:space="preserve">2170723500 </v>
      </c>
      <c r="G1383" s="11" t="str">
        <f t="shared" si="41"/>
        <v>ON1</v>
      </c>
      <c r="H1383" s="11" t="s">
        <v>21</v>
      </c>
      <c r="I1383" s="11" t="s">
        <v>22</v>
      </c>
      <c r="J1383" s="11" t="str">
        <f>""</f>
        <v/>
      </c>
      <c r="K1383" s="11" t="str">
        <f>"PFES1162731212_0001"</f>
        <v>PFES1162731212_0001</v>
      </c>
      <c r="L1383" s="11">
        <v>1</v>
      </c>
      <c r="M1383" s="11">
        <v>2</v>
      </c>
    </row>
    <row r="1384" spans="1:13">
      <c r="A1384" s="6">
        <v>43845</v>
      </c>
      <c r="B1384" s="7">
        <v>0.53611111111111109</v>
      </c>
      <c r="C1384" s="11" t="str">
        <f>"FES1162731262"</f>
        <v>FES1162731262</v>
      </c>
      <c r="D1384" s="11" t="s">
        <v>19</v>
      </c>
      <c r="E1384" s="11" t="s">
        <v>184</v>
      </c>
      <c r="F1384" s="11" t="str">
        <f>"2170723879 "</f>
        <v xml:space="preserve">2170723879 </v>
      </c>
      <c r="G1384" s="11" t="str">
        <f t="shared" si="41"/>
        <v>ON1</v>
      </c>
      <c r="H1384" s="11" t="s">
        <v>21</v>
      </c>
      <c r="I1384" s="11" t="s">
        <v>49</v>
      </c>
      <c r="J1384" s="11" t="str">
        <f>""</f>
        <v/>
      </c>
      <c r="K1384" s="11" t="str">
        <f>"PFES1162731262_0001"</f>
        <v>PFES1162731262_0001</v>
      </c>
      <c r="L1384" s="11">
        <v>1</v>
      </c>
      <c r="M1384" s="11">
        <v>3</v>
      </c>
    </row>
    <row r="1385" spans="1:13">
      <c r="A1385" s="6">
        <v>43845</v>
      </c>
      <c r="B1385" s="7">
        <v>0.53611111111111109</v>
      </c>
      <c r="C1385" s="11" t="str">
        <f>"FES1162731238"</f>
        <v>FES1162731238</v>
      </c>
      <c r="D1385" s="11" t="s">
        <v>19</v>
      </c>
      <c r="E1385" s="11" t="s">
        <v>603</v>
      </c>
      <c r="F1385" s="11" t="str">
        <f>"2170723848 "</f>
        <v xml:space="preserve">2170723848 </v>
      </c>
      <c r="G1385" s="11" t="str">
        <f t="shared" si="41"/>
        <v>ON1</v>
      </c>
      <c r="H1385" s="11" t="s">
        <v>21</v>
      </c>
      <c r="I1385" s="11" t="s">
        <v>604</v>
      </c>
      <c r="J1385" s="11" t="str">
        <f>""</f>
        <v/>
      </c>
      <c r="K1385" s="11" t="str">
        <f>"PFES1162731238_0001"</f>
        <v>PFES1162731238_0001</v>
      </c>
      <c r="L1385" s="11">
        <v>1</v>
      </c>
      <c r="M1385" s="11">
        <v>3</v>
      </c>
    </row>
    <row r="1386" spans="1:13">
      <c r="A1386" s="6">
        <v>43845</v>
      </c>
      <c r="B1386" s="7">
        <v>0.53541666666666665</v>
      </c>
      <c r="C1386" s="11" t="str">
        <f>"FES1162731261"</f>
        <v>FES1162731261</v>
      </c>
      <c r="D1386" s="11" t="s">
        <v>19</v>
      </c>
      <c r="E1386" s="11" t="s">
        <v>259</v>
      </c>
      <c r="F1386" s="11" t="str">
        <f>"2170723878 "</f>
        <v xml:space="preserve">2170723878 </v>
      </c>
      <c r="G1386" s="11" t="str">
        <f t="shared" si="41"/>
        <v>ON1</v>
      </c>
      <c r="H1386" s="11" t="s">
        <v>21</v>
      </c>
      <c r="I1386" s="11" t="s">
        <v>260</v>
      </c>
      <c r="J1386" s="11" t="str">
        <f>""</f>
        <v/>
      </c>
      <c r="K1386" s="11" t="str">
        <f>"PFES1162731261_0001"</f>
        <v>PFES1162731261_0001</v>
      </c>
      <c r="L1386" s="11">
        <v>1</v>
      </c>
      <c r="M1386" s="11">
        <v>1</v>
      </c>
    </row>
    <row r="1387" spans="1:13">
      <c r="A1387" s="6">
        <v>43845</v>
      </c>
      <c r="B1387" s="7">
        <v>0.53541666666666665</v>
      </c>
      <c r="C1387" s="11" t="str">
        <f>"FES1162731260"</f>
        <v>FES1162731260</v>
      </c>
      <c r="D1387" s="11" t="s">
        <v>19</v>
      </c>
      <c r="E1387" s="11" t="s">
        <v>46</v>
      </c>
      <c r="F1387" s="11" t="str">
        <f>"2170723877 "</f>
        <v xml:space="preserve">2170723877 </v>
      </c>
      <c r="G1387" s="11" t="str">
        <f>"DBC"</f>
        <v>DBC</v>
      </c>
      <c r="H1387" s="11" t="s">
        <v>21</v>
      </c>
      <c r="I1387" s="11" t="s">
        <v>47</v>
      </c>
      <c r="J1387" s="11" t="str">
        <f>""</f>
        <v/>
      </c>
      <c r="K1387" s="11" t="str">
        <f>"PFES1162731260_0001"</f>
        <v>PFES1162731260_0001</v>
      </c>
      <c r="L1387" s="11">
        <v>1</v>
      </c>
      <c r="M1387" s="11">
        <v>21</v>
      </c>
    </row>
    <row r="1388" spans="1:13">
      <c r="A1388" s="6">
        <v>43845</v>
      </c>
      <c r="B1388" s="7">
        <v>0.53472222222222221</v>
      </c>
      <c r="C1388" s="11" t="str">
        <f>"FES1162731286"</f>
        <v>FES1162731286</v>
      </c>
      <c r="D1388" s="11" t="s">
        <v>19</v>
      </c>
      <c r="E1388" s="11" t="s">
        <v>310</v>
      </c>
      <c r="F1388" s="11" t="str">
        <f>"2170723911 "</f>
        <v xml:space="preserve">2170723911 </v>
      </c>
      <c r="G1388" s="11" t="str">
        <f t="shared" ref="G1388:G1417" si="42">"ON1"</f>
        <v>ON1</v>
      </c>
      <c r="H1388" s="11" t="s">
        <v>21</v>
      </c>
      <c r="I1388" s="11" t="s">
        <v>311</v>
      </c>
      <c r="J1388" s="11" t="str">
        <f>""</f>
        <v/>
      </c>
      <c r="K1388" s="11" t="str">
        <f>"PFES1162731286_0001"</f>
        <v>PFES1162731286_0001</v>
      </c>
      <c r="L1388" s="11">
        <v>1</v>
      </c>
      <c r="M1388" s="11">
        <v>2</v>
      </c>
    </row>
    <row r="1389" spans="1:13">
      <c r="A1389" s="6">
        <v>43845</v>
      </c>
      <c r="B1389" s="7">
        <v>0.53472222222222221</v>
      </c>
      <c r="C1389" s="11" t="str">
        <f>"FES1162731266"</f>
        <v>FES1162731266</v>
      </c>
      <c r="D1389" s="11" t="s">
        <v>19</v>
      </c>
      <c r="E1389" s="11" t="s">
        <v>101</v>
      </c>
      <c r="F1389" s="11" t="str">
        <f>"2170723883 "</f>
        <v xml:space="preserve">2170723883 </v>
      </c>
      <c r="G1389" s="11" t="str">
        <f t="shared" si="42"/>
        <v>ON1</v>
      </c>
      <c r="H1389" s="11" t="s">
        <v>21</v>
      </c>
      <c r="I1389" s="11" t="s">
        <v>102</v>
      </c>
      <c r="J1389" s="11" t="str">
        <f>""</f>
        <v/>
      </c>
      <c r="K1389" s="11" t="str">
        <f>"PFES1162731266_0001"</f>
        <v>PFES1162731266_0001</v>
      </c>
      <c r="L1389" s="11">
        <v>1</v>
      </c>
      <c r="M1389" s="11">
        <v>1</v>
      </c>
    </row>
    <row r="1390" spans="1:13">
      <c r="A1390" s="6">
        <v>43845</v>
      </c>
      <c r="B1390" s="7">
        <v>0.53472222222222221</v>
      </c>
      <c r="C1390" s="11" t="str">
        <f>"FES1162731255"</f>
        <v>FES1162731255</v>
      </c>
      <c r="D1390" s="11" t="s">
        <v>19</v>
      </c>
      <c r="E1390" s="11" t="s">
        <v>82</v>
      </c>
      <c r="F1390" s="11" t="str">
        <f>"2170723871 "</f>
        <v xml:space="preserve">2170723871 </v>
      </c>
      <c r="G1390" s="11" t="str">
        <f t="shared" si="42"/>
        <v>ON1</v>
      </c>
      <c r="H1390" s="11" t="s">
        <v>21</v>
      </c>
      <c r="I1390" s="11" t="s">
        <v>165</v>
      </c>
      <c r="J1390" s="11" t="str">
        <f>""</f>
        <v/>
      </c>
      <c r="K1390" s="11" t="str">
        <f>"PFES1162731255_0001"</f>
        <v>PFES1162731255_0001</v>
      </c>
      <c r="L1390" s="11">
        <v>1</v>
      </c>
      <c r="M1390" s="11">
        <v>4</v>
      </c>
    </row>
    <row r="1391" spans="1:13">
      <c r="A1391" s="6">
        <v>43845</v>
      </c>
      <c r="B1391" s="7">
        <v>0.53402777777777777</v>
      </c>
      <c r="C1391" s="11" t="str">
        <f>"FES1162731207"</f>
        <v>FES1162731207</v>
      </c>
      <c r="D1391" s="11" t="s">
        <v>19</v>
      </c>
      <c r="E1391" s="11" t="s">
        <v>726</v>
      </c>
      <c r="F1391" s="11" t="str">
        <f>"2170722733 "</f>
        <v xml:space="preserve">2170722733 </v>
      </c>
      <c r="G1391" s="11" t="str">
        <f t="shared" si="42"/>
        <v>ON1</v>
      </c>
      <c r="H1391" s="11" t="s">
        <v>21</v>
      </c>
      <c r="I1391" s="11" t="s">
        <v>718</v>
      </c>
      <c r="J1391" s="11" t="str">
        <f>""</f>
        <v/>
      </c>
      <c r="K1391" s="11" t="str">
        <f>"PFES1162731207_0001"</f>
        <v>PFES1162731207_0001</v>
      </c>
      <c r="L1391" s="11">
        <v>1</v>
      </c>
      <c r="M1391" s="11">
        <v>14</v>
      </c>
    </row>
    <row r="1392" spans="1:13">
      <c r="A1392" s="6">
        <v>43845</v>
      </c>
      <c r="B1392" s="7">
        <v>0.53402777777777777</v>
      </c>
      <c r="C1392" s="11" t="str">
        <f>"FES1162731294"</f>
        <v>FES1162731294</v>
      </c>
      <c r="D1392" s="11" t="s">
        <v>19</v>
      </c>
      <c r="E1392" s="11" t="s">
        <v>222</v>
      </c>
      <c r="F1392" s="11" t="str">
        <f>"2170723917 "</f>
        <v xml:space="preserve">2170723917 </v>
      </c>
      <c r="G1392" s="11" t="str">
        <f t="shared" si="42"/>
        <v>ON1</v>
      </c>
      <c r="H1392" s="11" t="s">
        <v>21</v>
      </c>
      <c r="I1392" s="11" t="s">
        <v>28</v>
      </c>
      <c r="J1392" s="11" t="str">
        <f>""</f>
        <v/>
      </c>
      <c r="K1392" s="11" t="str">
        <f>"PFES1162731294_0001"</f>
        <v>PFES1162731294_0001</v>
      </c>
      <c r="L1392" s="11">
        <v>1</v>
      </c>
      <c r="M1392" s="11">
        <v>1</v>
      </c>
    </row>
    <row r="1393" spans="1:13">
      <c r="A1393" s="6">
        <v>43845</v>
      </c>
      <c r="B1393" s="7">
        <v>0.53333333333333333</v>
      </c>
      <c r="C1393" s="11" t="str">
        <f>"FES1162731276"</f>
        <v>FES1162731276</v>
      </c>
      <c r="D1393" s="11" t="s">
        <v>19</v>
      </c>
      <c r="E1393" s="11" t="s">
        <v>197</v>
      </c>
      <c r="F1393" s="11" t="str">
        <f>"2170723900 "</f>
        <v xml:space="preserve">2170723900 </v>
      </c>
      <c r="G1393" s="11" t="str">
        <f t="shared" si="42"/>
        <v>ON1</v>
      </c>
      <c r="H1393" s="11" t="s">
        <v>21</v>
      </c>
      <c r="I1393" s="11" t="s">
        <v>198</v>
      </c>
      <c r="J1393" s="11" t="str">
        <f>""</f>
        <v/>
      </c>
      <c r="K1393" s="11" t="str">
        <f>"PFES1162731276_0001"</f>
        <v>PFES1162731276_0001</v>
      </c>
      <c r="L1393" s="11">
        <v>1</v>
      </c>
      <c r="M1393" s="11">
        <v>1</v>
      </c>
    </row>
    <row r="1394" spans="1:13">
      <c r="A1394" s="6">
        <v>43845</v>
      </c>
      <c r="B1394" s="7">
        <v>0.53333333333333333</v>
      </c>
      <c r="C1394" s="11" t="str">
        <f>"FES1162731296"</f>
        <v>FES1162731296</v>
      </c>
      <c r="D1394" s="11" t="s">
        <v>19</v>
      </c>
      <c r="E1394" s="11" t="s">
        <v>222</v>
      </c>
      <c r="F1394" s="11" t="str">
        <f>"2170723919 "</f>
        <v xml:space="preserve">2170723919 </v>
      </c>
      <c r="G1394" s="11" t="str">
        <f t="shared" si="42"/>
        <v>ON1</v>
      </c>
      <c r="H1394" s="11" t="s">
        <v>21</v>
      </c>
      <c r="I1394" s="11" t="s">
        <v>28</v>
      </c>
      <c r="J1394" s="11" t="str">
        <f>""</f>
        <v/>
      </c>
      <c r="K1394" s="11" t="str">
        <f>"PFES1162731296_0001"</f>
        <v>PFES1162731296_0001</v>
      </c>
      <c r="L1394" s="11">
        <v>1</v>
      </c>
      <c r="M1394" s="11">
        <v>1</v>
      </c>
    </row>
    <row r="1395" spans="1:13">
      <c r="A1395" s="6">
        <v>43845</v>
      </c>
      <c r="B1395" s="7">
        <v>0.53263888888888888</v>
      </c>
      <c r="C1395" s="11" t="str">
        <f>"FES1162731251"</f>
        <v>FES1162731251</v>
      </c>
      <c r="D1395" s="11" t="s">
        <v>19</v>
      </c>
      <c r="E1395" s="11" t="s">
        <v>232</v>
      </c>
      <c r="F1395" s="11" t="str">
        <f>"2170723571 "</f>
        <v xml:space="preserve">2170723571 </v>
      </c>
      <c r="G1395" s="11" t="str">
        <f t="shared" si="42"/>
        <v>ON1</v>
      </c>
      <c r="H1395" s="11" t="s">
        <v>21</v>
      </c>
      <c r="I1395" s="11" t="s">
        <v>247</v>
      </c>
      <c r="J1395" s="11" t="str">
        <f>""</f>
        <v/>
      </c>
      <c r="K1395" s="11" t="str">
        <f>"PFES1162731251_0001"</f>
        <v>PFES1162731251_0001</v>
      </c>
      <c r="L1395" s="11">
        <v>1</v>
      </c>
      <c r="M1395" s="11">
        <v>10</v>
      </c>
    </row>
    <row r="1396" spans="1:13">
      <c r="A1396" s="6">
        <v>43845</v>
      </c>
      <c r="B1396" s="7">
        <v>0.53263888888888888</v>
      </c>
      <c r="C1396" s="11" t="str">
        <f>"FES1162731250"</f>
        <v>FES1162731250</v>
      </c>
      <c r="D1396" s="11" t="s">
        <v>19</v>
      </c>
      <c r="E1396" s="11" t="s">
        <v>727</v>
      </c>
      <c r="F1396" s="11" t="str">
        <f>"2170720128 "</f>
        <v xml:space="preserve">2170720128 </v>
      </c>
      <c r="G1396" s="11" t="str">
        <f t="shared" si="42"/>
        <v>ON1</v>
      </c>
      <c r="H1396" s="11" t="s">
        <v>21</v>
      </c>
      <c r="I1396" s="11" t="s">
        <v>728</v>
      </c>
      <c r="J1396" s="11" t="str">
        <f>""</f>
        <v/>
      </c>
      <c r="K1396" s="11" t="str">
        <f>"PFES1162731250_0001"</f>
        <v>PFES1162731250_0001</v>
      </c>
      <c r="L1396" s="11">
        <v>1</v>
      </c>
      <c r="M1396" s="11">
        <v>1</v>
      </c>
    </row>
    <row r="1397" spans="1:13">
      <c r="A1397" s="6">
        <v>43845</v>
      </c>
      <c r="B1397" s="7">
        <v>0.53263888888888888</v>
      </c>
      <c r="C1397" s="11" t="str">
        <f>"FES1162731218"</f>
        <v>FES1162731218</v>
      </c>
      <c r="D1397" s="11" t="s">
        <v>19</v>
      </c>
      <c r="E1397" s="11" t="s">
        <v>729</v>
      </c>
      <c r="F1397" s="11" t="str">
        <f>"217072382 "</f>
        <v xml:space="preserve">217072382 </v>
      </c>
      <c r="G1397" s="11" t="str">
        <f t="shared" si="42"/>
        <v>ON1</v>
      </c>
      <c r="H1397" s="11" t="s">
        <v>21</v>
      </c>
      <c r="I1397" s="11" t="s">
        <v>247</v>
      </c>
      <c r="J1397" s="11" t="str">
        <f>""</f>
        <v/>
      </c>
      <c r="K1397" s="11" t="str">
        <f>"PFES1162731218_0001"</f>
        <v>PFES1162731218_0001</v>
      </c>
      <c r="L1397" s="11">
        <v>1</v>
      </c>
      <c r="M1397" s="11">
        <v>2</v>
      </c>
    </row>
    <row r="1398" spans="1:13">
      <c r="A1398" s="6">
        <v>43845</v>
      </c>
      <c r="B1398" s="7">
        <v>0.53194444444444444</v>
      </c>
      <c r="C1398" s="11" t="str">
        <f>"FES1162731228"</f>
        <v>FES1162731228</v>
      </c>
      <c r="D1398" s="11" t="s">
        <v>19</v>
      </c>
      <c r="E1398" s="11" t="s">
        <v>730</v>
      </c>
      <c r="F1398" s="11" t="str">
        <f>"2170723836 "</f>
        <v xml:space="preserve">2170723836 </v>
      </c>
      <c r="G1398" s="11" t="str">
        <f t="shared" si="42"/>
        <v>ON1</v>
      </c>
      <c r="H1398" s="11" t="s">
        <v>21</v>
      </c>
      <c r="I1398" s="11" t="s">
        <v>731</v>
      </c>
      <c r="J1398" s="11" t="str">
        <f>""</f>
        <v/>
      </c>
      <c r="K1398" s="11" t="str">
        <f>"PFES1162731228_0001"</f>
        <v>PFES1162731228_0001</v>
      </c>
      <c r="L1398" s="11">
        <v>1</v>
      </c>
      <c r="M1398" s="11">
        <v>3</v>
      </c>
    </row>
    <row r="1399" spans="1:13">
      <c r="A1399" s="6">
        <v>43845</v>
      </c>
      <c r="B1399" s="7">
        <v>0.53125</v>
      </c>
      <c r="C1399" s="11" t="str">
        <f>"FES1162731177"</f>
        <v>FES1162731177</v>
      </c>
      <c r="D1399" s="11" t="s">
        <v>19</v>
      </c>
      <c r="E1399" s="11" t="s">
        <v>144</v>
      </c>
      <c r="F1399" s="11" t="str">
        <f>"2170722384 "</f>
        <v xml:space="preserve">2170722384 </v>
      </c>
      <c r="G1399" s="11" t="str">
        <f t="shared" si="42"/>
        <v>ON1</v>
      </c>
      <c r="H1399" s="11" t="s">
        <v>21</v>
      </c>
      <c r="I1399" s="11" t="s">
        <v>34</v>
      </c>
      <c r="J1399" s="11" t="str">
        <f>""</f>
        <v/>
      </c>
      <c r="K1399" s="11" t="str">
        <f>"PFES1162731177_0001"</f>
        <v>PFES1162731177_0001</v>
      </c>
      <c r="L1399" s="11">
        <v>1</v>
      </c>
      <c r="M1399" s="11">
        <v>6</v>
      </c>
    </row>
    <row r="1400" spans="1:13">
      <c r="A1400" s="6">
        <v>43845</v>
      </c>
      <c r="B1400" s="7">
        <v>0.53125</v>
      </c>
      <c r="C1400" s="11" t="str">
        <f>"FES1162731221"</f>
        <v>FES1162731221</v>
      </c>
      <c r="D1400" s="11" t="s">
        <v>19</v>
      </c>
      <c r="E1400" s="11" t="s">
        <v>732</v>
      </c>
      <c r="F1400" s="11" t="str">
        <f>"2170723823 "</f>
        <v xml:space="preserve">2170723823 </v>
      </c>
      <c r="G1400" s="11" t="str">
        <f t="shared" si="42"/>
        <v>ON1</v>
      </c>
      <c r="H1400" s="11" t="s">
        <v>21</v>
      </c>
      <c r="I1400" s="11" t="s">
        <v>375</v>
      </c>
      <c r="J1400" s="11" t="str">
        <f>""</f>
        <v/>
      </c>
      <c r="K1400" s="11" t="str">
        <f>"PFES1162731221_0001"</f>
        <v>PFES1162731221_0001</v>
      </c>
      <c r="L1400" s="11">
        <v>1</v>
      </c>
      <c r="M1400" s="11">
        <v>1</v>
      </c>
    </row>
    <row r="1401" spans="1:13">
      <c r="A1401" s="6">
        <v>43845</v>
      </c>
      <c r="B1401" s="7">
        <v>0.52986111111111112</v>
      </c>
      <c r="C1401" s="11" t="str">
        <f>"FES11627311211"</f>
        <v>FES11627311211</v>
      </c>
      <c r="D1401" s="11" t="s">
        <v>19</v>
      </c>
      <c r="E1401" s="11" t="s">
        <v>283</v>
      </c>
      <c r="F1401" s="11" t="str">
        <f>"2170723473 "</f>
        <v xml:space="preserve">2170723473 </v>
      </c>
      <c r="G1401" s="11" t="str">
        <f t="shared" si="42"/>
        <v>ON1</v>
      </c>
      <c r="H1401" s="11" t="s">
        <v>21</v>
      </c>
      <c r="I1401" s="11" t="s">
        <v>284</v>
      </c>
      <c r="J1401" s="11" t="str">
        <f>""</f>
        <v/>
      </c>
      <c r="K1401" s="11" t="str">
        <f>"PFES11627311211_0001"</f>
        <v>PFES11627311211_0001</v>
      </c>
      <c r="L1401" s="11">
        <v>1</v>
      </c>
      <c r="M1401" s="11">
        <v>1</v>
      </c>
    </row>
    <row r="1402" spans="1:13">
      <c r="A1402" s="6">
        <v>43845</v>
      </c>
      <c r="B1402" s="7">
        <v>0.52916666666666667</v>
      </c>
      <c r="C1402" s="11" t="str">
        <f>"FES1162731220"</f>
        <v>FES1162731220</v>
      </c>
      <c r="D1402" s="11" t="s">
        <v>19</v>
      </c>
      <c r="E1402" s="11" t="s">
        <v>75</v>
      </c>
      <c r="F1402" s="11" t="str">
        <f>"2170723822 "</f>
        <v xml:space="preserve">2170723822 </v>
      </c>
      <c r="G1402" s="11" t="str">
        <f t="shared" si="42"/>
        <v>ON1</v>
      </c>
      <c r="H1402" s="11" t="s">
        <v>21</v>
      </c>
      <c r="I1402" s="11" t="s">
        <v>76</v>
      </c>
      <c r="J1402" s="11" t="str">
        <f>""</f>
        <v/>
      </c>
      <c r="K1402" s="11" t="str">
        <f>"PFES1162731220_0001"</f>
        <v>PFES1162731220_0001</v>
      </c>
      <c r="L1402" s="11">
        <v>1</v>
      </c>
      <c r="M1402" s="11">
        <v>1</v>
      </c>
    </row>
    <row r="1403" spans="1:13">
      <c r="A1403" s="6">
        <v>43845</v>
      </c>
      <c r="B1403" s="7">
        <v>0.52847222222222223</v>
      </c>
      <c r="C1403" s="11" t="str">
        <f>"FES1162731268"</f>
        <v>FES1162731268</v>
      </c>
      <c r="D1403" s="11" t="s">
        <v>19</v>
      </c>
      <c r="E1403" s="11" t="s">
        <v>733</v>
      </c>
      <c r="F1403" s="11" t="str">
        <f>"2170723885 "</f>
        <v xml:space="preserve">2170723885 </v>
      </c>
      <c r="G1403" s="11" t="str">
        <f t="shared" si="42"/>
        <v>ON1</v>
      </c>
      <c r="H1403" s="11" t="s">
        <v>21</v>
      </c>
      <c r="I1403" s="11" t="s">
        <v>576</v>
      </c>
      <c r="J1403" s="11" t="str">
        <f>""</f>
        <v/>
      </c>
      <c r="K1403" s="11" t="str">
        <f>"PFES1162731268_0001"</f>
        <v>PFES1162731268_0001</v>
      </c>
      <c r="L1403" s="11">
        <v>1</v>
      </c>
      <c r="M1403" s="11">
        <v>1</v>
      </c>
    </row>
    <row r="1404" spans="1:13">
      <c r="A1404" s="6">
        <v>43845</v>
      </c>
      <c r="B1404" s="7">
        <v>0.52777777777777779</v>
      </c>
      <c r="C1404" s="11" t="str">
        <f>"FES1162731291"</f>
        <v>FES1162731291</v>
      </c>
      <c r="D1404" s="11" t="s">
        <v>19</v>
      </c>
      <c r="E1404" s="11" t="s">
        <v>44</v>
      </c>
      <c r="F1404" s="11" t="str">
        <f>"21707233585 "</f>
        <v xml:space="preserve">21707233585 </v>
      </c>
      <c r="G1404" s="11" t="str">
        <f t="shared" si="42"/>
        <v>ON1</v>
      </c>
      <c r="H1404" s="11" t="s">
        <v>21</v>
      </c>
      <c r="I1404" s="11" t="s">
        <v>63</v>
      </c>
      <c r="J1404" s="11" t="str">
        <f>""</f>
        <v/>
      </c>
      <c r="K1404" s="11" t="str">
        <f>"PFES1162731291_0001"</f>
        <v>PFES1162731291_0001</v>
      </c>
      <c r="L1404" s="11">
        <v>1</v>
      </c>
      <c r="M1404" s="11">
        <v>2</v>
      </c>
    </row>
    <row r="1405" spans="1:13">
      <c r="A1405" s="6">
        <v>43845</v>
      </c>
      <c r="B1405" s="7">
        <v>0.52708333333333335</v>
      </c>
      <c r="C1405" s="11" t="str">
        <f>"FES1162731263"</f>
        <v>FES1162731263</v>
      </c>
      <c r="D1405" s="11" t="s">
        <v>19</v>
      </c>
      <c r="E1405" s="11" t="s">
        <v>188</v>
      </c>
      <c r="F1405" s="11" t="str">
        <f>"2170723880 "</f>
        <v xml:space="preserve">2170723880 </v>
      </c>
      <c r="G1405" s="11" t="str">
        <f t="shared" si="42"/>
        <v>ON1</v>
      </c>
      <c r="H1405" s="11" t="s">
        <v>21</v>
      </c>
      <c r="I1405" s="11" t="s">
        <v>189</v>
      </c>
      <c r="J1405" s="11" t="str">
        <f>""</f>
        <v/>
      </c>
      <c r="K1405" s="11" t="str">
        <f>"PFES1162731263_0001"</f>
        <v>PFES1162731263_0001</v>
      </c>
      <c r="L1405" s="11">
        <v>1</v>
      </c>
      <c r="M1405" s="11">
        <v>1</v>
      </c>
    </row>
    <row r="1406" spans="1:13">
      <c r="A1406" s="6">
        <v>43845</v>
      </c>
      <c r="B1406" s="7">
        <v>0.52708333333333335</v>
      </c>
      <c r="C1406" s="11" t="str">
        <f>"FES1162731277"</f>
        <v>FES1162731277</v>
      </c>
      <c r="D1406" s="11" t="s">
        <v>19</v>
      </c>
      <c r="E1406" s="11" t="s">
        <v>571</v>
      </c>
      <c r="F1406" s="11" t="str">
        <f>"2170723901 "</f>
        <v xml:space="preserve">2170723901 </v>
      </c>
      <c r="G1406" s="11" t="str">
        <f t="shared" si="42"/>
        <v>ON1</v>
      </c>
      <c r="H1406" s="11" t="s">
        <v>21</v>
      </c>
      <c r="I1406" s="11" t="s">
        <v>76</v>
      </c>
      <c r="J1406" s="11" t="str">
        <f>""</f>
        <v/>
      </c>
      <c r="K1406" s="11" t="str">
        <f>"PFES1162731277_0001"</f>
        <v>PFES1162731277_0001</v>
      </c>
      <c r="L1406" s="11">
        <v>1</v>
      </c>
      <c r="M1406" s="11">
        <v>7</v>
      </c>
    </row>
    <row r="1407" spans="1:13">
      <c r="A1407" s="6">
        <v>43845</v>
      </c>
      <c r="B1407" s="7">
        <v>0.52708333333333335</v>
      </c>
      <c r="C1407" s="11" t="str">
        <f>"FES1162731205"</f>
        <v>FES1162731205</v>
      </c>
      <c r="D1407" s="11" t="s">
        <v>19</v>
      </c>
      <c r="E1407" s="11" t="s">
        <v>623</v>
      </c>
      <c r="F1407" s="11" t="str">
        <f>"2170722458 "</f>
        <v xml:space="preserve">2170722458 </v>
      </c>
      <c r="G1407" s="11" t="str">
        <f t="shared" si="42"/>
        <v>ON1</v>
      </c>
      <c r="H1407" s="11" t="s">
        <v>21</v>
      </c>
      <c r="I1407" s="11" t="s">
        <v>96</v>
      </c>
      <c r="J1407" s="11" t="str">
        <f>""</f>
        <v/>
      </c>
      <c r="K1407" s="11" t="str">
        <f>"PFES1162731205_0001"</f>
        <v>PFES1162731205_0001</v>
      </c>
      <c r="L1407" s="11">
        <v>1</v>
      </c>
      <c r="M1407" s="11">
        <v>1</v>
      </c>
    </row>
    <row r="1408" spans="1:13">
      <c r="A1408" s="6">
        <v>43845</v>
      </c>
      <c r="B1408" s="7">
        <v>0.52569444444444446</v>
      </c>
      <c r="C1408" s="11" t="str">
        <f>"FES1162731301"</f>
        <v>FES1162731301</v>
      </c>
      <c r="D1408" s="11" t="s">
        <v>19</v>
      </c>
      <c r="E1408" s="11" t="s">
        <v>734</v>
      </c>
      <c r="F1408" s="11" t="str">
        <f>"2170723920 "</f>
        <v xml:space="preserve">2170723920 </v>
      </c>
      <c r="G1408" s="11" t="str">
        <f t="shared" si="42"/>
        <v>ON1</v>
      </c>
      <c r="H1408" s="11" t="s">
        <v>21</v>
      </c>
      <c r="I1408" s="11" t="s">
        <v>49</v>
      </c>
      <c r="J1408" s="11" t="str">
        <f>""</f>
        <v/>
      </c>
      <c r="K1408" s="11" t="str">
        <f>"PFES1162731301_0001"</f>
        <v>PFES1162731301_0001</v>
      </c>
      <c r="L1408" s="11">
        <v>1</v>
      </c>
      <c r="M1408" s="11">
        <v>3</v>
      </c>
    </row>
    <row r="1409" spans="1:13">
      <c r="A1409" s="6">
        <v>43845</v>
      </c>
      <c r="B1409" s="7">
        <v>0.52569444444444446</v>
      </c>
      <c r="C1409" s="11" t="str">
        <f>"FES1162731216"</f>
        <v>FES1162731216</v>
      </c>
      <c r="D1409" s="11" t="s">
        <v>19</v>
      </c>
      <c r="E1409" s="11" t="s">
        <v>733</v>
      </c>
      <c r="F1409" s="11" t="str">
        <f>"2170723818 "</f>
        <v xml:space="preserve">2170723818 </v>
      </c>
      <c r="G1409" s="11" t="str">
        <f t="shared" si="42"/>
        <v>ON1</v>
      </c>
      <c r="H1409" s="11" t="s">
        <v>21</v>
      </c>
      <c r="I1409" s="11" t="s">
        <v>576</v>
      </c>
      <c r="J1409" s="11" t="str">
        <f>""</f>
        <v/>
      </c>
      <c r="K1409" s="11" t="str">
        <f>"PFES1162731216_0001"</f>
        <v>PFES1162731216_0001</v>
      </c>
      <c r="L1409" s="11">
        <v>1</v>
      </c>
      <c r="M1409" s="11">
        <v>1</v>
      </c>
    </row>
    <row r="1410" spans="1:13">
      <c r="A1410" s="6">
        <v>43845</v>
      </c>
      <c r="B1410" s="7">
        <v>0.52500000000000002</v>
      </c>
      <c r="C1410" s="11" t="str">
        <f>"FES1162731227"</f>
        <v>FES1162731227</v>
      </c>
      <c r="D1410" s="11" t="s">
        <v>19</v>
      </c>
      <c r="E1410" s="11" t="s">
        <v>128</v>
      </c>
      <c r="F1410" s="11" t="str">
        <f>"2170723832 "</f>
        <v xml:space="preserve">2170723832 </v>
      </c>
      <c r="G1410" s="11" t="str">
        <f t="shared" si="42"/>
        <v>ON1</v>
      </c>
      <c r="H1410" s="11" t="s">
        <v>21</v>
      </c>
      <c r="I1410" s="11" t="s">
        <v>129</v>
      </c>
      <c r="J1410" s="11" t="str">
        <f>""</f>
        <v/>
      </c>
      <c r="K1410" s="11" t="str">
        <f>"PFES1162731227_0001"</f>
        <v>PFES1162731227_0001</v>
      </c>
      <c r="L1410" s="11">
        <v>1</v>
      </c>
      <c r="M1410" s="11">
        <v>1</v>
      </c>
    </row>
    <row r="1411" spans="1:13">
      <c r="A1411" s="6">
        <v>43845</v>
      </c>
      <c r="B1411" s="7">
        <v>0.52430555555555558</v>
      </c>
      <c r="C1411" s="11" t="str">
        <f>"FES1162731217"</f>
        <v>FES1162731217</v>
      </c>
      <c r="D1411" s="11" t="s">
        <v>19</v>
      </c>
      <c r="E1411" s="11" t="s">
        <v>588</v>
      </c>
      <c r="F1411" s="11" t="str">
        <f>"2170723819 "</f>
        <v xml:space="preserve">2170723819 </v>
      </c>
      <c r="G1411" s="11" t="str">
        <f t="shared" si="42"/>
        <v>ON1</v>
      </c>
      <c r="H1411" s="11" t="s">
        <v>21</v>
      </c>
      <c r="I1411" s="11" t="s">
        <v>408</v>
      </c>
      <c r="J1411" s="11" t="str">
        <f>""</f>
        <v/>
      </c>
      <c r="K1411" s="11" t="str">
        <f>"PFES1162731217_0001"</f>
        <v>PFES1162731217_0001</v>
      </c>
      <c r="L1411" s="11">
        <v>1</v>
      </c>
      <c r="M1411" s="11">
        <v>1</v>
      </c>
    </row>
    <row r="1412" spans="1:13">
      <c r="A1412" s="6">
        <v>43845</v>
      </c>
      <c r="B1412" s="7">
        <v>0.5229166666666667</v>
      </c>
      <c r="C1412" s="11" t="str">
        <f>"FES1162731289"</f>
        <v>FES1162731289</v>
      </c>
      <c r="D1412" s="11" t="s">
        <v>19</v>
      </c>
      <c r="E1412" s="11" t="s">
        <v>735</v>
      </c>
      <c r="F1412" s="11" t="str">
        <f>"2170723914 "</f>
        <v xml:space="preserve">2170723914 </v>
      </c>
      <c r="G1412" s="11" t="str">
        <f t="shared" si="42"/>
        <v>ON1</v>
      </c>
      <c r="H1412" s="11" t="s">
        <v>21</v>
      </c>
      <c r="I1412" s="11" t="s">
        <v>175</v>
      </c>
      <c r="J1412" s="11" t="str">
        <f>""</f>
        <v/>
      </c>
      <c r="K1412" s="11" t="str">
        <f>"PFES1162731289_0001"</f>
        <v>PFES1162731289_0001</v>
      </c>
      <c r="L1412" s="11">
        <v>1</v>
      </c>
      <c r="M1412" s="11">
        <v>3</v>
      </c>
    </row>
    <row r="1413" spans="1:13">
      <c r="A1413" s="6">
        <v>43845</v>
      </c>
      <c r="B1413" s="7">
        <v>0.5229166666666667</v>
      </c>
      <c r="C1413" s="11" t="str">
        <f>"FES1162731279"</f>
        <v>FES1162731279</v>
      </c>
      <c r="D1413" s="11" t="s">
        <v>19</v>
      </c>
      <c r="E1413" s="11" t="s">
        <v>352</v>
      </c>
      <c r="F1413" s="11" t="str">
        <f>"2170723746 "</f>
        <v xml:space="preserve">2170723746 </v>
      </c>
      <c r="G1413" s="11" t="str">
        <f t="shared" si="42"/>
        <v>ON1</v>
      </c>
      <c r="H1413" s="11" t="s">
        <v>21</v>
      </c>
      <c r="I1413" s="11" t="s">
        <v>114</v>
      </c>
      <c r="J1413" s="11" t="str">
        <f>""</f>
        <v/>
      </c>
      <c r="K1413" s="11" t="str">
        <f>"PFES1162731279_0001"</f>
        <v>PFES1162731279_0001</v>
      </c>
      <c r="L1413" s="11">
        <v>1</v>
      </c>
      <c r="M1413" s="11">
        <v>12</v>
      </c>
    </row>
    <row r="1414" spans="1:13">
      <c r="A1414" s="6">
        <v>43845</v>
      </c>
      <c r="B1414" s="7">
        <v>0.52222222222222225</v>
      </c>
      <c r="C1414" s="11" t="str">
        <f>"FES1162731213"</f>
        <v>FES1162731213</v>
      </c>
      <c r="D1414" s="11" t="s">
        <v>19</v>
      </c>
      <c r="E1414" s="11" t="s">
        <v>61</v>
      </c>
      <c r="F1414" s="11" t="str">
        <f>"2170723502 "</f>
        <v xml:space="preserve">2170723502 </v>
      </c>
      <c r="G1414" s="11" t="str">
        <f t="shared" si="42"/>
        <v>ON1</v>
      </c>
      <c r="H1414" s="11" t="s">
        <v>21</v>
      </c>
      <c r="I1414" s="11" t="s">
        <v>28</v>
      </c>
      <c r="J1414" s="11" t="str">
        <f>""</f>
        <v/>
      </c>
      <c r="K1414" s="11" t="str">
        <f>"PFES1162731213_0001"</f>
        <v>PFES1162731213_0001</v>
      </c>
      <c r="L1414" s="11">
        <v>1</v>
      </c>
      <c r="M1414" s="11">
        <v>1</v>
      </c>
    </row>
    <row r="1415" spans="1:13">
      <c r="A1415" s="6">
        <v>43845</v>
      </c>
      <c r="B1415" s="7">
        <v>0.52222222222222225</v>
      </c>
      <c r="C1415" s="11" t="str">
        <f>"FES1162731208"</f>
        <v>FES1162731208</v>
      </c>
      <c r="D1415" s="11" t="s">
        <v>19</v>
      </c>
      <c r="E1415" s="11" t="s">
        <v>147</v>
      </c>
      <c r="F1415" s="11" t="str">
        <f>"2170722765 "</f>
        <v xml:space="preserve">2170722765 </v>
      </c>
      <c r="G1415" s="11" t="str">
        <f t="shared" si="42"/>
        <v>ON1</v>
      </c>
      <c r="H1415" s="11" t="s">
        <v>21</v>
      </c>
      <c r="I1415" s="11" t="s">
        <v>148</v>
      </c>
      <c r="J1415" s="11" t="str">
        <f>""</f>
        <v/>
      </c>
      <c r="K1415" s="11" t="str">
        <f>"PFES1162731208_0001"</f>
        <v>PFES1162731208_0001</v>
      </c>
      <c r="L1415" s="11">
        <v>1</v>
      </c>
      <c r="M1415" s="11">
        <v>3</v>
      </c>
    </row>
    <row r="1416" spans="1:13">
      <c r="A1416" s="6">
        <v>43845</v>
      </c>
      <c r="B1416" s="7">
        <v>0.52222222222222225</v>
      </c>
      <c r="C1416" s="11" t="str">
        <f>"FES1162731287"</f>
        <v>FES1162731287</v>
      </c>
      <c r="D1416" s="11" t="s">
        <v>19</v>
      </c>
      <c r="E1416" s="11" t="s">
        <v>259</v>
      </c>
      <c r="F1416" s="11" t="str">
        <f>"2170723912 "</f>
        <v xml:space="preserve">2170723912 </v>
      </c>
      <c r="G1416" s="11" t="str">
        <f t="shared" si="42"/>
        <v>ON1</v>
      </c>
      <c r="H1416" s="11" t="s">
        <v>21</v>
      </c>
      <c r="I1416" s="11" t="s">
        <v>260</v>
      </c>
      <c r="J1416" s="11" t="str">
        <f>""</f>
        <v/>
      </c>
      <c r="K1416" s="11" t="str">
        <f>"PFES1162731287_0001"</f>
        <v>PFES1162731287_0001</v>
      </c>
      <c r="L1416" s="11">
        <v>1</v>
      </c>
      <c r="M1416" s="11">
        <v>4</v>
      </c>
    </row>
    <row r="1417" spans="1:13">
      <c r="A1417" s="6">
        <v>43845</v>
      </c>
      <c r="B1417" s="7">
        <v>0.52152777777777781</v>
      </c>
      <c r="C1417" s="11" t="str">
        <f>"FES1162731219"</f>
        <v>FES1162731219</v>
      </c>
      <c r="D1417" s="11" t="s">
        <v>19</v>
      </c>
      <c r="E1417" s="11" t="s">
        <v>229</v>
      </c>
      <c r="F1417" s="11" t="str">
        <f>"2170723821 "</f>
        <v xml:space="preserve">2170723821 </v>
      </c>
      <c r="G1417" s="11" t="str">
        <f t="shared" si="42"/>
        <v>ON1</v>
      </c>
      <c r="H1417" s="11" t="s">
        <v>21</v>
      </c>
      <c r="I1417" s="11" t="s">
        <v>230</v>
      </c>
      <c r="J1417" s="11" t="str">
        <f>""</f>
        <v/>
      </c>
      <c r="K1417" s="11" t="str">
        <f>"PFES1162731219_0001"</f>
        <v>PFES1162731219_0001</v>
      </c>
      <c r="L1417" s="11">
        <v>1</v>
      </c>
      <c r="M1417" s="11">
        <v>1</v>
      </c>
    </row>
    <row r="1418" spans="1:13">
      <c r="A1418" s="6">
        <v>43845</v>
      </c>
      <c r="B1418" s="7">
        <v>0.52083333333333337</v>
      </c>
      <c r="C1418" s="11" t="str">
        <f>"FES1162731210"</f>
        <v>FES1162731210</v>
      </c>
      <c r="D1418" s="11" t="s">
        <v>19</v>
      </c>
      <c r="E1418" s="11" t="s">
        <v>143</v>
      </c>
      <c r="F1418" s="11" t="str">
        <f>"2170723449 "</f>
        <v xml:space="preserve">2170723449 </v>
      </c>
      <c r="G1418" s="11" t="str">
        <f>"DBC"</f>
        <v>DBC</v>
      </c>
      <c r="H1418" s="11" t="s">
        <v>21</v>
      </c>
      <c r="I1418" s="11" t="s">
        <v>137</v>
      </c>
      <c r="J1418" s="11" t="str">
        <f>"oil"</f>
        <v>oil</v>
      </c>
      <c r="K1418" s="11" t="str">
        <f>"PFES1162731210_0001"</f>
        <v>PFES1162731210_0001</v>
      </c>
      <c r="L1418" s="11">
        <v>1</v>
      </c>
      <c r="M1418" s="11">
        <v>2</v>
      </c>
    </row>
    <row r="1419" spans="1:13">
      <c r="A1419" s="6">
        <v>43845</v>
      </c>
      <c r="B1419" s="7">
        <v>0.52083333333333337</v>
      </c>
      <c r="C1419" s="11" t="str">
        <f>"FES1162731232"</f>
        <v>FES1162731232</v>
      </c>
      <c r="D1419" s="11" t="s">
        <v>19</v>
      </c>
      <c r="E1419" s="11" t="s">
        <v>258</v>
      </c>
      <c r="F1419" s="11" t="str">
        <f>"2170723838 "</f>
        <v xml:space="preserve">2170723838 </v>
      </c>
      <c r="G1419" s="11" t="str">
        <f t="shared" ref="G1419:G1436" si="43">"ON1"</f>
        <v>ON1</v>
      </c>
      <c r="H1419" s="11" t="s">
        <v>21</v>
      </c>
      <c r="I1419" s="11" t="s">
        <v>45</v>
      </c>
      <c r="J1419" s="11" t="str">
        <f>""</f>
        <v/>
      </c>
      <c r="K1419" s="11" t="str">
        <f>"PFES1162731232_0001"</f>
        <v>PFES1162731232_0001</v>
      </c>
      <c r="L1419" s="11">
        <v>1</v>
      </c>
      <c r="M1419" s="11">
        <v>1</v>
      </c>
    </row>
    <row r="1420" spans="1:13">
      <c r="A1420" s="6">
        <v>43845</v>
      </c>
      <c r="B1420" s="7">
        <v>0.52013888888888882</v>
      </c>
      <c r="C1420" s="11" t="str">
        <f>"FES1162731309"</f>
        <v>FES1162731309</v>
      </c>
      <c r="D1420" s="11" t="s">
        <v>19</v>
      </c>
      <c r="E1420" s="11" t="s">
        <v>35</v>
      </c>
      <c r="F1420" s="11" t="str">
        <f>"2170723935 "</f>
        <v xml:space="preserve">2170723935 </v>
      </c>
      <c r="G1420" s="11" t="str">
        <f t="shared" si="43"/>
        <v>ON1</v>
      </c>
      <c r="H1420" s="11" t="s">
        <v>21</v>
      </c>
      <c r="I1420" s="11" t="s">
        <v>36</v>
      </c>
      <c r="J1420" s="11" t="str">
        <f>""</f>
        <v/>
      </c>
      <c r="K1420" s="11" t="str">
        <f>"PFES1162731309_0001"</f>
        <v>PFES1162731309_0001</v>
      </c>
      <c r="L1420" s="11">
        <v>1</v>
      </c>
      <c r="M1420" s="11">
        <v>1</v>
      </c>
    </row>
    <row r="1421" spans="1:13">
      <c r="A1421" s="6">
        <v>43845</v>
      </c>
      <c r="B1421" s="7">
        <v>0.51944444444444449</v>
      </c>
      <c r="C1421" s="11" t="str">
        <f>"FES1162731298"</f>
        <v>FES1162731298</v>
      </c>
      <c r="D1421" s="11" t="s">
        <v>19</v>
      </c>
      <c r="E1421" s="11" t="s">
        <v>279</v>
      </c>
      <c r="F1421" s="11" t="str">
        <f>"2170723930 "</f>
        <v xml:space="preserve">2170723930 </v>
      </c>
      <c r="G1421" s="11" t="str">
        <f t="shared" si="43"/>
        <v>ON1</v>
      </c>
      <c r="H1421" s="11" t="s">
        <v>21</v>
      </c>
      <c r="I1421" s="11" t="s">
        <v>69</v>
      </c>
      <c r="J1421" s="11" t="str">
        <f>""</f>
        <v/>
      </c>
      <c r="K1421" s="11" t="str">
        <f>"PFES1162731298_0001"</f>
        <v>PFES1162731298_0001</v>
      </c>
      <c r="L1421" s="11">
        <v>1</v>
      </c>
      <c r="M1421" s="11">
        <v>1</v>
      </c>
    </row>
    <row r="1422" spans="1:13">
      <c r="A1422" s="6">
        <v>43845</v>
      </c>
      <c r="B1422" s="7">
        <v>0.51874999999999993</v>
      </c>
      <c r="C1422" s="11" t="str">
        <f>"FES1162731302"</f>
        <v>FES1162731302</v>
      </c>
      <c r="D1422" s="11" t="s">
        <v>19</v>
      </c>
      <c r="E1422" s="11" t="s">
        <v>734</v>
      </c>
      <c r="F1422" s="11" t="str">
        <f>"2170723921 "</f>
        <v xml:space="preserve">2170723921 </v>
      </c>
      <c r="G1422" s="11" t="str">
        <f t="shared" si="43"/>
        <v>ON1</v>
      </c>
      <c r="H1422" s="11" t="s">
        <v>21</v>
      </c>
      <c r="I1422" s="11" t="s">
        <v>49</v>
      </c>
      <c r="J1422" s="11" t="str">
        <f>""</f>
        <v/>
      </c>
      <c r="K1422" s="11" t="str">
        <f>"PFES1162731302_0001"</f>
        <v>PFES1162731302_0001</v>
      </c>
      <c r="L1422" s="11">
        <v>1</v>
      </c>
      <c r="M1422" s="11">
        <v>1</v>
      </c>
    </row>
    <row r="1423" spans="1:13">
      <c r="A1423" s="6">
        <v>43845</v>
      </c>
      <c r="B1423" s="7">
        <v>0.4861111111111111</v>
      </c>
      <c r="C1423" s="11" t="str">
        <f>"FES1162731245"</f>
        <v>FES1162731245</v>
      </c>
      <c r="D1423" s="11" t="s">
        <v>19</v>
      </c>
      <c r="E1423" s="11" t="s">
        <v>205</v>
      </c>
      <c r="F1423" s="11" t="str">
        <f>"2170723863 "</f>
        <v xml:space="preserve">2170723863 </v>
      </c>
      <c r="G1423" s="11" t="str">
        <f t="shared" si="43"/>
        <v>ON1</v>
      </c>
      <c r="H1423" s="11" t="s">
        <v>21</v>
      </c>
      <c r="I1423" s="11" t="s">
        <v>88</v>
      </c>
      <c r="J1423" s="11" t="str">
        <f>""</f>
        <v/>
      </c>
      <c r="K1423" s="11" t="str">
        <f>"PFES1162731245_0001"</f>
        <v>PFES1162731245_0001</v>
      </c>
      <c r="L1423" s="11">
        <v>1</v>
      </c>
      <c r="M1423" s="11">
        <v>1</v>
      </c>
    </row>
    <row r="1424" spans="1:13">
      <c r="A1424" s="6">
        <v>43845</v>
      </c>
      <c r="B1424" s="7">
        <v>0.48541666666666666</v>
      </c>
      <c r="C1424" s="11" t="str">
        <f>"FES1162731209"</f>
        <v>FES1162731209</v>
      </c>
      <c r="D1424" s="11" t="s">
        <v>19</v>
      </c>
      <c r="E1424" s="11" t="s">
        <v>153</v>
      </c>
      <c r="F1424" s="11" t="str">
        <f>"2170722961 "</f>
        <v xml:space="preserve">2170722961 </v>
      </c>
      <c r="G1424" s="11" t="str">
        <f t="shared" si="43"/>
        <v>ON1</v>
      </c>
      <c r="H1424" s="11" t="s">
        <v>21</v>
      </c>
      <c r="I1424" s="11" t="s">
        <v>146</v>
      </c>
      <c r="J1424" s="11" t="str">
        <f>""</f>
        <v/>
      </c>
      <c r="K1424" s="11" t="str">
        <f>"PFES1162731209_0001"</f>
        <v>PFES1162731209_0001</v>
      </c>
      <c r="L1424" s="11">
        <v>1</v>
      </c>
      <c r="M1424" s="11">
        <v>1</v>
      </c>
    </row>
    <row r="1425" spans="1:13">
      <c r="A1425" s="6">
        <v>43845</v>
      </c>
      <c r="B1425" s="7">
        <v>0.48472222222222222</v>
      </c>
      <c r="C1425" s="11" t="str">
        <f>"FES1162731206"</f>
        <v>FES1162731206</v>
      </c>
      <c r="D1425" s="11" t="s">
        <v>19</v>
      </c>
      <c r="E1425" s="11" t="s">
        <v>159</v>
      </c>
      <c r="F1425" s="11" t="str">
        <f>"2170722618 "</f>
        <v xml:space="preserve">2170722618 </v>
      </c>
      <c r="G1425" s="11" t="str">
        <f t="shared" si="43"/>
        <v>ON1</v>
      </c>
      <c r="H1425" s="11" t="s">
        <v>21</v>
      </c>
      <c r="I1425" s="11" t="s">
        <v>83</v>
      </c>
      <c r="J1425" s="11" t="str">
        <f>""</f>
        <v/>
      </c>
      <c r="K1425" s="11" t="str">
        <f>"PFES1162731206_0001"</f>
        <v>PFES1162731206_0001</v>
      </c>
      <c r="L1425" s="11">
        <v>1</v>
      </c>
      <c r="M1425" s="11">
        <v>1</v>
      </c>
    </row>
    <row r="1426" spans="1:13">
      <c r="A1426" s="6">
        <v>43845</v>
      </c>
      <c r="B1426" s="7">
        <v>0.48402777777777778</v>
      </c>
      <c r="C1426" s="11" t="str">
        <f>"FES1162731214"</f>
        <v>FES1162731214</v>
      </c>
      <c r="D1426" s="11" t="s">
        <v>19</v>
      </c>
      <c r="E1426" s="11" t="s">
        <v>136</v>
      </c>
      <c r="F1426" s="11" t="str">
        <f>"2170723741 "</f>
        <v xml:space="preserve">2170723741 </v>
      </c>
      <c r="G1426" s="11" t="str">
        <f t="shared" si="43"/>
        <v>ON1</v>
      </c>
      <c r="H1426" s="11" t="s">
        <v>21</v>
      </c>
      <c r="I1426" s="11" t="s">
        <v>137</v>
      </c>
      <c r="J1426" s="11" t="str">
        <f>""</f>
        <v/>
      </c>
      <c r="K1426" s="11" t="str">
        <f>"PFES1162731214_0001"</f>
        <v>PFES1162731214_0001</v>
      </c>
      <c r="L1426" s="11">
        <v>1</v>
      </c>
      <c r="M1426" s="11">
        <v>1</v>
      </c>
    </row>
    <row r="1427" spans="1:13">
      <c r="A1427" s="6">
        <v>43845</v>
      </c>
      <c r="B1427" s="7">
        <v>0.4826388888888889</v>
      </c>
      <c r="C1427" s="11" t="str">
        <f>"009935712115"</f>
        <v>009935712115</v>
      </c>
      <c r="D1427" s="11" t="s">
        <v>19</v>
      </c>
      <c r="E1427" s="11" t="s">
        <v>252</v>
      </c>
      <c r="F1427" s="11" t="str">
        <f>"1162729618 "</f>
        <v xml:space="preserve">1162729618 </v>
      </c>
      <c r="G1427" s="11" t="str">
        <f t="shared" si="43"/>
        <v>ON1</v>
      </c>
      <c r="H1427" s="11" t="s">
        <v>21</v>
      </c>
      <c r="I1427" s="11" t="s">
        <v>253</v>
      </c>
      <c r="J1427" s="11" t="str">
        <f>"RE SEND PARCEL"</f>
        <v>RE SEND PARCEL</v>
      </c>
      <c r="K1427" s="11" t="str">
        <f>"P009935712115_0001"</f>
        <v>P009935712115_0001</v>
      </c>
      <c r="L1427" s="11">
        <v>1</v>
      </c>
      <c r="M1427" s="11">
        <v>1</v>
      </c>
    </row>
    <row r="1428" spans="1:13">
      <c r="A1428" s="6">
        <v>43845</v>
      </c>
      <c r="B1428" s="7">
        <v>0.48055555555555557</v>
      </c>
      <c r="C1428" s="11" t="str">
        <f>"0099357121115"</f>
        <v>0099357121115</v>
      </c>
      <c r="D1428" s="11" t="s">
        <v>19</v>
      </c>
      <c r="E1428" s="11" t="s">
        <v>252</v>
      </c>
      <c r="F1428" s="11" t="str">
        <f>"2170721784 "</f>
        <v xml:space="preserve">2170721784 </v>
      </c>
      <c r="G1428" s="11" t="str">
        <f t="shared" si="43"/>
        <v>ON1</v>
      </c>
      <c r="H1428" s="11" t="s">
        <v>21</v>
      </c>
      <c r="I1428" s="11" t="s">
        <v>253</v>
      </c>
      <c r="J1428" s="11" t="str">
        <f>""</f>
        <v/>
      </c>
      <c r="K1428" s="11" t="str">
        <f>"P0099357121115_0001"</f>
        <v>P0099357121115_0001</v>
      </c>
      <c r="L1428" s="11">
        <v>1</v>
      </c>
      <c r="M1428" s="11">
        <v>1</v>
      </c>
    </row>
    <row r="1429" spans="1:13">
      <c r="A1429" s="6">
        <v>43845</v>
      </c>
      <c r="B1429" s="7">
        <v>0.47986111111111113</v>
      </c>
      <c r="C1429" s="11" t="str">
        <f>"FES1162731202"</f>
        <v>FES1162731202</v>
      </c>
      <c r="D1429" s="11" t="s">
        <v>19</v>
      </c>
      <c r="E1429" s="11" t="s">
        <v>684</v>
      </c>
      <c r="F1429" s="11" t="str">
        <f>"2170723814 "</f>
        <v xml:space="preserve">2170723814 </v>
      </c>
      <c r="G1429" s="11" t="str">
        <f t="shared" si="43"/>
        <v>ON1</v>
      </c>
      <c r="H1429" s="11" t="s">
        <v>21</v>
      </c>
      <c r="I1429" s="11" t="s">
        <v>685</v>
      </c>
      <c r="J1429" s="11" t="str">
        <f>""</f>
        <v/>
      </c>
      <c r="K1429" s="11" t="str">
        <f>"PFES1162731202_0001"</f>
        <v>PFES1162731202_0001</v>
      </c>
      <c r="L1429" s="11">
        <v>1</v>
      </c>
      <c r="M1429" s="11">
        <v>1</v>
      </c>
    </row>
    <row r="1430" spans="1:13">
      <c r="A1430" s="6">
        <v>43845</v>
      </c>
      <c r="B1430" s="7">
        <v>0.47916666666666669</v>
      </c>
      <c r="C1430" s="11" t="str">
        <f>"FES1162731246"</f>
        <v>FES1162731246</v>
      </c>
      <c r="D1430" s="11" t="s">
        <v>19</v>
      </c>
      <c r="E1430" s="11" t="s">
        <v>670</v>
      </c>
      <c r="F1430" s="11" t="str">
        <f>"2170723865 "</f>
        <v xml:space="preserve">2170723865 </v>
      </c>
      <c r="G1430" s="11" t="str">
        <f t="shared" si="43"/>
        <v>ON1</v>
      </c>
      <c r="H1430" s="11" t="s">
        <v>21</v>
      </c>
      <c r="I1430" s="11" t="s">
        <v>528</v>
      </c>
      <c r="J1430" s="11" t="str">
        <f>""</f>
        <v/>
      </c>
      <c r="K1430" s="11" t="str">
        <f>"PFES1162731246_0001"</f>
        <v>PFES1162731246_0001</v>
      </c>
      <c r="L1430" s="11">
        <v>1</v>
      </c>
      <c r="M1430" s="11">
        <v>1</v>
      </c>
    </row>
    <row r="1431" spans="1:13">
      <c r="A1431" s="6">
        <v>43845</v>
      </c>
      <c r="B1431" s="7">
        <v>0.47847222222222219</v>
      </c>
      <c r="C1431" s="11" t="str">
        <f>"FES1162731242"</f>
        <v>FES1162731242</v>
      </c>
      <c r="D1431" s="11" t="s">
        <v>19</v>
      </c>
      <c r="E1431" s="11" t="s">
        <v>626</v>
      </c>
      <c r="F1431" s="11" t="str">
        <f>"2170723556 "</f>
        <v xml:space="preserve">2170723556 </v>
      </c>
      <c r="G1431" s="11" t="str">
        <f t="shared" si="43"/>
        <v>ON1</v>
      </c>
      <c r="H1431" s="11" t="s">
        <v>21</v>
      </c>
      <c r="I1431" s="11" t="s">
        <v>139</v>
      </c>
      <c r="J1431" s="11" t="str">
        <f>""</f>
        <v/>
      </c>
      <c r="K1431" s="11" t="str">
        <f>"PFES1162731242_0001"</f>
        <v>PFES1162731242_0001</v>
      </c>
      <c r="L1431" s="11">
        <v>1</v>
      </c>
      <c r="M1431" s="11">
        <v>1</v>
      </c>
    </row>
    <row r="1432" spans="1:13">
      <c r="A1432" s="6">
        <v>43845</v>
      </c>
      <c r="B1432" s="7">
        <v>0.4770833333333333</v>
      </c>
      <c r="C1432" s="11" t="str">
        <f>"FES1162731280"</f>
        <v>FES1162731280</v>
      </c>
      <c r="D1432" s="11" t="s">
        <v>19</v>
      </c>
      <c r="E1432" s="11" t="s">
        <v>279</v>
      </c>
      <c r="F1432" s="11" t="str">
        <f>"2170723905 "</f>
        <v xml:space="preserve">2170723905 </v>
      </c>
      <c r="G1432" s="11" t="str">
        <f t="shared" si="43"/>
        <v>ON1</v>
      </c>
      <c r="H1432" s="11" t="s">
        <v>21</v>
      </c>
      <c r="I1432" s="11" t="s">
        <v>69</v>
      </c>
      <c r="J1432" s="11" t="str">
        <f>""</f>
        <v/>
      </c>
      <c r="K1432" s="11" t="str">
        <f>"PFES1162731280_0001"</f>
        <v>PFES1162731280_0001</v>
      </c>
      <c r="L1432" s="11">
        <v>1</v>
      </c>
      <c r="M1432" s="11">
        <v>1</v>
      </c>
    </row>
    <row r="1433" spans="1:13">
      <c r="A1433" s="6">
        <v>43845</v>
      </c>
      <c r="B1433" s="7">
        <v>0.47638888888888892</v>
      </c>
      <c r="C1433" s="11" t="str">
        <f>"FES1162731231"</f>
        <v>FES1162731231</v>
      </c>
      <c r="D1433" s="11" t="s">
        <v>19</v>
      </c>
      <c r="E1433" s="11" t="s">
        <v>205</v>
      </c>
      <c r="F1433" s="11" t="str">
        <f>"2170723837 "</f>
        <v xml:space="preserve">2170723837 </v>
      </c>
      <c r="G1433" s="11" t="str">
        <f t="shared" si="43"/>
        <v>ON1</v>
      </c>
      <c r="H1433" s="11" t="s">
        <v>21</v>
      </c>
      <c r="I1433" s="11" t="s">
        <v>88</v>
      </c>
      <c r="J1433" s="11" t="str">
        <f>""</f>
        <v/>
      </c>
      <c r="K1433" s="11" t="str">
        <f>"PFES1162731231_0001"</f>
        <v>PFES1162731231_0001</v>
      </c>
      <c r="L1433" s="11">
        <v>1</v>
      </c>
      <c r="M1433" s="11">
        <v>1</v>
      </c>
    </row>
    <row r="1434" spans="1:13">
      <c r="A1434" s="6">
        <v>43845</v>
      </c>
      <c r="B1434" s="7">
        <v>0.47569444444444442</v>
      </c>
      <c r="C1434" s="11" t="str">
        <f>"FES1162731199"</f>
        <v>FES1162731199</v>
      </c>
      <c r="D1434" s="11" t="s">
        <v>19</v>
      </c>
      <c r="E1434" s="11" t="s">
        <v>232</v>
      </c>
      <c r="F1434" s="11" t="str">
        <f>"2170723807 "</f>
        <v xml:space="preserve">2170723807 </v>
      </c>
      <c r="G1434" s="11" t="str">
        <f t="shared" si="43"/>
        <v>ON1</v>
      </c>
      <c r="H1434" s="11" t="s">
        <v>21</v>
      </c>
      <c r="I1434" s="11" t="s">
        <v>247</v>
      </c>
      <c r="J1434" s="11" t="str">
        <f>""</f>
        <v/>
      </c>
      <c r="K1434" s="11" t="str">
        <f>"PFES1162731199_0001"</f>
        <v>PFES1162731199_0001</v>
      </c>
      <c r="L1434" s="11">
        <v>1</v>
      </c>
      <c r="M1434" s="11">
        <v>1</v>
      </c>
    </row>
    <row r="1435" spans="1:13">
      <c r="A1435" s="6">
        <v>43845</v>
      </c>
      <c r="B1435" s="7">
        <v>0.47500000000000003</v>
      </c>
      <c r="C1435" s="11" t="str">
        <f>"FES1162731195"</f>
        <v>FES1162731195</v>
      </c>
      <c r="D1435" s="11" t="s">
        <v>19</v>
      </c>
      <c r="E1435" s="11" t="s">
        <v>153</v>
      </c>
      <c r="F1435" s="11" t="str">
        <f>"2170723803 "</f>
        <v xml:space="preserve">2170723803 </v>
      </c>
      <c r="G1435" s="11" t="str">
        <f t="shared" si="43"/>
        <v>ON1</v>
      </c>
      <c r="H1435" s="11" t="s">
        <v>21</v>
      </c>
      <c r="I1435" s="11" t="s">
        <v>146</v>
      </c>
      <c r="J1435" s="11" t="str">
        <f>""</f>
        <v/>
      </c>
      <c r="K1435" s="11" t="str">
        <f>"PFES1162731195_0001"</f>
        <v>PFES1162731195_0001</v>
      </c>
      <c r="L1435" s="11">
        <v>1</v>
      </c>
      <c r="M1435" s="11">
        <v>1</v>
      </c>
    </row>
    <row r="1436" spans="1:13">
      <c r="A1436" s="6">
        <v>43845</v>
      </c>
      <c r="B1436" s="7">
        <v>0.47222222222222227</v>
      </c>
      <c r="C1436" s="11" t="str">
        <f>"FES1162731215"</f>
        <v>FES1162731215</v>
      </c>
      <c r="D1436" s="11" t="s">
        <v>19</v>
      </c>
      <c r="E1436" s="11" t="s">
        <v>153</v>
      </c>
      <c r="F1436" s="11" t="str">
        <f>"2170723803 "</f>
        <v xml:space="preserve">2170723803 </v>
      </c>
      <c r="G1436" s="11" t="str">
        <f t="shared" si="43"/>
        <v>ON1</v>
      </c>
      <c r="H1436" s="11" t="s">
        <v>21</v>
      </c>
      <c r="I1436" s="11" t="s">
        <v>146</v>
      </c>
      <c r="J1436" s="11" t="str">
        <f>""</f>
        <v/>
      </c>
      <c r="K1436" s="11" t="str">
        <f>"PFES1162731215_0001"</f>
        <v>PFES1162731215_0001</v>
      </c>
      <c r="L1436" s="11">
        <v>1</v>
      </c>
      <c r="M1436" s="11">
        <v>1</v>
      </c>
    </row>
    <row r="1437" spans="1:13">
      <c r="A1437" s="6">
        <v>43845</v>
      </c>
      <c r="B1437" s="7">
        <v>0.41319444444444442</v>
      </c>
      <c r="C1437" s="11" t="str">
        <f>"FES1162731256"</f>
        <v>FES1162731256</v>
      </c>
      <c r="D1437" s="11" t="s">
        <v>19</v>
      </c>
      <c r="E1437" s="11" t="s">
        <v>120</v>
      </c>
      <c r="F1437" s="11" t="str">
        <f>"2170723873 "</f>
        <v xml:space="preserve">2170723873 </v>
      </c>
      <c r="G1437" s="11" t="str">
        <f>"SDX"</f>
        <v>SDX</v>
      </c>
      <c r="H1437" s="11" t="s">
        <v>21</v>
      </c>
      <c r="I1437" s="11" t="s">
        <v>121</v>
      </c>
      <c r="J1437" s="11" t="str">
        <f>"SDX"</f>
        <v>SDX</v>
      </c>
      <c r="K1437" s="11" t="str">
        <f>"PFES1162731256_0001"</f>
        <v>PFES1162731256_0001</v>
      </c>
      <c r="L1437" s="11">
        <v>1</v>
      </c>
      <c r="M1437" s="11">
        <v>1</v>
      </c>
    </row>
    <row r="1438" spans="1:13">
      <c r="A1438" s="6">
        <v>43846</v>
      </c>
      <c r="B1438" s="7">
        <v>0.53055555555555556</v>
      </c>
      <c r="C1438" s="12" t="str">
        <f>"FES1162731403"</f>
        <v>FES1162731403</v>
      </c>
      <c r="D1438" s="12" t="s">
        <v>19</v>
      </c>
      <c r="E1438" s="12" t="s">
        <v>35</v>
      </c>
      <c r="F1438" s="12" t="str">
        <f>"2170722561 "</f>
        <v xml:space="preserve">2170722561 </v>
      </c>
      <c r="G1438" s="12" t="str">
        <f t="shared" ref="G1438:G1452" si="44">"ON1"</f>
        <v>ON1</v>
      </c>
      <c r="H1438" s="12" t="s">
        <v>21</v>
      </c>
      <c r="I1438" s="12" t="s">
        <v>36</v>
      </c>
      <c r="J1438" s="12" t="str">
        <f>""</f>
        <v/>
      </c>
      <c r="K1438" s="12" t="str">
        <f>"PFES1162731403_0001"</f>
        <v>PFES1162731403_0001</v>
      </c>
      <c r="L1438" s="12">
        <v>1</v>
      </c>
      <c r="M1438" s="12">
        <v>1</v>
      </c>
    </row>
    <row r="1439" spans="1:13">
      <c r="A1439" s="6">
        <v>43846</v>
      </c>
      <c r="B1439" s="7">
        <v>0.52986111111111112</v>
      </c>
      <c r="C1439" s="12" t="str">
        <f>"FES1162731457"</f>
        <v>FES1162731457</v>
      </c>
      <c r="D1439" s="12" t="s">
        <v>19</v>
      </c>
      <c r="E1439" s="12" t="s">
        <v>736</v>
      </c>
      <c r="F1439" s="12" t="str">
        <f>"2170722676 "</f>
        <v xml:space="preserve">2170722676 </v>
      </c>
      <c r="G1439" s="12" t="str">
        <f t="shared" si="44"/>
        <v>ON1</v>
      </c>
      <c r="H1439" s="12" t="s">
        <v>21</v>
      </c>
      <c r="I1439" s="12" t="s">
        <v>135</v>
      </c>
      <c r="J1439" s="12" t="str">
        <f>""</f>
        <v/>
      </c>
      <c r="K1439" s="12" t="str">
        <f>"PFES1162731457_0001"</f>
        <v>PFES1162731457_0001</v>
      </c>
      <c r="L1439" s="12">
        <v>1</v>
      </c>
      <c r="M1439" s="12">
        <v>1</v>
      </c>
    </row>
    <row r="1440" spans="1:13">
      <c r="A1440" s="6">
        <v>43846</v>
      </c>
      <c r="B1440" s="7">
        <v>0.52916666666666667</v>
      </c>
      <c r="C1440" s="12" t="str">
        <f>"FES1162731399"</f>
        <v>FES1162731399</v>
      </c>
      <c r="D1440" s="12" t="s">
        <v>19</v>
      </c>
      <c r="E1440" s="12" t="s">
        <v>449</v>
      </c>
      <c r="F1440" s="12" t="str">
        <f>"2170724053 "</f>
        <v xml:space="preserve">2170724053 </v>
      </c>
      <c r="G1440" s="12" t="str">
        <f t="shared" si="44"/>
        <v>ON1</v>
      </c>
      <c r="H1440" s="12" t="s">
        <v>21</v>
      </c>
      <c r="I1440" s="12" t="s">
        <v>403</v>
      </c>
      <c r="J1440" s="12" t="str">
        <f>""</f>
        <v/>
      </c>
      <c r="K1440" s="12" t="str">
        <f>"PFES1162731399_0001"</f>
        <v>PFES1162731399_0001</v>
      </c>
      <c r="L1440" s="12">
        <v>1</v>
      </c>
      <c r="M1440" s="12">
        <v>1</v>
      </c>
    </row>
    <row r="1441" spans="1:13">
      <c r="A1441" s="6">
        <v>43846</v>
      </c>
      <c r="B1441" s="7">
        <v>0.52847222222222223</v>
      </c>
      <c r="C1441" s="12" t="str">
        <f>"FES1162731473"</f>
        <v>FES1162731473</v>
      </c>
      <c r="D1441" s="12" t="s">
        <v>19</v>
      </c>
      <c r="E1441" s="12" t="s">
        <v>665</v>
      </c>
      <c r="F1441" s="12" t="str">
        <f>"2170723690 "</f>
        <v xml:space="preserve">2170723690 </v>
      </c>
      <c r="G1441" s="12" t="str">
        <f t="shared" si="44"/>
        <v>ON1</v>
      </c>
      <c r="H1441" s="12" t="s">
        <v>21</v>
      </c>
      <c r="I1441" s="12" t="s">
        <v>499</v>
      </c>
      <c r="J1441" s="12" t="str">
        <f>""</f>
        <v/>
      </c>
      <c r="K1441" s="12" t="str">
        <f>"PFES1162731473_0001"</f>
        <v>PFES1162731473_0001</v>
      </c>
      <c r="L1441" s="12">
        <v>1</v>
      </c>
      <c r="M1441" s="12">
        <v>1</v>
      </c>
    </row>
    <row r="1442" spans="1:13">
      <c r="A1442" s="6">
        <v>43846</v>
      </c>
      <c r="B1442" s="7">
        <v>0.52777777777777779</v>
      </c>
      <c r="C1442" s="12" t="str">
        <f>"FES1162731449"</f>
        <v>FES1162731449</v>
      </c>
      <c r="D1442" s="12" t="s">
        <v>19</v>
      </c>
      <c r="E1442" s="12" t="s">
        <v>35</v>
      </c>
      <c r="F1442" s="12" t="str">
        <f>"2170722561 "</f>
        <v xml:space="preserve">2170722561 </v>
      </c>
      <c r="G1442" s="12" t="str">
        <f t="shared" si="44"/>
        <v>ON1</v>
      </c>
      <c r="H1442" s="12" t="s">
        <v>21</v>
      </c>
      <c r="I1442" s="12" t="s">
        <v>36</v>
      </c>
      <c r="J1442" s="12" t="str">
        <f>""</f>
        <v/>
      </c>
      <c r="K1442" s="12" t="str">
        <f>"PFES1162731449_0001"</f>
        <v>PFES1162731449_0001</v>
      </c>
      <c r="L1442" s="12">
        <v>1</v>
      </c>
      <c r="M1442" s="12">
        <v>1</v>
      </c>
    </row>
    <row r="1443" spans="1:13">
      <c r="A1443" s="6">
        <v>43846</v>
      </c>
      <c r="B1443" s="7">
        <v>0.52777777777777779</v>
      </c>
      <c r="C1443" s="12" t="str">
        <f>"FES1162731426"</f>
        <v>FES1162731426</v>
      </c>
      <c r="D1443" s="12" t="s">
        <v>19</v>
      </c>
      <c r="E1443" s="12" t="s">
        <v>82</v>
      </c>
      <c r="F1443" s="12" t="str">
        <f>"2170720461 "</f>
        <v xml:space="preserve">2170720461 </v>
      </c>
      <c r="G1443" s="12" t="str">
        <f t="shared" si="44"/>
        <v>ON1</v>
      </c>
      <c r="H1443" s="12" t="s">
        <v>21</v>
      </c>
      <c r="I1443" s="12" t="s">
        <v>83</v>
      </c>
      <c r="J1443" s="12" t="str">
        <f>""</f>
        <v/>
      </c>
      <c r="K1443" s="12" t="str">
        <f>"PFES1162731426_0001"</f>
        <v>PFES1162731426_0001</v>
      </c>
      <c r="L1443" s="12">
        <v>1</v>
      </c>
      <c r="M1443" s="12">
        <v>1</v>
      </c>
    </row>
    <row r="1444" spans="1:13">
      <c r="A1444" s="6">
        <v>43846</v>
      </c>
      <c r="B1444" s="7">
        <v>0.52708333333333335</v>
      </c>
      <c r="C1444" s="12" t="str">
        <f>"FES1162731404"</f>
        <v>FES1162731404</v>
      </c>
      <c r="D1444" s="12" t="s">
        <v>19</v>
      </c>
      <c r="E1444" s="12" t="s">
        <v>159</v>
      </c>
      <c r="F1444" s="12" t="str">
        <f>"2170722635 "</f>
        <v xml:space="preserve">2170722635 </v>
      </c>
      <c r="G1444" s="12" t="str">
        <f t="shared" si="44"/>
        <v>ON1</v>
      </c>
      <c r="H1444" s="12" t="s">
        <v>21</v>
      </c>
      <c r="I1444" s="12" t="s">
        <v>83</v>
      </c>
      <c r="J1444" s="12" t="str">
        <f>""</f>
        <v/>
      </c>
      <c r="K1444" s="12" t="str">
        <f>"PFES1162731404_0001"</f>
        <v>PFES1162731404_0001</v>
      </c>
      <c r="L1444" s="12">
        <v>1</v>
      </c>
      <c r="M1444" s="12">
        <v>1</v>
      </c>
    </row>
    <row r="1445" spans="1:13">
      <c r="A1445" s="6">
        <v>43846</v>
      </c>
      <c r="B1445" s="7">
        <v>0.52638888888888891</v>
      </c>
      <c r="C1445" s="12" t="str">
        <f>"FES1162731518"</f>
        <v>FES1162731518</v>
      </c>
      <c r="D1445" s="12" t="s">
        <v>19</v>
      </c>
      <c r="E1445" s="12" t="s">
        <v>737</v>
      </c>
      <c r="F1445" s="12" t="str">
        <f>"2170724125 "</f>
        <v xml:space="preserve">2170724125 </v>
      </c>
      <c r="G1445" s="12" t="str">
        <f t="shared" si="44"/>
        <v>ON1</v>
      </c>
      <c r="H1445" s="12" t="s">
        <v>21</v>
      </c>
      <c r="I1445" s="12" t="s">
        <v>139</v>
      </c>
      <c r="J1445" s="12" t="str">
        <f>""</f>
        <v/>
      </c>
      <c r="K1445" s="12" t="str">
        <f>"PFES1162731518_0001"</f>
        <v>PFES1162731518_0001</v>
      </c>
      <c r="L1445" s="12">
        <v>1</v>
      </c>
      <c r="M1445" s="12">
        <v>1</v>
      </c>
    </row>
    <row r="1446" spans="1:13">
      <c r="A1446" s="6">
        <v>43846</v>
      </c>
      <c r="B1446" s="7">
        <v>0.52430555555555558</v>
      </c>
      <c r="C1446" s="12" t="str">
        <f>"FES1162731437"</f>
        <v>FES1162731437</v>
      </c>
      <c r="D1446" s="12" t="s">
        <v>19</v>
      </c>
      <c r="E1446" s="12" t="s">
        <v>147</v>
      </c>
      <c r="F1446" s="12" t="str">
        <f>"2170722435 "</f>
        <v xml:space="preserve">2170722435 </v>
      </c>
      <c r="G1446" s="12" t="str">
        <f t="shared" si="44"/>
        <v>ON1</v>
      </c>
      <c r="H1446" s="12" t="s">
        <v>21</v>
      </c>
      <c r="I1446" s="12" t="s">
        <v>148</v>
      </c>
      <c r="J1446" s="12" t="str">
        <f>""</f>
        <v/>
      </c>
      <c r="K1446" s="12" t="str">
        <f>"PFES1162731437_0001"</f>
        <v>PFES1162731437_0001</v>
      </c>
      <c r="L1446" s="12">
        <v>1</v>
      </c>
      <c r="M1446" s="12">
        <v>1</v>
      </c>
    </row>
    <row r="1447" spans="1:13">
      <c r="A1447" s="6">
        <v>43846</v>
      </c>
      <c r="B1447" s="7">
        <v>0.52430555555555558</v>
      </c>
      <c r="C1447" s="12" t="str">
        <f>"FES1162731479"</f>
        <v>FES1162731479</v>
      </c>
      <c r="D1447" s="12" t="s">
        <v>19</v>
      </c>
      <c r="E1447" s="12" t="s">
        <v>478</v>
      </c>
      <c r="F1447" s="12" t="str">
        <f>"2170724074 "</f>
        <v xml:space="preserve">2170724074 </v>
      </c>
      <c r="G1447" s="12" t="str">
        <f t="shared" si="44"/>
        <v>ON1</v>
      </c>
      <c r="H1447" s="12" t="s">
        <v>21</v>
      </c>
      <c r="I1447" s="12" t="s">
        <v>277</v>
      </c>
      <c r="J1447" s="12" t="str">
        <f>""</f>
        <v/>
      </c>
      <c r="K1447" s="12" t="str">
        <f>"PFES1162731479_0001"</f>
        <v>PFES1162731479_0001</v>
      </c>
      <c r="L1447" s="12">
        <v>1</v>
      </c>
      <c r="M1447" s="12">
        <v>1</v>
      </c>
    </row>
    <row r="1448" spans="1:13">
      <c r="A1448" s="6">
        <v>43846</v>
      </c>
      <c r="B1448" s="7">
        <v>0.52361111111111114</v>
      </c>
      <c r="C1448" s="12" t="str">
        <f>"FES1162731536"</f>
        <v>FES1162731536</v>
      </c>
      <c r="D1448" s="12" t="s">
        <v>19</v>
      </c>
      <c r="E1448" s="12" t="s">
        <v>738</v>
      </c>
      <c r="F1448" s="12" t="str">
        <f>"2170724152 "</f>
        <v xml:space="preserve">2170724152 </v>
      </c>
      <c r="G1448" s="12" t="str">
        <f t="shared" si="44"/>
        <v>ON1</v>
      </c>
      <c r="H1448" s="12" t="s">
        <v>21</v>
      </c>
      <c r="I1448" s="12" t="s">
        <v>49</v>
      </c>
      <c r="J1448" s="12" t="str">
        <f>""</f>
        <v/>
      </c>
      <c r="K1448" s="12" t="str">
        <f>"PFES1162731536_0001"</f>
        <v>PFES1162731536_0001</v>
      </c>
      <c r="L1448" s="12">
        <v>1</v>
      </c>
      <c r="M1448" s="12">
        <v>1</v>
      </c>
    </row>
    <row r="1449" spans="1:13">
      <c r="A1449" s="6">
        <v>43846</v>
      </c>
      <c r="B1449" s="7">
        <v>0.5229166666666667</v>
      </c>
      <c r="C1449" s="12" t="str">
        <f>"FES1162731524"</f>
        <v>FES1162731524</v>
      </c>
      <c r="D1449" s="12" t="s">
        <v>19</v>
      </c>
      <c r="E1449" s="12" t="s">
        <v>205</v>
      </c>
      <c r="F1449" s="12" t="str">
        <f>"2170724137 "</f>
        <v xml:space="preserve">2170724137 </v>
      </c>
      <c r="G1449" s="12" t="str">
        <f t="shared" si="44"/>
        <v>ON1</v>
      </c>
      <c r="H1449" s="12" t="s">
        <v>21</v>
      </c>
      <c r="I1449" s="12" t="s">
        <v>88</v>
      </c>
      <c r="J1449" s="12" t="str">
        <f>""</f>
        <v/>
      </c>
      <c r="K1449" s="12" t="str">
        <f>"PFES1162731524_0001"</f>
        <v>PFES1162731524_0001</v>
      </c>
      <c r="L1449" s="12">
        <v>1</v>
      </c>
      <c r="M1449" s="12">
        <v>3</v>
      </c>
    </row>
    <row r="1450" spans="1:13">
      <c r="A1450" s="6">
        <v>43846</v>
      </c>
      <c r="B1450" s="7">
        <v>0.5229166666666667</v>
      </c>
      <c r="C1450" s="12" t="str">
        <f>"FES1162731505"</f>
        <v>FES1162731505</v>
      </c>
      <c r="D1450" s="12" t="s">
        <v>19</v>
      </c>
      <c r="E1450" s="12" t="s">
        <v>134</v>
      </c>
      <c r="F1450" s="12" t="str">
        <f>"2170724106 "</f>
        <v xml:space="preserve">2170724106 </v>
      </c>
      <c r="G1450" s="12" t="str">
        <f t="shared" si="44"/>
        <v>ON1</v>
      </c>
      <c r="H1450" s="12" t="s">
        <v>21</v>
      </c>
      <c r="I1450" s="12" t="s">
        <v>135</v>
      </c>
      <c r="J1450" s="12" t="str">
        <f>""</f>
        <v/>
      </c>
      <c r="K1450" s="12" t="str">
        <f>"PFES1162731505_0001"</f>
        <v>PFES1162731505_0001</v>
      </c>
      <c r="L1450" s="12">
        <v>1</v>
      </c>
      <c r="M1450" s="12">
        <v>1</v>
      </c>
    </row>
    <row r="1451" spans="1:13">
      <c r="A1451" s="6">
        <v>43846</v>
      </c>
      <c r="B1451" s="7">
        <v>0.52222222222222225</v>
      </c>
      <c r="C1451" s="12" t="str">
        <f>"FES1162731455"</f>
        <v>FES1162731455</v>
      </c>
      <c r="D1451" s="12" t="s">
        <v>19</v>
      </c>
      <c r="E1451" s="12" t="s">
        <v>101</v>
      </c>
      <c r="F1451" s="12" t="str">
        <f>"2170722648 "</f>
        <v xml:space="preserve">2170722648 </v>
      </c>
      <c r="G1451" s="12" t="str">
        <f t="shared" si="44"/>
        <v>ON1</v>
      </c>
      <c r="H1451" s="12" t="s">
        <v>21</v>
      </c>
      <c r="I1451" s="12" t="s">
        <v>102</v>
      </c>
      <c r="J1451" s="12" t="str">
        <f>""</f>
        <v/>
      </c>
      <c r="K1451" s="12" t="str">
        <f>"PFES1162731455_0001"</f>
        <v>PFES1162731455_0001</v>
      </c>
      <c r="L1451" s="12">
        <v>1</v>
      </c>
      <c r="M1451" s="12">
        <v>8</v>
      </c>
    </row>
    <row r="1452" spans="1:13">
      <c r="A1452" s="6">
        <v>43846</v>
      </c>
      <c r="B1452" s="7">
        <v>0.52222222222222225</v>
      </c>
      <c r="C1452" s="12" t="str">
        <f>"FES1162731463"</f>
        <v>FES1162731463</v>
      </c>
      <c r="D1452" s="12" t="s">
        <v>19</v>
      </c>
      <c r="E1452" s="12" t="s">
        <v>46</v>
      </c>
      <c r="F1452" s="12" t="str">
        <f>"2170722714 "</f>
        <v xml:space="preserve">2170722714 </v>
      </c>
      <c r="G1452" s="12" t="str">
        <f t="shared" si="44"/>
        <v>ON1</v>
      </c>
      <c r="H1452" s="12" t="s">
        <v>21</v>
      </c>
      <c r="I1452" s="12" t="s">
        <v>47</v>
      </c>
      <c r="J1452" s="12" t="str">
        <f>""</f>
        <v/>
      </c>
      <c r="K1452" s="12" t="str">
        <f>"PFES1162731463_0001"</f>
        <v>PFES1162731463_0001</v>
      </c>
      <c r="L1452" s="12">
        <v>1</v>
      </c>
      <c r="M1452" s="12">
        <v>1</v>
      </c>
    </row>
    <row r="1453" spans="1:13">
      <c r="A1453" s="6">
        <v>43846</v>
      </c>
      <c r="B1453" s="7">
        <v>0.52222222222222225</v>
      </c>
      <c r="C1453" s="12" t="str">
        <f>"FES1162731534"</f>
        <v>FES1162731534</v>
      </c>
      <c r="D1453" s="12" t="s">
        <v>19</v>
      </c>
      <c r="E1453" s="12" t="s">
        <v>739</v>
      </c>
      <c r="F1453" s="12" t="str">
        <f>"2170724149 "</f>
        <v xml:space="preserve">2170724149 </v>
      </c>
      <c r="G1453" s="12" t="str">
        <f>"DBC"</f>
        <v>DBC</v>
      </c>
      <c r="H1453" s="12" t="s">
        <v>21</v>
      </c>
      <c r="I1453" s="12" t="s">
        <v>740</v>
      </c>
      <c r="J1453" s="12" t="str">
        <f>"OIL"</f>
        <v>OIL</v>
      </c>
      <c r="K1453" s="12" t="str">
        <f>"PFES1162731534_0001"</f>
        <v>PFES1162731534_0001</v>
      </c>
      <c r="L1453" s="12">
        <v>1</v>
      </c>
      <c r="M1453" s="12">
        <v>5</v>
      </c>
    </row>
    <row r="1454" spans="1:13">
      <c r="A1454" s="6">
        <v>43846</v>
      </c>
      <c r="B1454" s="7">
        <v>0.52152777777777781</v>
      </c>
      <c r="C1454" s="12" t="str">
        <f>"FES1162731539"</f>
        <v>FES1162731539</v>
      </c>
      <c r="D1454" s="12" t="s">
        <v>19</v>
      </c>
      <c r="E1454" s="12" t="s">
        <v>46</v>
      </c>
      <c r="F1454" s="12" t="str">
        <f>"2170724155 "</f>
        <v xml:space="preserve">2170724155 </v>
      </c>
      <c r="G1454" s="12" t="str">
        <f t="shared" ref="G1454:G1514" si="45">"ON1"</f>
        <v>ON1</v>
      </c>
      <c r="H1454" s="12" t="s">
        <v>21</v>
      </c>
      <c r="I1454" s="12" t="s">
        <v>47</v>
      </c>
      <c r="J1454" s="12" t="str">
        <f>""</f>
        <v/>
      </c>
      <c r="K1454" s="12" t="str">
        <f>"PFES1162731539_0001"</f>
        <v>PFES1162731539_0001</v>
      </c>
      <c r="L1454" s="12">
        <v>1</v>
      </c>
      <c r="M1454" s="12">
        <v>9</v>
      </c>
    </row>
    <row r="1455" spans="1:13">
      <c r="A1455" s="6">
        <v>43846</v>
      </c>
      <c r="B1455" s="7">
        <v>0.52083333333333337</v>
      </c>
      <c r="C1455" s="12" t="str">
        <f>"FES1162731526"</f>
        <v>FES1162731526</v>
      </c>
      <c r="D1455" s="12" t="s">
        <v>19</v>
      </c>
      <c r="E1455" s="12" t="s">
        <v>643</v>
      </c>
      <c r="F1455" s="12" t="str">
        <f>"2170724139 "</f>
        <v xml:space="preserve">2170724139 </v>
      </c>
      <c r="G1455" s="12" t="str">
        <f t="shared" si="45"/>
        <v>ON1</v>
      </c>
      <c r="H1455" s="12" t="s">
        <v>21</v>
      </c>
      <c r="I1455" s="12" t="s">
        <v>644</v>
      </c>
      <c r="J1455" s="12" t="str">
        <f>""</f>
        <v/>
      </c>
      <c r="K1455" s="12" t="str">
        <f>"PFES1162731526_0001"</f>
        <v>PFES1162731526_0001</v>
      </c>
      <c r="L1455" s="12">
        <v>1</v>
      </c>
      <c r="M1455" s="12">
        <v>2</v>
      </c>
    </row>
    <row r="1456" spans="1:13">
      <c r="A1456" s="6">
        <v>43846</v>
      </c>
      <c r="B1456" s="7">
        <v>0.52083333333333337</v>
      </c>
      <c r="C1456" s="12" t="str">
        <f>"FES1162731406"</f>
        <v>FES1162731406</v>
      </c>
      <c r="D1456" s="12" t="s">
        <v>19</v>
      </c>
      <c r="E1456" s="12" t="s">
        <v>46</v>
      </c>
      <c r="F1456" s="12" t="str">
        <f>"2170722714 "</f>
        <v xml:space="preserve">2170722714 </v>
      </c>
      <c r="G1456" s="12" t="str">
        <f t="shared" si="45"/>
        <v>ON1</v>
      </c>
      <c r="H1456" s="12" t="s">
        <v>21</v>
      </c>
      <c r="I1456" s="12" t="s">
        <v>47</v>
      </c>
      <c r="J1456" s="12" t="str">
        <f>""</f>
        <v/>
      </c>
      <c r="K1456" s="12" t="str">
        <f>"PFES1162731406_0001"</f>
        <v>PFES1162731406_0001</v>
      </c>
      <c r="L1456" s="12">
        <v>1</v>
      </c>
      <c r="M1456" s="12">
        <v>1</v>
      </c>
    </row>
    <row r="1457" spans="1:13">
      <c r="A1457" s="6">
        <v>43846</v>
      </c>
      <c r="B1457" s="7">
        <v>0.52083333333333337</v>
      </c>
      <c r="C1457" s="12" t="str">
        <f>"FES1162731508"</f>
        <v>FES1162731508</v>
      </c>
      <c r="D1457" s="12" t="s">
        <v>19</v>
      </c>
      <c r="E1457" s="12" t="s">
        <v>199</v>
      </c>
      <c r="F1457" s="12" t="str">
        <f>"2170724112 "</f>
        <v xml:space="preserve">2170724112 </v>
      </c>
      <c r="G1457" s="12" t="str">
        <f t="shared" si="45"/>
        <v>ON1</v>
      </c>
      <c r="H1457" s="12" t="s">
        <v>21</v>
      </c>
      <c r="I1457" s="12" t="s">
        <v>200</v>
      </c>
      <c r="J1457" s="12" t="str">
        <f>""</f>
        <v/>
      </c>
      <c r="K1457" s="12" t="str">
        <f>"PFES1162731508_0001"</f>
        <v>PFES1162731508_0001</v>
      </c>
      <c r="L1457" s="12">
        <v>1</v>
      </c>
      <c r="M1457" s="12">
        <v>3</v>
      </c>
    </row>
    <row r="1458" spans="1:13">
      <c r="A1458" s="6">
        <v>43846</v>
      </c>
      <c r="B1458" s="7">
        <v>0.52013888888888882</v>
      </c>
      <c r="C1458" s="12" t="str">
        <f>"FES1162731483"</f>
        <v>FES1162731483</v>
      </c>
      <c r="D1458" s="12" t="s">
        <v>19</v>
      </c>
      <c r="E1458" s="12" t="s">
        <v>101</v>
      </c>
      <c r="F1458" s="12" t="str">
        <f>"2170724079 "</f>
        <v xml:space="preserve">2170724079 </v>
      </c>
      <c r="G1458" s="12" t="str">
        <f t="shared" si="45"/>
        <v>ON1</v>
      </c>
      <c r="H1458" s="12" t="s">
        <v>21</v>
      </c>
      <c r="I1458" s="12" t="s">
        <v>102</v>
      </c>
      <c r="J1458" s="12" t="str">
        <f>""</f>
        <v/>
      </c>
      <c r="K1458" s="12" t="str">
        <f>"PFES1162731483_0001"</f>
        <v>PFES1162731483_0001</v>
      </c>
      <c r="L1458" s="12">
        <v>1</v>
      </c>
      <c r="M1458" s="12">
        <v>1</v>
      </c>
    </row>
    <row r="1459" spans="1:13">
      <c r="A1459" s="6">
        <v>43846</v>
      </c>
      <c r="B1459" s="7">
        <v>0.52013888888888882</v>
      </c>
      <c r="C1459" s="12" t="str">
        <f>"FES1162731443"</f>
        <v>FES1162731443</v>
      </c>
      <c r="D1459" s="12" t="s">
        <v>19</v>
      </c>
      <c r="E1459" s="12" t="s">
        <v>352</v>
      </c>
      <c r="F1459" s="12" t="str">
        <f>"2170722464 "</f>
        <v xml:space="preserve">2170722464 </v>
      </c>
      <c r="G1459" s="12" t="str">
        <f t="shared" si="45"/>
        <v>ON1</v>
      </c>
      <c r="H1459" s="12" t="s">
        <v>21</v>
      </c>
      <c r="I1459" s="12" t="s">
        <v>114</v>
      </c>
      <c r="J1459" s="12" t="str">
        <f>""</f>
        <v/>
      </c>
      <c r="K1459" s="12" t="str">
        <f>"PFES1162731443_0001"</f>
        <v>PFES1162731443_0001</v>
      </c>
      <c r="L1459" s="12">
        <v>1</v>
      </c>
      <c r="M1459" s="12">
        <v>1</v>
      </c>
    </row>
    <row r="1460" spans="1:13">
      <c r="A1460" s="6">
        <v>43846</v>
      </c>
      <c r="B1460" s="7">
        <v>0.51944444444444449</v>
      </c>
      <c r="C1460" s="12" t="str">
        <f>"FES1162731469"</f>
        <v>FES1162731469</v>
      </c>
      <c r="D1460" s="12" t="s">
        <v>19</v>
      </c>
      <c r="E1460" s="12" t="s">
        <v>741</v>
      </c>
      <c r="F1460" s="12" t="str">
        <f>"2170722898 "</f>
        <v xml:space="preserve">2170722898 </v>
      </c>
      <c r="G1460" s="12" t="str">
        <f t="shared" si="45"/>
        <v>ON1</v>
      </c>
      <c r="H1460" s="12" t="s">
        <v>21</v>
      </c>
      <c r="I1460" s="12" t="s">
        <v>34</v>
      </c>
      <c r="J1460" s="12" t="str">
        <f>""</f>
        <v/>
      </c>
      <c r="K1460" s="12" t="str">
        <f>"PFES1162731469_0001"</f>
        <v>PFES1162731469_0001</v>
      </c>
      <c r="L1460" s="12">
        <v>1</v>
      </c>
      <c r="M1460" s="12">
        <v>2</v>
      </c>
    </row>
    <row r="1461" spans="1:13">
      <c r="A1461" s="6">
        <v>43846</v>
      </c>
      <c r="B1461" s="7">
        <v>0.51944444444444449</v>
      </c>
      <c r="C1461" s="12" t="str">
        <f>"FES1162731453"</f>
        <v>FES1162731453</v>
      </c>
      <c r="D1461" s="12" t="s">
        <v>19</v>
      </c>
      <c r="E1461" s="12" t="s">
        <v>159</v>
      </c>
      <c r="F1461" s="12" t="str">
        <f>"2170722635 "</f>
        <v xml:space="preserve">2170722635 </v>
      </c>
      <c r="G1461" s="12" t="str">
        <f t="shared" si="45"/>
        <v>ON1</v>
      </c>
      <c r="H1461" s="12" t="s">
        <v>21</v>
      </c>
      <c r="I1461" s="12" t="s">
        <v>83</v>
      </c>
      <c r="J1461" s="12" t="str">
        <f>""</f>
        <v/>
      </c>
      <c r="K1461" s="12" t="str">
        <f>"PFES1162731453_0001"</f>
        <v>PFES1162731453_0001</v>
      </c>
      <c r="L1461" s="12">
        <v>1</v>
      </c>
      <c r="M1461" s="12">
        <v>1</v>
      </c>
    </row>
    <row r="1462" spans="1:13">
      <c r="A1462" s="6">
        <v>43846</v>
      </c>
      <c r="B1462" s="7">
        <v>0.51944444444444449</v>
      </c>
      <c r="C1462" s="12" t="str">
        <f>"FES1162731495"</f>
        <v>FES1162731495</v>
      </c>
      <c r="D1462" s="12" t="s">
        <v>19</v>
      </c>
      <c r="E1462" s="12" t="s">
        <v>664</v>
      </c>
      <c r="F1462" s="12" t="str">
        <f>"2170724093 "</f>
        <v xml:space="preserve">2170724093 </v>
      </c>
      <c r="G1462" s="12" t="str">
        <f t="shared" si="45"/>
        <v>ON1</v>
      </c>
      <c r="H1462" s="12" t="s">
        <v>21</v>
      </c>
      <c r="I1462" s="12" t="s">
        <v>137</v>
      </c>
      <c r="J1462" s="12" t="str">
        <f>""</f>
        <v/>
      </c>
      <c r="K1462" s="12" t="str">
        <f>"PFES1162731495_0001"</f>
        <v>PFES1162731495_0001</v>
      </c>
      <c r="L1462" s="12">
        <v>1</v>
      </c>
      <c r="M1462" s="12">
        <v>5</v>
      </c>
    </row>
    <row r="1463" spans="1:13">
      <c r="A1463" s="6">
        <v>43846</v>
      </c>
      <c r="B1463" s="7">
        <v>0.51874999999999993</v>
      </c>
      <c r="C1463" s="12" t="str">
        <f>"FES1162731435"</f>
        <v>FES1162731435</v>
      </c>
      <c r="D1463" s="12" t="s">
        <v>19</v>
      </c>
      <c r="E1463" s="12" t="s">
        <v>147</v>
      </c>
      <c r="F1463" s="12" t="str">
        <f>"2170722430 "</f>
        <v xml:space="preserve">2170722430 </v>
      </c>
      <c r="G1463" s="12" t="str">
        <f t="shared" si="45"/>
        <v>ON1</v>
      </c>
      <c r="H1463" s="12" t="s">
        <v>21</v>
      </c>
      <c r="I1463" s="12" t="s">
        <v>148</v>
      </c>
      <c r="J1463" s="12" t="str">
        <f>""</f>
        <v/>
      </c>
      <c r="K1463" s="12" t="str">
        <f>"PFES1162731435_0001"</f>
        <v>PFES1162731435_0001</v>
      </c>
      <c r="L1463" s="12">
        <v>1</v>
      </c>
      <c r="M1463" s="12">
        <v>1</v>
      </c>
    </row>
    <row r="1464" spans="1:13">
      <c r="A1464" s="6">
        <v>43846</v>
      </c>
      <c r="B1464" s="7">
        <v>0.5180555555555556</v>
      </c>
      <c r="C1464" s="12" t="str">
        <f>"FES1162731476"</f>
        <v>FES1162731476</v>
      </c>
      <c r="D1464" s="12" t="s">
        <v>19</v>
      </c>
      <c r="E1464" s="12" t="s">
        <v>712</v>
      </c>
      <c r="F1464" s="12" t="str">
        <f>"2170723977 "</f>
        <v xml:space="preserve">2170723977 </v>
      </c>
      <c r="G1464" s="12" t="str">
        <f t="shared" si="45"/>
        <v>ON1</v>
      </c>
      <c r="H1464" s="12" t="s">
        <v>21</v>
      </c>
      <c r="I1464" s="12" t="s">
        <v>713</v>
      </c>
      <c r="J1464" s="12" t="str">
        <f>""</f>
        <v/>
      </c>
      <c r="K1464" s="12" t="str">
        <f>"PFES1162731476_0001"</f>
        <v>PFES1162731476_0001</v>
      </c>
      <c r="L1464" s="12">
        <v>1</v>
      </c>
      <c r="M1464" s="12">
        <v>1</v>
      </c>
    </row>
    <row r="1465" spans="1:13">
      <c r="A1465" s="6">
        <v>43846</v>
      </c>
      <c r="B1465" s="7">
        <v>0.51736111111111105</v>
      </c>
      <c r="C1465" s="12" t="str">
        <f>"FES1162731511"</f>
        <v>FES1162731511</v>
      </c>
      <c r="D1465" s="12" t="s">
        <v>19</v>
      </c>
      <c r="E1465" s="12" t="s">
        <v>490</v>
      </c>
      <c r="F1465" s="12" t="str">
        <f>"2170724116 "</f>
        <v xml:space="preserve">2170724116 </v>
      </c>
      <c r="G1465" s="12" t="str">
        <f t="shared" si="45"/>
        <v>ON1</v>
      </c>
      <c r="H1465" s="12" t="s">
        <v>21</v>
      </c>
      <c r="I1465" s="12" t="s">
        <v>146</v>
      </c>
      <c r="J1465" s="12" t="str">
        <f>""</f>
        <v/>
      </c>
      <c r="K1465" s="12" t="str">
        <f>"PFES1162731511_0001"</f>
        <v>PFES1162731511_0001</v>
      </c>
      <c r="L1465" s="12">
        <v>1</v>
      </c>
      <c r="M1465" s="12">
        <v>1</v>
      </c>
    </row>
    <row r="1466" spans="1:13">
      <c r="A1466" s="6">
        <v>43846</v>
      </c>
      <c r="B1466" s="7">
        <v>0.51666666666666672</v>
      </c>
      <c r="C1466" s="12" t="str">
        <f>"FES1162731413"</f>
        <v>FES1162731413</v>
      </c>
      <c r="D1466" s="12" t="s">
        <v>19</v>
      </c>
      <c r="E1466" s="12" t="s">
        <v>101</v>
      </c>
      <c r="F1466" s="12" t="str">
        <f>"2170724057 "</f>
        <v xml:space="preserve">2170724057 </v>
      </c>
      <c r="G1466" s="12" t="str">
        <f t="shared" si="45"/>
        <v>ON1</v>
      </c>
      <c r="H1466" s="12" t="s">
        <v>21</v>
      </c>
      <c r="I1466" s="12" t="s">
        <v>102</v>
      </c>
      <c r="J1466" s="12" t="str">
        <f>""</f>
        <v/>
      </c>
      <c r="K1466" s="12" t="str">
        <f>"PFES1162731413_0001"</f>
        <v>PFES1162731413_0001</v>
      </c>
      <c r="L1466" s="12">
        <v>1</v>
      </c>
      <c r="M1466" s="12">
        <v>1</v>
      </c>
    </row>
    <row r="1467" spans="1:13">
      <c r="A1467" s="6">
        <v>43846</v>
      </c>
      <c r="B1467" s="7">
        <v>0.51597222222222217</v>
      </c>
      <c r="C1467" s="12" t="str">
        <f>"FES1162731519"</f>
        <v>FES1162731519</v>
      </c>
      <c r="D1467" s="12" t="s">
        <v>19</v>
      </c>
      <c r="E1467" s="12" t="s">
        <v>742</v>
      </c>
      <c r="F1467" s="12" t="str">
        <f>"2170724126 "</f>
        <v xml:space="preserve">2170724126 </v>
      </c>
      <c r="G1467" s="12" t="str">
        <f t="shared" si="45"/>
        <v>ON1</v>
      </c>
      <c r="H1467" s="12" t="s">
        <v>21</v>
      </c>
      <c r="I1467" s="12" t="s">
        <v>743</v>
      </c>
      <c r="J1467" s="12" t="str">
        <f>""</f>
        <v/>
      </c>
      <c r="K1467" s="12" t="str">
        <f>"PFES1162731519_0001"</f>
        <v>PFES1162731519_0001</v>
      </c>
      <c r="L1467" s="12">
        <v>1</v>
      </c>
      <c r="M1467" s="12">
        <v>1</v>
      </c>
    </row>
    <row r="1468" spans="1:13">
      <c r="A1468" s="6">
        <v>43846</v>
      </c>
      <c r="B1468" s="7">
        <v>0.5131944444444444</v>
      </c>
      <c r="C1468" s="12" t="str">
        <f>"FES1162731475"</f>
        <v>FES1162731475</v>
      </c>
      <c r="D1468" s="12" t="s">
        <v>19</v>
      </c>
      <c r="E1468" s="12" t="s">
        <v>712</v>
      </c>
      <c r="F1468" s="12" t="str">
        <f>"2170723975 "</f>
        <v xml:space="preserve">2170723975 </v>
      </c>
      <c r="G1468" s="12" t="str">
        <f t="shared" si="45"/>
        <v>ON1</v>
      </c>
      <c r="H1468" s="12" t="s">
        <v>21</v>
      </c>
      <c r="I1468" s="12" t="s">
        <v>713</v>
      </c>
      <c r="J1468" s="12" t="str">
        <f>""</f>
        <v/>
      </c>
      <c r="K1468" s="12" t="str">
        <f>"PFES1162731475_0001"</f>
        <v>PFES1162731475_0001</v>
      </c>
      <c r="L1468" s="12">
        <v>1</v>
      </c>
      <c r="M1468" s="12">
        <v>1</v>
      </c>
    </row>
    <row r="1469" spans="1:13">
      <c r="A1469" s="6">
        <v>43846</v>
      </c>
      <c r="B1469" s="7">
        <v>0.51250000000000007</v>
      </c>
      <c r="C1469" s="12" t="str">
        <f>"FES1162731482"</f>
        <v>FES1162731482</v>
      </c>
      <c r="D1469" s="12" t="s">
        <v>19</v>
      </c>
      <c r="E1469" s="12" t="s">
        <v>101</v>
      </c>
      <c r="F1469" s="12" t="str">
        <f>"2170724078 "</f>
        <v xml:space="preserve">2170724078 </v>
      </c>
      <c r="G1469" s="12" t="str">
        <f t="shared" si="45"/>
        <v>ON1</v>
      </c>
      <c r="H1469" s="12" t="s">
        <v>21</v>
      </c>
      <c r="I1469" s="12" t="s">
        <v>102</v>
      </c>
      <c r="J1469" s="12" t="str">
        <f>""</f>
        <v/>
      </c>
      <c r="K1469" s="12" t="str">
        <f>"PFES1162731482_0001"</f>
        <v>PFES1162731482_0001</v>
      </c>
      <c r="L1469" s="12">
        <v>1</v>
      </c>
      <c r="M1469" s="12">
        <v>1</v>
      </c>
    </row>
    <row r="1470" spans="1:13">
      <c r="A1470" s="6">
        <v>43846</v>
      </c>
      <c r="B1470" s="7">
        <v>0.51111111111111118</v>
      </c>
      <c r="C1470" s="12" t="str">
        <f>"FES1162731451"</f>
        <v>FES1162731451</v>
      </c>
      <c r="D1470" s="12" t="s">
        <v>19</v>
      </c>
      <c r="E1470" s="12" t="s">
        <v>248</v>
      </c>
      <c r="F1470" s="12" t="str">
        <f>"2170722575 "</f>
        <v xml:space="preserve">2170722575 </v>
      </c>
      <c r="G1470" s="12" t="str">
        <f t="shared" si="45"/>
        <v>ON1</v>
      </c>
      <c r="H1470" s="12" t="s">
        <v>21</v>
      </c>
      <c r="I1470" s="12" t="s">
        <v>209</v>
      </c>
      <c r="J1470" s="12" t="str">
        <f>""</f>
        <v/>
      </c>
      <c r="K1470" s="12" t="str">
        <f>"PFES1162731451_0001"</f>
        <v>PFES1162731451_0001</v>
      </c>
      <c r="L1470" s="12">
        <v>1</v>
      </c>
      <c r="M1470" s="12">
        <v>1</v>
      </c>
    </row>
    <row r="1471" spans="1:13">
      <c r="A1471" s="6">
        <v>43846</v>
      </c>
      <c r="B1471" s="7">
        <v>0.51041666666666663</v>
      </c>
      <c r="C1471" s="12" t="str">
        <f>"FES1162731478"</f>
        <v>FES1162731478</v>
      </c>
      <c r="D1471" s="12" t="s">
        <v>19</v>
      </c>
      <c r="E1471" s="12" t="s">
        <v>603</v>
      </c>
      <c r="F1471" s="12" t="str">
        <f>"2170724072 "</f>
        <v xml:space="preserve">2170724072 </v>
      </c>
      <c r="G1471" s="12" t="str">
        <f t="shared" si="45"/>
        <v>ON1</v>
      </c>
      <c r="H1471" s="12" t="s">
        <v>21</v>
      </c>
      <c r="I1471" s="12" t="s">
        <v>604</v>
      </c>
      <c r="J1471" s="12" t="str">
        <f>""</f>
        <v/>
      </c>
      <c r="K1471" s="12" t="str">
        <f>"PFES1162731478_0001"</f>
        <v>PFES1162731478_0001</v>
      </c>
      <c r="L1471" s="12">
        <v>1</v>
      </c>
      <c r="M1471" s="12">
        <v>1</v>
      </c>
    </row>
    <row r="1472" spans="1:13">
      <c r="A1472" s="6">
        <v>43846</v>
      </c>
      <c r="B1472" s="7">
        <v>0.50972222222222219</v>
      </c>
      <c r="C1472" s="12" t="str">
        <f>"FES1162731440"</f>
        <v>FES1162731440</v>
      </c>
      <c r="D1472" s="12" t="s">
        <v>19</v>
      </c>
      <c r="E1472" s="12" t="s">
        <v>623</v>
      </c>
      <c r="F1472" s="12" t="str">
        <f>"2170722458 "</f>
        <v xml:space="preserve">2170722458 </v>
      </c>
      <c r="G1472" s="12" t="str">
        <f t="shared" si="45"/>
        <v>ON1</v>
      </c>
      <c r="H1472" s="12" t="s">
        <v>21</v>
      </c>
      <c r="I1472" s="12" t="s">
        <v>96</v>
      </c>
      <c r="J1472" s="12" t="str">
        <f>""</f>
        <v/>
      </c>
      <c r="K1472" s="12" t="str">
        <f>"PFES1162731440_0001"</f>
        <v>PFES1162731440_0001</v>
      </c>
      <c r="L1472" s="12">
        <v>1</v>
      </c>
      <c r="M1472" s="12">
        <v>1</v>
      </c>
    </row>
    <row r="1473" spans="1:13">
      <c r="A1473" s="6">
        <v>43846</v>
      </c>
      <c r="B1473" s="7">
        <v>0.50416666666666665</v>
      </c>
      <c r="C1473" s="12" t="str">
        <f>"FES1162731530"</f>
        <v>FES1162731530</v>
      </c>
      <c r="D1473" s="12" t="s">
        <v>19</v>
      </c>
      <c r="E1473" s="12" t="s">
        <v>33</v>
      </c>
      <c r="F1473" s="12" t="str">
        <f>"2170724146 "</f>
        <v xml:space="preserve">2170724146 </v>
      </c>
      <c r="G1473" s="12" t="str">
        <f t="shared" si="45"/>
        <v>ON1</v>
      </c>
      <c r="H1473" s="12" t="s">
        <v>21</v>
      </c>
      <c r="I1473" s="12" t="s">
        <v>34</v>
      </c>
      <c r="J1473" s="12" t="str">
        <f>""</f>
        <v/>
      </c>
      <c r="K1473" s="12" t="str">
        <f>"PFES1162731530_0001"</f>
        <v>PFES1162731530_0001</v>
      </c>
      <c r="L1473" s="12">
        <v>1</v>
      </c>
      <c r="M1473" s="12">
        <v>6</v>
      </c>
    </row>
    <row r="1474" spans="1:13">
      <c r="A1474" s="6">
        <v>43846</v>
      </c>
      <c r="B1474" s="7">
        <v>0.50416666666666665</v>
      </c>
      <c r="C1474" s="12" t="str">
        <f>"FES1162731415"</f>
        <v>FES1162731415</v>
      </c>
      <c r="D1474" s="12" t="s">
        <v>19</v>
      </c>
      <c r="E1474" s="12" t="s">
        <v>744</v>
      </c>
      <c r="F1474" s="12" t="str">
        <f>"2170724061 "</f>
        <v xml:space="preserve">2170724061 </v>
      </c>
      <c r="G1474" s="12" t="str">
        <f t="shared" si="45"/>
        <v>ON1</v>
      </c>
      <c r="H1474" s="12" t="s">
        <v>21</v>
      </c>
      <c r="I1474" s="12" t="s">
        <v>323</v>
      </c>
      <c r="J1474" s="12" t="str">
        <f>""</f>
        <v/>
      </c>
      <c r="K1474" s="12" t="str">
        <f>"PFES1162731415_0001"</f>
        <v>PFES1162731415_0001</v>
      </c>
      <c r="L1474" s="12">
        <v>1</v>
      </c>
      <c r="M1474" s="12">
        <v>10</v>
      </c>
    </row>
    <row r="1475" spans="1:13">
      <c r="A1475" s="6">
        <v>43846</v>
      </c>
      <c r="B1475" s="7">
        <v>0.50347222222222221</v>
      </c>
      <c r="C1475" s="12" t="str">
        <f>"FES1162731502"</f>
        <v>FES1162731502</v>
      </c>
      <c r="D1475" s="12" t="s">
        <v>19</v>
      </c>
      <c r="E1475" s="12" t="s">
        <v>244</v>
      </c>
      <c r="F1475" s="12" t="str">
        <f>"2170724101 "</f>
        <v xml:space="preserve">2170724101 </v>
      </c>
      <c r="G1475" s="12" t="str">
        <f t="shared" si="45"/>
        <v>ON1</v>
      </c>
      <c r="H1475" s="12" t="s">
        <v>21</v>
      </c>
      <c r="I1475" s="12" t="s">
        <v>36</v>
      </c>
      <c r="J1475" s="12" t="str">
        <f>""</f>
        <v/>
      </c>
      <c r="K1475" s="12" t="str">
        <f>"PFES1162731502_0001"</f>
        <v>PFES1162731502_0001</v>
      </c>
      <c r="L1475" s="12">
        <v>1</v>
      </c>
      <c r="M1475" s="12">
        <v>5</v>
      </c>
    </row>
    <row r="1476" spans="1:13">
      <c r="A1476" s="6">
        <v>43846</v>
      </c>
      <c r="B1476" s="7">
        <v>0.50347222222222221</v>
      </c>
      <c r="C1476" s="12" t="str">
        <f>"FES1162731513"</f>
        <v>FES1162731513</v>
      </c>
      <c r="D1476" s="12" t="s">
        <v>19</v>
      </c>
      <c r="E1476" s="12" t="s">
        <v>745</v>
      </c>
      <c r="F1476" s="12" t="str">
        <f>"2170724119 "</f>
        <v xml:space="preserve">2170724119 </v>
      </c>
      <c r="G1476" s="12" t="str">
        <f t="shared" si="45"/>
        <v>ON1</v>
      </c>
      <c r="H1476" s="12" t="s">
        <v>21</v>
      </c>
      <c r="I1476" s="12" t="s">
        <v>36</v>
      </c>
      <c r="J1476" s="12" t="str">
        <f>""</f>
        <v/>
      </c>
      <c r="K1476" s="12" t="str">
        <f>"PFES1162731513_0001"</f>
        <v>PFES1162731513_0001</v>
      </c>
      <c r="L1476" s="12">
        <v>1</v>
      </c>
      <c r="M1476" s="12">
        <v>3</v>
      </c>
    </row>
    <row r="1477" spans="1:13">
      <c r="A1477" s="6">
        <v>43846</v>
      </c>
      <c r="B1477" s="7">
        <v>0.50277777777777777</v>
      </c>
      <c r="C1477" s="12" t="str">
        <f>"FES1162731472"</f>
        <v>FES1162731472</v>
      </c>
      <c r="D1477" s="12" t="s">
        <v>19</v>
      </c>
      <c r="E1477" s="12" t="s">
        <v>410</v>
      </c>
      <c r="F1477" s="12" t="str">
        <f>"2170723537 "</f>
        <v xml:space="preserve">2170723537 </v>
      </c>
      <c r="G1477" s="12" t="str">
        <f t="shared" si="45"/>
        <v>ON1</v>
      </c>
      <c r="H1477" s="12" t="s">
        <v>21</v>
      </c>
      <c r="I1477" s="12" t="s">
        <v>96</v>
      </c>
      <c r="J1477" s="12" t="str">
        <f>""</f>
        <v/>
      </c>
      <c r="K1477" s="12" t="str">
        <f>"PFES1162731472_0001"</f>
        <v>PFES1162731472_0001</v>
      </c>
      <c r="L1477" s="12">
        <v>1</v>
      </c>
      <c r="M1477" s="12">
        <v>1</v>
      </c>
    </row>
    <row r="1478" spans="1:13">
      <c r="A1478" s="6">
        <v>43846</v>
      </c>
      <c r="B1478" s="7">
        <v>0.50277777777777777</v>
      </c>
      <c r="C1478" s="12" t="str">
        <f>"FES1162731499"</f>
        <v>FES1162731499</v>
      </c>
      <c r="D1478" s="12" t="s">
        <v>19</v>
      </c>
      <c r="E1478" s="12" t="s">
        <v>746</v>
      </c>
      <c r="F1478" s="12" t="str">
        <f>"217074098 "</f>
        <v xml:space="preserve">217074098 </v>
      </c>
      <c r="G1478" s="12" t="str">
        <f t="shared" si="45"/>
        <v>ON1</v>
      </c>
      <c r="H1478" s="12" t="s">
        <v>21</v>
      </c>
      <c r="I1478" s="12" t="s">
        <v>60</v>
      </c>
      <c r="J1478" s="12" t="str">
        <f>""</f>
        <v/>
      </c>
      <c r="K1478" s="12" t="str">
        <f>"PFES1162731499_0001"</f>
        <v>PFES1162731499_0001</v>
      </c>
      <c r="L1478" s="12">
        <v>1</v>
      </c>
      <c r="M1478" s="12">
        <v>2</v>
      </c>
    </row>
    <row r="1479" spans="1:13">
      <c r="A1479" s="6">
        <v>43846</v>
      </c>
      <c r="B1479" s="7">
        <v>0.50208333333333333</v>
      </c>
      <c r="C1479" s="12" t="str">
        <f>"FES1162731409"</f>
        <v>FES1162731409</v>
      </c>
      <c r="D1479" s="12" t="s">
        <v>19</v>
      </c>
      <c r="E1479" s="12" t="s">
        <v>147</v>
      </c>
      <c r="F1479" s="12" t="str">
        <f>"2170722763 "</f>
        <v xml:space="preserve">2170722763 </v>
      </c>
      <c r="G1479" s="12" t="str">
        <f t="shared" si="45"/>
        <v>ON1</v>
      </c>
      <c r="H1479" s="12" t="s">
        <v>21</v>
      </c>
      <c r="I1479" s="12" t="s">
        <v>148</v>
      </c>
      <c r="J1479" s="12" t="str">
        <f>""</f>
        <v/>
      </c>
      <c r="K1479" s="12" t="str">
        <f>"PFES1162731409_0001"</f>
        <v>PFES1162731409_0001</v>
      </c>
      <c r="L1479" s="12">
        <v>1</v>
      </c>
      <c r="M1479" s="12">
        <v>6</v>
      </c>
    </row>
    <row r="1480" spans="1:13">
      <c r="A1480" s="6">
        <v>43846</v>
      </c>
      <c r="B1480" s="7">
        <v>0.50208333333333333</v>
      </c>
      <c r="C1480" s="12" t="str">
        <f>"FES1162731418"</f>
        <v>FES1162731418</v>
      </c>
      <c r="D1480" s="12" t="s">
        <v>19</v>
      </c>
      <c r="E1480" s="12" t="s">
        <v>747</v>
      </c>
      <c r="F1480" s="12" t="str">
        <f>"2170724058 "</f>
        <v xml:space="preserve">2170724058 </v>
      </c>
      <c r="G1480" s="12" t="str">
        <f t="shared" si="45"/>
        <v>ON1</v>
      </c>
      <c r="H1480" s="12" t="s">
        <v>21</v>
      </c>
      <c r="I1480" s="12" t="s">
        <v>270</v>
      </c>
      <c r="J1480" s="12" t="str">
        <f>""</f>
        <v/>
      </c>
      <c r="K1480" s="12" t="str">
        <f>"PFES1162731418_0001"</f>
        <v>PFES1162731418_0001</v>
      </c>
      <c r="L1480" s="12">
        <v>1</v>
      </c>
      <c r="M1480" s="12">
        <v>3</v>
      </c>
    </row>
    <row r="1481" spans="1:13">
      <c r="A1481" s="6">
        <v>43846</v>
      </c>
      <c r="B1481" s="7">
        <v>0.50138888888888888</v>
      </c>
      <c r="C1481" s="12" t="str">
        <f>"FES1162731419"</f>
        <v>FES1162731419</v>
      </c>
      <c r="D1481" s="12" t="s">
        <v>19</v>
      </c>
      <c r="E1481" s="12" t="s">
        <v>132</v>
      </c>
      <c r="F1481" s="12" t="str">
        <f>"2170724067 "</f>
        <v xml:space="preserve">2170724067 </v>
      </c>
      <c r="G1481" s="12" t="str">
        <f t="shared" si="45"/>
        <v>ON1</v>
      </c>
      <c r="H1481" s="12" t="s">
        <v>21</v>
      </c>
      <c r="I1481" s="12" t="s">
        <v>133</v>
      </c>
      <c r="J1481" s="12" t="str">
        <f>""</f>
        <v/>
      </c>
      <c r="K1481" s="12" t="str">
        <f>"PFES1162731419_0001"</f>
        <v>PFES1162731419_0001</v>
      </c>
      <c r="L1481" s="12">
        <v>1</v>
      </c>
      <c r="M1481" s="12">
        <v>10</v>
      </c>
    </row>
    <row r="1482" spans="1:13">
      <c r="A1482" s="6">
        <v>43846</v>
      </c>
      <c r="B1482" s="7">
        <v>0.50138888888888888</v>
      </c>
      <c r="C1482" s="12" t="str">
        <f>"FES1162731460"</f>
        <v>FES1162731460</v>
      </c>
      <c r="D1482" s="12" t="s">
        <v>19</v>
      </c>
      <c r="E1482" s="12" t="s">
        <v>188</v>
      </c>
      <c r="F1482" s="12" t="str">
        <f>"2170722701 "</f>
        <v xml:space="preserve">2170722701 </v>
      </c>
      <c r="G1482" s="12" t="str">
        <f t="shared" si="45"/>
        <v>ON1</v>
      </c>
      <c r="H1482" s="12" t="s">
        <v>21</v>
      </c>
      <c r="I1482" s="12" t="s">
        <v>189</v>
      </c>
      <c r="J1482" s="12" t="str">
        <f>""</f>
        <v/>
      </c>
      <c r="K1482" s="12" t="str">
        <f>"PFES1162731460_0001"</f>
        <v>PFES1162731460_0001</v>
      </c>
      <c r="L1482" s="12">
        <v>1</v>
      </c>
      <c r="M1482" s="12">
        <v>1</v>
      </c>
    </row>
    <row r="1483" spans="1:13">
      <c r="A1483" s="6">
        <v>43846</v>
      </c>
      <c r="B1483" s="7">
        <v>0.50138888888888888</v>
      </c>
      <c r="C1483" s="12" t="str">
        <f>"FES1162731396"</f>
        <v>FES1162731396</v>
      </c>
      <c r="D1483" s="12" t="s">
        <v>19</v>
      </c>
      <c r="E1483" s="12" t="s">
        <v>425</v>
      </c>
      <c r="F1483" s="12" t="str">
        <f>"2170724048 "</f>
        <v xml:space="preserve">2170724048 </v>
      </c>
      <c r="G1483" s="12" t="str">
        <f t="shared" si="45"/>
        <v>ON1</v>
      </c>
      <c r="H1483" s="12" t="s">
        <v>21</v>
      </c>
      <c r="I1483" s="12" t="s">
        <v>78</v>
      </c>
      <c r="J1483" s="12" t="str">
        <f>""</f>
        <v/>
      </c>
      <c r="K1483" s="12" t="str">
        <f>"PFES1162731396_0001"</f>
        <v>PFES1162731396_0001</v>
      </c>
      <c r="L1483" s="12">
        <v>1</v>
      </c>
      <c r="M1483" s="12">
        <v>2</v>
      </c>
    </row>
    <row r="1484" spans="1:13">
      <c r="A1484" s="6">
        <v>43846</v>
      </c>
      <c r="B1484" s="7">
        <v>0.50138888888888888</v>
      </c>
      <c r="C1484" s="12" t="str">
        <f>"FES1162731429"</f>
        <v>FES1162731429</v>
      </c>
      <c r="D1484" s="12" t="s">
        <v>19</v>
      </c>
      <c r="E1484" s="12" t="s">
        <v>30</v>
      </c>
      <c r="F1484" s="12" t="str">
        <f>"2170721305 "</f>
        <v xml:space="preserve">2170721305 </v>
      </c>
      <c r="G1484" s="12" t="str">
        <f t="shared" si="45"/>
        <v>ON1</v>
      </c>
      <c r="H1484" s="12" t="s">
        <v>21</v>
      </c>
      <c r="I1484" s="12" t="s">
        <v>31</v>
      </c>
      <c r="J1484" s="12" t="str">
        <f>""</f>
        <v/>
      </c>
      <c r="K1484" s="12" t="str">
        <f>"PFES1162731429_0001"</f>
        <v>PFES1162731429_0001</v>
      </c>
      <c r="L1484" s="12">
        <v>1</v>
      </c>
      <c r="M1484" s="12">
        <v>7</v>
      </c>
    </row>
    <row r="1485" spans="1:13">
      <c r="A1485" s="6">
        <v>43846</v>
      </c>
      <c r="B1485" s="7">
        <v>0.68402777777777779</v>
      </c>
      <c r="C1485" s="12" t="str">
        <f>"FES1162731625"</f>
        <v>FES1162731625</v>
      </c>
      <c r="D1485" s="12" t="s">
        <v>19</v>
      </c>
      <c r="E1485" s="12" t="s">
        <v>748</v>
      </c>
      <c r="F1485" s="12" t="str">
        <f>"2170724252 "</f>
        <v xml:space="preserve">2170724252 </v>
      </c>
      <c r="G1485" s="12" t="str">
        <f t="shared" si="45"/>
        <v>ON1</v>
      </c>
      <c r="H1485" s="12" t="s">
        <v>21</v>
      </c>
      <c r="I1485" s="12" t="s">
        <v>466</v>
      </c>
      <c r="J1485" s="12" t="str">
        <f>""</f>
        <v/>
      </c>
      <c r="K1485" s="12" t="str">
        <f>"PFES1162731625_0001"</f>
        <v>PFES1162731625_0001</v>
      </c>
      <c r="L1485" s="12">
        <v>1</v>
      </c>
      <c r="M1485" s="12">
        <v>1</v>
      </c>
    </row>
    <row r="1486" spans="1:13">
      <c r="A1486" s="6">
        <v>43846</v>
      </c>
      <c r="B1486" s="7">
        <v>0.68333333333333324</v>
      </c>
      <c r="C1486" s="12" t="str">
        <f>"FES1162731626"</f>
        <v>FES1162731626</v>
      </c>
      <c r="D1486" s="12" t="s">
        <v>19</v>
      </c>
      <c r="E1486" s="12" t="s">
        <v>86</v>
      </c>
      <c r="F1486" s="12" t="str">
        <f>"2170724253 "</f>
        <v xml:space="preserve">2170724253 </v>
      </c>
      <c r="G1486" s="12" t="str">
        <f t="shared" si="45"/>
        <v>ON1</v>
      </c>
      <c r="H1486" s="12" t="s">
        <v>21</v>
      </c>
      <c r="I1486" s="12" t="s">
        <v>63</v>
      </c>
      <c r="J1486" s="12" t="str">
        <f>""</f>
        <v/>
      </c>
      <c r="K1486" s="12" t="str">
        <f>"PFES1162731626_0001"</f>
        <v>PFES1162731626_0001</v>
      </c>
      <c r="L1486" s="12">
        <v>1</v>
      </c>
      <c r="M1486" s="12">
        <v>1</v>
      </c>
    </row>
    <row r="1487" spans="1:13">
      <c r="A1487" s="6">
        <v>43846</v>
      </c>
      <c r="B1487" s="7">
        <v>0.68263888888888891</v>
      </c>
      <c r="C1487" s="12" t="str">
        <f>"FES1162731613"</f>
        <v>FES1162731613</v>
      </c>
      <c r="D1487" s="12" t="s">
        <v>19</v>
      </c>
      <c r="E1487" s="12" t="s">
        <v>222</v>
      </c>
      <c r="F1487" s="12" t="str">
        <f>"2170723706 "</f>
        <v xml:space="preserve">2170723706 </v>
      </c>
      <c r="G1487" s="12" t="str">
        <f t="shared" si="45"/>
        <v>ON1</v>
      </c>
      <c r="H1487" s="12" t="s">
        <v>21</v>
      </c>
      <c r="I1487" s="12" t="s">
        <v>28</v>
      </c>
      <c r="J1487" s="12" t="str">
        <f>""</f>
        <v/>
      </c>
      <c r="K1487" s="12" t="str">
        <f>"PFES1162731613_0001"</f>
        <v>PFES1162731613_0001</v>
      </c>
      <c r="L1487" s="12">
        <v>1</v>
      </c>
      <c r="M1487" s="12">
        <v>1</v>
      </c>
    </row>
    <row r="1488" spans="1:13">
      <c r="A1488" s="6">
        <v>43846</v>
      </c>
      <c r="B1488" s="7">
        <v>0.68055555555555547</v>
      </c>
      <c r="C1488" s="12" t="str">
        <f>"FES1162731622"</f>
        <v>FES1162731622</v>
      </c>
      <c r="D1488" s="12" t="s">
        <v>19</v>
      </c>
      <c r="E1488" s="12" t="s">
        <v>749</v>
      </c>
      <c r="F1488" s="12" t="str">
        <f>"2170724249 "</f>
        <v xml:space="preserve">2170724249 </v>
      </c>
      <c r="G1488" s="12" t="str">
        <f t="shared" si="45"/>
        <v>ON1</v>
      </c>
      <c r="H1488" s="12" t="s">
        <v>21</v>
      </c>
      <c r="I1488" s="12" t="s">
        <v>230</v>
      </c>
      <c r="J1488" s="12" t="str">
        <f>""</f>
        <v/>
      </c>
      <c r="K1488" s="12" t="str">
        <f>"PFES1162731622_0001"</f>
        <v>PFES1162731622_0001</v>
      </c>
      <c r="L1488" s="12">
        <v>1</v>
      </c>
      <c r="M1488" s="12">
        <v>1</v>
      </c>
    </row>
    <row r="1489" spans="1:13">
      <c r="A1489" s="6">
        <v>43846</v>
      </c>
      <c r="B1489" s="7">
        <v>0.67986111111111114</v>
      </c>
      <c r="C1489" s="12" t="str">
        <f>"FES1162731611"</f>
        <v>FES1162731611</v>
      </c>
      <c r="D1489" s="12" t="s">
        <v>19</v>
      </c>
      <c r="E1489" s="12" t="s">
        <v>64</v>
      </c>
      <c r="F1489" s="12" t="str">
        <f>"2170722988 "</f>
        <v xml:space="preserve">2170722988 </v>
      </c>
      <c r="G1489" s="12" t="str">
        <f t="shared" si="45"/>
        <v>ON1</v>
      </c>
      <c r="H1489" s="12" t="s">
        <v>21</v>
      </c>
      <c r="I1489" s="12" t="s">
        <v>60</v>
      </c>
      <c r="J1489" s="12" t="str">
        <f>""</f>
        <v/>
      </c>
      <c r="K1489" s="12" t="str">
        <f>"PFES1162731611_0001"</f>
        <v>PFES1162731611_0001</v>
      </c>
      <c r="L1489" s="12">
        <v>1</v>
      </c>
      <c r="M1489" s="12">
        <v>1</v>
      </c>
    </row>
    <row r="1490" spans="1:13">
      <c r="A1490" s="6">
        <v>43846</v>
      </c>
      <c r="B1490" s="7">
        <v>0.6791666666666667</v>
      </c>
      <c r="C1490" s="12" t="str">
        <f>"FES1162731386"</f>
        <v>FES1162731386</v>
      </c>
      <c r="D1490" s="12" t="s">
        <v>19</v>
      </c>
      <c r="E1490" s="12" t="s">
        <v>46</v>
      </c>
      <c r="F1490" s="12" t="str">
        <f>"2170722546 "</f>
        <v xml:space="preserve">2170722546 </v>
      </c>
      <c r="G1490" s="12" t="str">
        <f t="shared" si="45"/>
        <v>ON1</v>
      </c>
      <c r="H1490" s="12" t="s">
        <v>21</v>
      </c>
      <c r="I1490" s="12" t="s">
        <v>47</v>
      </c>
      <c r="J1490" s="12" t="str">
        <f>""</f>
        <v/>
      </c>
      <c r="K1490" s="12" t="str">
        <f>"PFES1162731386_0001"</f>
        <v>PFES1162731386_0001</v>
      </c>
      <c r="L1490" s="12">
        <v>1</v>
      </c>
      <c r="M1490" s="12">
        <v>1</v>
      </c>
    </row>
    <row r="1491" spans="1:13">
      <c r="A1491" s="6">
        <v>43846</v>
      </c>
      <c r="B1491" s="7">
        <v>0.6791666666666667</v>
      </c>
      <c r="C1491" s="12" t="str">
        <f>"FES1162731617"</f>
        <v>FES1162731617</v>
      </c>
      <c r="D1491" s="12" t="s">
        <v>19</v>
      </c>
      <c r="E1491" s="12" t="s">
        <v>86</v>
      </c>
      <c r="F1491" s="12" t="str">
        <f>"2170724235 "</f>
        <v xml:space="preserve">2170724235 </v>
      </c>
      <c r="G1491" s="12" t="str">
        <f t="shared" si="45"/>
        <v>ON1</v>
      </c>
      <c r="H1491" s="12" t="s">
        <v>21</v>
      </c>
      <c r="I1491" s="12" t="s">
        <v>63</v>
      </c>
      <c r="J1491" s="12" t="str">
        <f>""</f>
        <v/>
      </c>
      <c r="K1491" s="12" t="str">
        <f>"PFES1162731617_0001"</f>
        <v>PFES1162731617_0001</v>
      </c>
      <c r="L1491" s="12">
        <v>1</v>
      </c>
      <c r="M1491" s="12">
        <v>1</v>
      </c>
    </row>
    <row r="1492" spans="1:13">
      <c r="A1492" s="6">
        <v>43846</v>
      </c>
      <c r="B1492" s="7">
        <v>0.67847222222222225</v>
      </c>
      <c r="C1492" s="12" t="str">
        <f>"FES1162731614"</f>
        <v>FES1162731614</v>
      </c>
      <c r="D1492" s="12" t="s">
        <v>19</v>
      </c>
      <c r="E1492" s="12" t="s">
        <v>208</v>
      </c>
      <c r="F1492" s="12" t="str">
        <f>"2170723763 "</f>
        <v xml:space="preserve">2170723763 </v>
      </c>
      <c r="G1492" s="12" t="str">
        <f t="shared" si="45"/>
        <v>ON1</v>
      </c>
      <c r="H1492" s="12" t="s">
        <v>21</v>
      </c>
      <c r="I1492" s="12" t="s">
        <v>209</v>
      </c>
      <c r="J1492" s="12" t="str">
        <f>""</f>
        <v/>
      </c>
      <c r="K1492" s="12" t="str">
        <f>"PFES1162731614_0001"</f>
        <v>PFES1162731614_0001</v>
      </c>
      <c r="L1492" s="12">
        <v>1</v>
      </c>
      <c r="M1492" s="12">
        <v>4</v>
      </c>
    </row>
    <row r="1493" spans="1:13">
      <c r="A1493" s="6">
        <v>43846</v>
      </c>
      <c r="B1493" s="7">
        <v>0.67847222222222225</v>
      </c>
      <c r="C1493" s="12" t="str">
        <f>"FES1162731616"</f>
        <v>FES1162731616</v>
      </c>
      <c r="D1493" s="12" t="s">
        <v>19</v>
      </c>
      <c r="E1493" s="12" t="s">
        <v>42</v>
      </c>
      <c r="F1493" s="12" t="str">
        <f>"217074018 "</f>
        <v xml:space="preserve">217074018 </v>
      </c>
      <c r="G1493" s="12" t="str">
        <f t="shared" si="45"/>
        <v>ON1</v>
      </c>
      <c r="H1493" s="12" t="s">
        <v>21</v>
      </c>
      <c r="I1493" s="12" t="s">
        <v>43</v>
      </c>
      <c r="J1493" s="12" t="str">
        <f>""</f>
        <v/>
      </c>
      <c r="K1493" s="12" t="str">
        <f>"PFES1162731616_0001"</f>
        <v>PFES1162731616_0001</v>
      </c>
      <c r="L1493" s="12">
        <v>1</v>
      </c>
      <c r="M1493" s="12">
        <v>4</v>
      </c>
    </row>
    <row r="1494" spans="1:13">
      <c r="A1494" s="6">
        <v>43846</v>
      </c>
      <c r="B1494" s="7">
        <v>0.6777777777777777</v>
      </c>
      <c r="C1494" s="12" t="str">
        <f>"FES1162731575"</f>
        <v>FES1162731575</v>
      </c>
      <c r="D1494" s="12" t="s">
        <v>19</v>
      </c>
      <c r="E1494" s="12" t="s">
        <v>216</v>
      </c>
      <c r="F1494" s="12" t="str">
        <f>"2170721399 "</f>
        <v xml:space="preserve">2170721399 </v>
      </c>
      <c r="G1494" s="12" t="str">
        <f t="shared" si="45"/>
        <v>ON1</v>
      </c>
      <c r="H1494" s="12" t="s">
        <v>21</v>
      </c>
      <c r="I1494" s="12" t="s">
        <v>217</v>
      </c>
      <c r="J1494" s="12" t="str">
        <f>""</f>
        <v/>
      </c>
      <c r="K1494" s="12" t="str">
        <f>"PFES1162731575_0001"</f>
        <v>PFES1162731575_0001</v>
      </c>
      <c r="L1494" s="12">
        <v>1</v>
      </c>
      <c r="M1494" s="12">
        <v>2</v>
      </c>
    </row>
    <row r="1495" spans="1:13">
      <c r="A1495" s="6">
        <v>43846</v>
      </c>
      <c r="B1495" s="7">
        <v>0.67708333333333337</v>
      </c>
      <c r="C1495" s="12" t="str">
        <f>"FES1162731601"</f>
        <v>FES1162731601</v>
      </c>
      <c r="D1495" s="12" t="s">
        <v>19</v>
      </c>
      <c r="E1495" s="12" t="s">
        <v>33</v>
      </c>
      <c r="F1495" s="12" t="str">
        <f>"2170724220 "</f>
        <v xml:space="preserve">2170724220 </v>
      </c>
      <c r="G1495" s="12" t="str">
        <f t="shared" si="45"/>
        <v>ON1</v>
      </c>
      <c r="H1495" s="12" t="s">
        <v>21</v>
      </c>
      <c r="I1495" s="12" t="s">
        <v>34</v>
      </c>
      <c r="J1495" s="12" t="str">
        <f>""</f>
        <v/>
      </c>
      <c r="K1495" s="12" t="str">
        <f>"PFES1162731601_0001"</f>
        <v>PFES1162731601_0001</v>
      </c>
      <c r="L1495" s="12">
        <v>1</v>
      </c>
      <c r="M1495" s="12">
        <v>5</v>
      </c>
    </row>
    <row r="1496" spans="1:13">
      <c r="A1496" s="6">
        <v>43846</v>
      </c>
      <c r="B1496" s="7">
        <v>0.67708333333333337</v>
      </c>
      <c r="C1496" s="12" t="str">
        <f>"FES1162731604"</f>
        <v>FES1162731604</v>
      </c>
      <c r="D1496" s="12" t="s">
        <v>19</v>
      </c>
      <c r="E1496" s="12" t="s">
        <v>33</v>
      </c>
      <c r="F1496" s="12" t="str">
        <f>"2170724223 "</f>
        <v xml:space="preserve">2170724223 </v>
      </c>
      <c r="G1496" s="12" t="str">
        <f t="shared" si="45"/>
        <v>ON1</v>
      </c>
      <c r="H1496" s="12" t="s">
        <v>21</v>
      </c>
      <c r="I1496" s="12" t="s">
        <v>34</v>
      </c>
      <c r="J1496" s="12" t="str">
        <f>""</f>
        <v/>
      </c>
      <c r="K1496" s="12" t="str">
        <f>"PFES1162731604_0001"</f>
        <v>PFES1162731604_0001</v>
      </c>
      <c r="L1496" s="12">
        <v>1</v>
      </c>
      <c r="M1496" s="12">
        <v>2</v>
      </c>
    </row>
    <row r="1497" spans="1:13">
      <c r="A1497" s="6">
        <v>43846</v>
      </c>
      <c r="B1497" s="7">
        <v>0.67638888888888893</v>
      </c>
      <c r="C1497" s="12" t="str">
        <f>"FES1162731608"</f>
        <v>FES1162731608</v>
      </c>
      <c r="D1497" s="12" t="s">
        <v>19</v>
      </c>
      <c r="E1497" s="12" t="s">
        <v>33</v>
      </c>
      <c r="F1497" s="12" t="str">
        <f>"2170724232 "</f>
        <v xml:space="preserve">2170724232 </v>
      </c>
      <c r="G1497" s="12" t="str">
        <f t="shared" si="45"/>
        <v>ON1</v>
      </c>
      <c r="H1497" s="12" t="s">
        <v>21</v>
      </c>
      <c r="I1497" s="12" t="s">
        <v>34</v>
      </c>
      <c r="J1497" s="12" t="str">
        <f>""</f>
        <v/>
      </c>
      <c r="K1497" s="12" t="str">
        <f>"PFES1162731608_0001"</f>
        <v>PFES1162731608_0001</v>
      </c>
      <c r="L1497" s="12">
        <v>1</v>
      </c>
      <c r="M1497" s="12">
        <v>6</v>
      </c>
    </row>
    <row r="1498" spans="1:13">
      <c r="A1498" s="6">
        <v>43846</v>
      </c>
      <c r="B1498" s="7">
        <v>0.67638888888888893</v>
      </c>
      <c r="C1498" s="12" t="str">
        <f>"FES1162731607"</f>
        <v>FES1162731607</v>
      </c>
      <c r="D1498" s="12" t="s">
        <v>19</v>
      </c>
      <c r="E1498" s="12" t="s">
        <v>671</v>
      </c>
      <c r="F1498" s="12" t="str">
        <f>"2170724214 "</f>
        <v xml:space="preserve">2170724214 </v>
      </c>
      <c r="G1498" s="12" t="str">
        <f t="shared" si="45"/>
        <v>ON1</v>
      </c>
      <c r="H1498" s="12" t="s">
        <v>21</v>
      </c>
      <c r="I1498" s="12" t="s">
        <v>189</v>
      </c>
      <c r="J1498" s="12" t="str">
        <f>""</f>
        <v/>
      </c>
      <c r="K1498" s="12" t="str">
        <f>"PFES1162731607_0001"</f>
        <v>PFES1162731607_0001</v>
      </c>
      <c r="L1498" s="12">
        <v>1</v>
      </c>
      <c r="M1498" s="12">
        <v>1</v>
      </c>
    </row>
    <row r="1499" spans="1:13">
      <c r="A1499" s="6">
        <v>43846</v>
      </c>
      <c r="B1499" s="7">
        <v>0.67569444444444438</v>
      </c>
      <c r="C1499" s="12" t="str">
        <f>"FES1162731602"</f>
        <v>FES1162731602</v>
      </c>
      <c r="D1499" s="12" t="s">
        <v>19</v>
      </c>
      <c r="E1499" s="12" t="s">
        <v>33</v>
      </c>
      <c r="F1499" s="12" t="str">
        <f>"2170724221 "</f>
        <v xml:space="preserve">2170724221 </v>
      </c>
      <c r="G1499" s="12" t="str">
        <f t="shared" si="45"/>
        <v>ON1</v>
      </c>
      <c r="H1499" s="12" t="s">
        <v>21</v>
      </c>
      <c r="I1499" s="12" t="s">
        <v>34</v>
      </c>
      <c r="J1499" s="12" t="str">
        <f>""</f>
        <v/>
      </c>
      <c r="K1499" s="12" t="str">
        <f>"PFES1162731602_0001"</f>
        <v>PFES1162731602_0001</v>
      </c>
      <c r="L1499" s="12">
        <v>1</v>
      </c>
      <c r="M1499" s="12">
        <v>1</v>
      </c>
    </row>
    <row r="1500" spans="1:13">
      <c r="A1500" s="6">
        <v>43846</v>
      </c>
      <c r="B1500" s="7">
        <v>0.67499999999999993</v>
      </c>
      <c r="C1500" s="12" t="str">
        <f>"FES1162731573"</f>
        <v>FES1162731573</v>
      </c>
      <c r="D1500" s="12" t="s">
        <v>19</v>
      </c>
      <c r="E1500" s="12" t="s">
        <v>750</v>
      </c>
      <c r="F1500" s="12" t="str">
        <f>"2170720953 "</f>
        <v xml:space="preserve">2170720953 </v>
      </c>
      <c r="G1500" s="12" t="str">
        <f t="shared" si="45"/>
        <v>ON1</v>
      </c>
      <c r="H1500" s="12" t="s">
        <v>21</v>
      </c>
      <c r="I1500" s="12" t="s">
        <v>34</v>
      </c>
      <c r="J1500" s="12" t="str">
        <f>""</f>
        <v/>
      </c>
      <c r="K1500" s="12" t="str">
        <f>"PFES1162731573_0001"</f>
        <v>PFES1162731573_0001</v>
      </c>
      <c r="L1500" s="12">
        <v>1</v>
      </c>
      <c r="M1500" s="12">
        <v>1</v>
      </c>
    </row>
    <row r="1501" spans="1:13">
      <c r="A1501" s="6">
        <v>43846</v>
      </c>
      <c r="B1501" s="7">
        <v>0.6743055555555556</v>
      </c>
      <c r="C1501" s="12" t="str">
        <f>"FES1162731619"</f>
        <v>FES1162731619</v>
      </c>
      <c r="D1501" s="12" t="s">
        <v>19</v>
      </c>
      <c r="E1501" s="12" t="s">
        <v>714</v>
      </c>
      <c r="F1501" s="12" t="str">
        <f>"2170724240 "</f>
        <v xml:space="preserve">2170724240 </v>
      </c>
      <c r="G1501" s="12" t="str">
        <f t="shared" si="45"/>
        <v>ON1</v>
      </c>
      <c r="H1501" s="12" t="s">
        <v>21</v>
      </c>
      <c r="I1501" s="12" t="s">
        <v>202</v>
      </c>
      <c r="J1501" s="12" t="str">
        <f>""</f>
        <v/>
      </c>
      <c r="K1501" s="12" t="str">
        <f>"PFES1162731619_0001"</f>
        <v>PFES1162731619_0001</v>
      </c>
      <c r="L1501" s="12">
        <v>1</v>
      </c>
      <c r="M1501" s="12">
        <v>1</v>
      </c>
    </row>
    <row r="1502" spans="1:13">
      <c r="A1502" s="6">
        <v>43846</v>
      </c>
      <c r="B1502" s="7">
        <v>0.6743055555555556</v>
      </c>
      <c r="C1502" s="12" t="str">
        <f>"FES1162731615"</f>
        <v>FES1162731615</v>
      </c>
      <c r="D1502" s="12" t="s">
        <v>19</v>
      </c>
      <c r="E1502" s="12" t="s">
        <v>611</v>
      </c>
      <c r="F1502" s="12" t="str">
        <f>"2170723931 "</f>
        <v xml:space="preserve">2170723931 </v>
      </c>
      <c r="G1502" s="12" t="str">
        <f t="shared" si="45"/>
        <v>ON1</v>
      </c>
      <c r="H1502" s="12" t="s">
        <v>21</v>
      </c>
      <c r="I1502" s="12" t="s">
        <v>36</v>
      </c>
      <c r="J1502" s="12" t="str">
        <f>""</f>
        <v/>
      </c>
      <c r="K1502" s="12" t="str">
        <f>"PFES1162731615_0001"</f>
        <v>PFES1162731615_0001</v>
      </c>
      <c r="L1502" s="12">
        <v>1</v>
      </c>
      <c r="M1502" s="12">
        <v>5</v>
      </c>
    </row>
    <row r="1503" spans="1:13">
      <c r="A1503" s="6">
        <v>43846</v>
      </c>
      <c r="B1503" s="7">
        <v>0.67361111111111116</v>
      </c>
      <c r="C1503" s="12" t="str">
        <f>"FES1162730900"</f>
        <v>FES1162730900</v>
      </c>
      <c r="D1503" s="12" t="s">
        <v>19</v>
      </c>
      <c r="E1503" s="12" t="s">
        <v>216</v>
      </c>
      <c r="F1503" s="12" t="str">
        <f>"2170719304 "</f>
        <v xml:space="preserve">2170719304 </v>
      </c>
      <c r="G1503" s="12" t="str">
        <f t="shared" si="45"/>
        <v>ON1</v>
      </c>
      <c r="H1503" s="12" t="s">
        <v>21</v>
      </c>
      <c r="I1503" s="12" t="s">
        <v>217</v>
      </c>
      <c r="J1503" s="12" t="str">
        <f>""</f>
        <v/>
      </c>
      <c r="K1503" s="12" t="str">
        <f>"PFES1162730900_0001"</f>
        <v>PFES1162730900_0001</v>
      </c>
      <c r="L1503" s="12">
        <v>1</v>
      </c>
      <c r="M1503" s="12">
        <v>11</v>
      </c>
    </row>
    <row r="1504" spans="1:13">
      <c r="A1504" s="6">
        <v>43846</v>
      </c>
      <c r="B1504" s="7">
        <v>0.67361111111111116</v>
      </c>
      <c r="C1504" s="12" t="str">
        <f>"FES1162731620"</f>
        <v>FES1162731620</v>
      </c>
      <c r="D1504" s="12" t="s">
        <v>19</v>
      </c>
      <c r="E1504" s="12" t="s">
        <v>593</v>
      </c>
      <c r="F1504" s="12" t="str">
        <f>"2170724245 "</f>
        <v xml:space="preserve">2170724245 </v>
      </c>
      <c r="G1504" s="12" t="str">
        <f t="shared" si="45"/>
        <v>ON1</v>
      </c>
      <c r="H1504" s="12" t="s">
        <v>21</v>
      </c>
      <c r="I1504" s="12" t="s">
        <v>179</v>
      </c>
      <c r="J1504" s="12" t="str">
        <f>""</f>
        <v/>
      </c>
      <c r="K1504" s="12" t="str">
        <f>"PFES1162731620_0001"</f>
        <v>PFES1162731620_0001</v>
      </c>
      <c r="L1504" s="12">
        <v>1</v>
      </c>
      <c r="M1504" s="12">
        <v>2</v>
      </c>
    </row>
    <row r="1505" spans="1:13">
      <c r="A1505" s="6">
        <v>43846</v>
      </c>
      <c r="B1505" s="7">
        <v>0.67291666666666661</v>
      </c>
      <c r="C1505" s="12" t="str">
        <f>"FES1162731598"</f>
        <v>FES1162731598</v>
      </c>
      <c r="D1505" s="12" t="s">
        <v>19</v>
      </c>
      <c r="E1505" s="12" t="s">
        <v>222</v>
      </c>
      <c r="F1505" s="12" t="str">
        <f>"2170724215 "</f>
        <v xml:space="preserve">2170724215 </v>
      </c>
      <c r="G1505" s="12" t="str">
        <f t="shared" si="45"/>
        <v>ON1</v>
      </c>
      <c r="H1505" s="12" t="s">
        <v>21</v>
      </c>
      <c r="I1505" s="12" t="s">
        <v>28</v>
      </c>
      <c r="J1505" s="12" t="str">
        <f>""</f>
        <v/>
      </c>
      <c r="K1505" s="12" t="str">
        <f>"PFES1162731598_0001"</f>
        <v>PFES1162731598_0001</v>
      </c>
      <c r="L1505" s="12">
        <v>1</v>
      </c>
      <c r="M1505" s="12">
        <v>3</v>
      </c>
    </row>
    <row r="1506" spans="1:13">
      <c r="A1506" s="6">
        <v>43846</v>
      </c>
      <c r="B1506" s="7">
        <v>0.67291666666666661</v>
      </c>
      <c r="C1506" s="12" t="str">
        <f>"FES1162731572"</f>
        <v>FES1162731572</v>
      </c>
      <c r="D1506" s="12" t="s">
        <v>19</v>
      </c>
      <c r="E1506" s="12" t="s">
        <v>751</v>
      </c>
      <c r="F1506" s="12" t="str">
        <f>"2170721955 "</f>
        <v xml:space="preserve">2170721955 </v>
      </c>
      <c r="G1506" s="12" t="str">
        <f t="shared" si="45"/>
        <v>ON1</v>
      </c>
      <c r="H1506" s="12" t="s">
        <v>21</v>
      </c>
      <c r="I1506" s="12" t="s">
        <v>96</v>
      </c>
      <c r="J1506" s="12" t="str">
        <f>""</f>
        <v/>
      </c>
      <c r="K1506" s="12" t="str">
        <f>"PFES1162731572_0001"</f>
        <v>PFES1162731572_0001</v>
      </c>
      <c r="L1506" s="12">
        <v>1</v>
      </c>
      <c r="M1506" s="12">
        <v>1</v>
      </c>
    </row>
    <row r="1507" spans="1:13">
      <c r="A1507" s="6">
        <v>43846</v>
      </c>
      <c r="B1507" s="7">
        <v>0.67222222222222217</v>
      </c>
      <c r="C1507" s="12" t="str">
        <f>"FES1162731599"</f>
        <v>FES1162731599</v>
      </c>
      <c r="D1507" s="12" t="s">
        <v>19</v>
      </c>
      <c r="E1507" s="12" t="s">
        <v>752</v>
      </c>
      <c r="F1507" s="12" t="str">
        <f>"2170724216 "</f>
        <v xml:space="preserve">2170724216 </v>
      </c>
      <c r="G1507" s="12" t="str">
        <f t="shared" si="45"/>
        <v>ON1</v>
      </c>
      <c r="H1507" s="12" t="s">
        <v>21</v>
      </c>
      <c r="I1507" s="12" t="s">
        <v>31</v>
      </c>
      <c r="J1507" s="12" t="str">
        <f>""</f>
        <v/>
      </c>
      <c r="K1507" s="12" t="str">
        <f>"PFES1162731599_0001"</f>
        <v>PFES1162731599_0001</v>
      </c>
      <c r="L1507" s="12">
        <v>1</v>
      </c>
      <c r="M1507" s="12">
        <v>1</v>
      </c>
    </row>
    <row r="1508" spans="1:13">
      <c r="A1508" s="6">
        <v>43846</v>
      </c>
      <c r="B1508" s="7">
        <v>0.67083333333333339</v>
      </c>
      <c r="C1508" s="12" t="str">
        <f>"FES1162731618"</f>
        <v>FES1162731618</v>
      </c>
      <c r="D1508" s="12" t="s">
        <v>19</v>
      </c>
      <c r="E1508" s="12" t="s">
        <v>748</v>
      </c>
      <c r="F1508" s="12" t="str">
        <f>"2170724236 "</f>
        <v xml:space="preserve">2170724236 </v>
      </c>
      <c r="G1508" s="12" t="str">
        <f t="shared" si="45"/>
        <v>ON1</v>
      </c>
      <c r="H1508" s="12" t="s">
        <v>21</v>
      </c>
      <c r="I1508" s="12" t="s">
        <v>466</v>
      </c>
      <c r="J1508" s="12" t="str">
        <f>""</f>
        <v/>
      </c>
      <c r="K1508" s="12" t="str">
        <f>"PFES1162731618_0001"</f>
        <v>PFES1162731618_0001</v>
      </c>
      <c r="L1508" s="12">
        <v>1</v>
      </c>
      <c r="M1508" s="12">
        <v>1</v>
      </c>
    </row>
    <row r="1509" spans="1:13">
      <c r="A1509" s="6">
        <v>43846</v>
      </c>
      <c r="B1509" s="7">
        <v>0.6694444444444444</v>
      </c>
      <c r="C1509" s="12" t="str">
        <f>"FES1162731600"</f>
        <v>FES1162731600</v>
      </c>
      <c r="D1509" s="12" t="s">
        <v>19</v>
      </c>
      <c r="E1509" s="12" t="s">
        <v>222</v>
      </c>
      <c r="F1509" s="12" t="str">
        <f>"2170724218 "</f>
        <v xml:space="preserve">2170724218 </v>
      </c>
      <c r="G1509" s="12" t="str">
        <f t="shared" si="45"/>
        <v>ON1</v>
      </c>
      <c r="H1509" s="12" t="s">
        <v>21</v>
      </c>
      <c r="I1509" s="12" t="s">
        <v>28</v>
      </c>
      <c r="J1509" s="12" t="str">
        <f>""</f>
        <v/>
      </c>
      <c r="K1509" s="12" t="str">
        <f>"PFES1162731600_0001"</f>
        <v>PFES1162731600_0001</v>
      </c>
      <c r="L1509" s="12">
        <v>1</v>
      </c>
      <c r="M1509" s="12">
        <v>1</v>
      </c>
    </row>
    <row r="1510" spans="1:13">
      <c r="A1510" s="6">
        <v>43846</v>
      </c>
      <c r="B1510" s="7">
        <v>0.66597222222222219</v>
      </c>
      <c r="C1510" s="12" t="str">
        <f>"FES1162731612"</f>
        <v>FES1162731612</v>
      </c>
      <c r="D1510" s="12" t="s">
        <v>19</v>
      </c>
      <c r="E1510" s="12" t="s">
        <v>607</v>
      </c>
      <c r="F1510" s="12" t="str">
        <f>"2170723475 "</f>
        <v xml:space="preserve">2170723475 </v>
      </c>
      <c r="G1510" s="12" t="str">
        <f t="shared" si="45"/>
        <v>ON1</v>
      </c>
      <c r="H1510" s="12" t="s">
        <v>21</v>
      </c>
      <c r="I1510" s="12" t="s">
        <v>416</v>
      </c>
      <c r="J1510" s="12" t="str">
        <f>""</f>
        <v/>
      </c>
      <c r="K1510" s="12" t="str">
        <f>"PFES1162731612_0001"</f>
        <v>PFES1162731612_0001</v>
      </c>
      <c r="L1510" s="12">
        <v>1</v>
      </c>
      <c r="M1510" s="12">
        <v>1</v>
      </c>
    </row>
    <row r="1511" spans="1:13">
      <c r="A1511" s="6">
        <v>43846</v>
      </c>
      <c r="B1511" s="7">
        <v>0.6645833333333333</v>
      </c>
      <c r="C1511" s="12" t="str">
        <f>"FES1162731610"</f>
        <v>FES1162731610</v>
      </c>
      <c r="D1511" s="12" t="s">
        <v>19</v>
      </c>
      <c r="E1511" s="12" t="s">
        <v>101</v>
      </c>
      <c r="F1511" s="12" t="str">
        <f>"2170722966 "</f>
        <v xml:space="preserve">2170722966 </v>
      </c>
      <c r="G1511" s="12" t="str">
        <f t="shared" si="45"/>
        <v>ON1</v>
      </c>
      <c r="H1511" s="12" t="s">
        <v>21</v>
      </c>
      <c r="I1511" s="12" t="s">
        <v>102</v>
      </c>
      <c r="J1511" s="12" t="str">
        <f>""</f>
        <v/>
      </c>
      <c r="K1511" s="12" t="str">
        <f>"PFES1162731610_0001"</f>
        <v>PFES1162731610_0001</v>
      </c>
      <c r="L1511" s="12">
        <v>1</v>
      </c>
      <c r="M1511" s="12">
        <v>1</v>
      </c>
    </row>
    <row r="1512" spans="1:13">
      <c r="A1512" s="6">
        <v>43846</v>
      </c>
      <c r="B1512" s="7">
        <v>0.66388888888888886</v>
      </c>
      <c r="C1512" s="12" t="str">
        <f>"FES1162731606"</f>
        <v>FES1162731606</v>
      </c>
      <c r="D1512" s="12" t="s">
        <v>19</v>
      </c>
      <c r="E1512" s="12" t="s">
        <v>753</v>
      </c>
      <c r="F1512" s="12" t="str">
        <f>"2170724226 "</f>
        <v xml:space="preserve">2170724226 </v>
      </c>
      <c r="G1512" s="12" t="str">
        <f t="shared" si="45"/>
        <v>ON1</v>
      </c>
      <c r="H1512" s="12" t="s">
        <v>21</v>
      </c>
      <c r="I1512" s="12" t="s">
        <v>355</v>
      </c>
      <c r="J1512" s="12" t="str">
        <f>""</f>
        <v/>
      </c>
      <c r="K1512" s="12" t="str">
        <f>"PFES1162731606_0001"</f>
        <v>PFES1162731606_0001</v>
      </c>
      <c r="L1512" s="12">
        <v>1</v>
      </c>
      <c r="M1512" s="12">
        <v>1</v>
      </c>
    </row>
    <row r="1513" spans="1:13">
      <c r="A1513" s="6">
        <v>43846</v>
      </c>
      <c r="B1513" s="7">
        <v>0.66319444444444442</v>
      </c>
      <c r="C1513" s="12" t="str">
        <f>"FES1162731605"</f>
        <v>FES1162731605</v>
      </c>
      <c r="D1513" s="12" t="s">
        <v>19</v>
      </c>
      <c r="E1513" s="12" t="s">
        <v>248</v>
      </c>
      <c r="F1513" s="12" t="str">
        <f>"2170724225 "</f>
        <v xml:space="preserve">2170724225 </v>
      </c>
      <c r="G1513" s="12" t="str">
        <f t="shared" si="45"/>
        <v>ON1</v>
      </c>
      <c r="H1513" s="12" t="s">
        <v>21</v>
      </c>
      <c r="I1513" s="12" t="s">
        <v>209</v>
      </c>
      <c r="J1513" s="12" t="str">
        <f>""</f>
        <v/>
      </c>
      <c r="K1513" s="12" t="str">
        <f>"PFES1162731605_0001"</f>
        <v>PFES1162731605_0001</v>
      </c>
      <c r="L1513" s="12">
        <v>1</v>
      </c>
      <c r="M1513" s="12">
        <v>1</v>
      </c>
    </row>
    <row r="1514" spans="1:13">
      <c r="A1514" s="6">
        <v>43846</v>
      </c>
      <c r="B1514" s="7">
        <v>0.64513888888888882</v>
      </c>
      <c r="C1514" s="12" t="str">
        <f>"FES1162731585"</f>
        <v>FES1162731585</v>
      </c>
      <c r="D1514" s="12" t="s">
        <v>19</v>
      </c>
      <c r="E1514" s="12" t="s">
        <v>178</v>
      </c>
      <c r="F1514" s="12" t="str">
        <f>"2170724198 "</f>
        <v xml:space="preserve">2170724198 </v>
      </c>
      <c r="G1514" s="12" t="str">
        <f t="shared" si="45"/>
        <v>ON1</v>
      </c>
      <c r="H1514" s="12" t="s">
        <v>21</v>
      </c>
      <c r="I1514" s="12" t="s">
        <v>179</v>
      </c>
      <c r="J1514" s="12" t="str">
        <f>""</f>
        <v/>
      </c>
      <c r="K1514" s="12" t="str">
        <f>"PFES1162731585_0001"</f>
        <v>PFES1162731585_0001</v>
      </c>
      <c r="L1514" s="12">
        <v>1</v>
      </c>
      <c r="M1514" s="12">
        <v>4</v>
      </c>
    </row>
    <row r="1515" spans="1:13">
      <c r="A1515" s="6">
        <v>43846</v>
      </c>
      <c r="B1515" s="7">
        <v>0.64513888888888882</v>
      </c>
      <c r="C1515" s="12" t="str">
        <f>"FES1162731582"</f>
        <v>FES1162731582</v>
      </c>
      <c r="D1515" s="12" t="s">
        <v>19</v>
      </c>
      <c r="E1515" s="12" t="s">
        <v>465</v>
      </c>
      <c r="F1515" s="12" t="str">
        <f>"2170724195 "</f>
        <v xml:space="preserve">2170724195 </v>
      </c>
      <c r="G1515" s="12" t="str">
        <f>"DBC"</f>
        <v>DBC</v>
      </c>
      <c r="H1515" s="12" t="s">
        <v>21</v>
      </c>
      <c r="I1515" s="12" t="s">
        <v>466</v>
      </c>
      <c r="J1515" s="12" t="str">
        <f>""</f>
        <v/>
      </c>
      <c r="K1515" s="12" t="str">
        <f>"PFES1162731582_0001"</f>
        <v>PFES1162731582_0001</v>
      </c>
      <c r="L1515" s="12">
        <v>1</v>
      </c>
      <c r="M1515" s="12">
        <v>20</v>
      </c>
    </row>
    <row r="1516" spans="1:13">
      <c r="A1516" s="6">
        <v>43846</v>
      </c>
      <c r="B1516" s="7">
        <v>0.64166666666666672</v>
      </c>
      <c r="C1516" s="12" t="str">
        <f>"FES1162730133"</f>
        <v>FES1162730133</v>
      </c>
      <c r="D1516" s="12" t="s">
        <v>19</v>
      </c>
      <c r="E1516" s="12" t="s">
        <v>293</v>
      </c>
      <c r="F1516" s="12" t="str">
        <f>"2170716796 "</f>
        <v xml:space="preserve">2170716796 </v>
      </c>
      <c r="G1516" s="12" t="str">
        <f t="shared" ref="G1516:G1579" si="46">"ON1"</f>
        <v>ON1</v>
      </c>
      <c r="H1516" s="12" t="s">
        <v>21</v>
      </c>
      <c r="I1516" s="12" t="s">
        <v>294</v>
      </c>
      <c r="J1516" s="12" t="str">
        <f>""</f>
        <v/>
      </c>
      <c r="K1516" s="12" t="str">
        <f>"PFES1162730133_0001"</f>
        <v>PFES1162730133_0001</v>
      </c>
      <c r="L1516" s="12">
        <v>1</v>
      </c>
      <c r="M1516" s="12">
        <v>3</v>
      </c>
    </row>
    <row r="1517" spans="1:13">
      <c r="A1517" s="6">
        <v>43846</v>
      </c>
      <c r="B1517" s="7">
        <v>0.64097222222222217</v>
      </c>
      <c r="C1517" s="12" t="str">
        <f>"FES1162731090"</f>
        <v>FES1162731090</v>
      </c>
      <c r="D1517" s="12" t="s">
        <v>19</v>
      </c>
      <c r="E1517" s="12" t="s">
        <v>754</v>
      </c>
      <c r="F1517" s="12" t="str">
        <f>"217073687 "</f>
        <v xml:space="preserve">217073687 </v>
      </c>
      <c r="G1517" s="12" t="str">
        <f t="shared" si="46"/>
        <v>ON1</v>
      </c>
      <c r="H1517" s="12" t="s">
        <v>21</v>
      </c>
      <c r="I1517" s="12" t="s">
        <v>755</v>
      </c>
      <c r="J1517" s="12" t="str">
        <f>""</f>
        <v/>
      </c>
      <c r="K1517" s="12" t="str">
        <f>"PFES1162731090_0001"</f>
        <v>PFES1162731090_0001</v>
      </c>
      <c r="L1517" s="12">
        <v>1</v>
      </c>
      <c r="M1517" s="12">
        <v>2</v>
      </c>
    </row>
    <row r="1518" spans="1:13">
      <c r="A1518" s="6">
        <v>43846</v>
      </c>
      <c r="B1518" s="7">
        <v>0.64097222222222217</v>
      </c>
      <c r="C1518" s="12" t="str">
        <f>"FES1162731570"</f>
        <v>FES1162731570</v>
      </c>
      <c r="D1518" s="12" t="s">
        <v>19</v>
      </c>
      <c r="E1518" s="12" t="s">
        <v>593</v>
      </c>
      <c r="F1518" s="12" t="str">
        <f>"2170724186 "</f>
        <v xml:space="preserve">2170724186 </v>
      </c>
      <c r="G1518" s="12" t="str">
        <f t="shared" si="46"/>
        <v>ON1</v>
      </c>
      <c r="H1518" s="12" t="s">
        <v>21</v>
      </c>
      <c r="I1518" s="12" t="s">
        <v>179</v>
      </c>
      <c r="J1518" s="12" t="str">
        <f>""</f>
        <v/>
      </c>
      <c r="K1518" s="12" t="str">
        <f>"PFES1162731570_0001"</f>
        <v>PFES1162731570_0001</v>
      </c>
      <c r="L1518" s="12">
        <v>1</v>
      </c>
      <c r="M1518" s="12">
        <v>1</v>
      </c>
    </row>
    <row r="1519" spans="1:13">
      <c r="A1519" s="6">
        <v>43846</v>
      </c>
      <c r="B1519" s="7">
        <v>0.64027777777777783</v>
      </c>
      <c r="C1519" s="12" t="str">
        <f>"FES1162731596"</f>
        <v>FES1162731596</v>
      </c>
      <c r="D1519" s="12" t="s">
        <v>19</v>
      </c>
      <c r="E1519" s="12" t="s">
        <v>33</v>
      </c>
      <c r="F1519" s="12" t="str">
        <f>"2170724121 "</f>
        <v xml:space="preserve">2170724121 </v>
      </c>
      <c r="G1519" s="12" t="str">
        <f t="shared" si="46"/>
        <v>ON1</v>
      </c>
      <c r="H1519" s="12" t="s">
        <v>21</v>
      </c>
      <c r="I1519" s="12" t="s">
        <v>34</v>
      </c>
      <c r="J1519" s="12" t="str">
        <f>""</f>
        <v/>
      </c>
      <c r="K1519" s="12" t="str">
        <f>"PFES1162731596_0001"</f>
        <v>PFES1162731596_0001</v>
      </c>
      <c r="L1519" s="12">
        <v>1</v>
      </c>
      <c r="M1519" s="12">
        <v>2</v>
      </c>
    </row>
    <row r="1520" spans="1:13">
      <c r="A1520" s="6">
        <v>43846</v>
      </c>
      <c r="B1520" s="7">
        <v>0.64027777777777783</v>
      </c>
      <c r="C1520" s="12" t="str">
        <f>"FES1162731560"</f>
        <v>FES1162731560</v>
      </c>
      <c r="D1520" s="12" t="s">
        <v>19</v>
      </c>
      <c r="E1520" s="12" t="s">
        <v>756</v>
      </c>
      <c r="F1520" s="12" t="str">
        <f>"2170716433 "</f>
        <v xml:space="preserve">2170716433 </v>
      </c>
      <c r="G1520" s="12" t="str">
        <f t="shared" si="46"/>
        <v>ON1</v>
      </c>
      <c r="H1520" s="12" t="s">
        <v>21</v>
      </c>
      <c r="I1520" s="12" t="s">
        <v>757</v>
      </c>
      <c r="J1520" s="12" t="str">
        <f>""</f>
        <v/>
      </c>
      <c r="K1520" s="12" t="str">
        <f>"PFES1162731560_0001"</f>
        <v>PFES1162731560_0001</v>
      </c>
      <c r="L1520" s="12">
        <v>1</v>
      </c>
      <c r="M1520" s="12">
        <v>9</v>
      </c>
    </row>
    <row r="1521" spans="1:13">
      <c r="A1521" s="6">
        <v>43846</v>
      </c>
      <c r="B1521" s="7">
        <v>0.63124999999999998</v>
      </c>
      <c r="C1521" s="12" t="str">
        <f>"FES1162731587"</f>
        <v>FES1162731587</v>
      </c>
      <c r="D1521" s="12" t="s">
        <v>19</v>
      </c>
      <c r="E1521" s="12" t="s">
        <v>178</v>
      </c>
      <c r="F1521" s="12" t="str">
        <f>"2170724200 "</f>
        <v xml:space="preserve">2170724200 </v>
      </c>
      <c r="G1521" s="12" t="str">
        <f t="shared" si="46"/>
        <v>ON1</v>
      </c>
      <c r="H1521" s="12" t="s">
        <v>21</v>
      </c>
      <c r="I1521" s="12" t="s">
        <v>179</v>
      </c>
      <c r="J1521" s="12" t="str">
        <f>""</f>
        <v/>
      </c>
      <c r="K1521" s="12" t="str">
        <f>"PFES1162731587_0001"</f>
        <v>PFES1162731587_0001</v>
      </c>
      <c r="L1521" s="12">
        <v>1</v>
      </c>
      <c r="M1521" s="12">
        <v>1</v>
      </c>
    </row>
    <row r="1522" spans="1:13">
      <c r="A1522" s="6">
        <v>43846</v>
      </c>
      <c r="B1522" s="7">
        <v>0.62361111111111112</v>
      </c>
      <c r="C1522" s="12" t="str">
        <f>"FES1162731590"</f>
        <v>FES1162731590</v>
      </c>
      <c r="D1522" s="12" t="s">
        <v>19</v>
      </c>
      <c r="E1522" s="12" t="s">
        <v>758</v>
      </c>
      <c r="F1522" s="12" t="str">
        <f>"2170724204 "</f>
        <v xml:space="preserve">2170724204 </v>
      </c>
      <c r="G1522" s="12" t="str">
        <f t="shared" si="46"/>
        <v>ON1</v>
      </c>
      <c r="H1522" s="12" t="s">
        <v>21</v>
      </c>
      <c r="I1522" s="12" t="s">
        <v>193</v>
      </c>
      <c r="J1522" s="12" t="str">
        <f>""</f>
        <v/>
      </c>
      <c r="K1522" s="12" t="str">
        <f>"PFES1162731590_0001"</f>
        <v>PFES1162731590_0001</v>
      </c>
      <c r="L1522" s="12">
        <v>1</v>
      </c>
      <c r="M1522" s="12">
        <v>1</v>
      </c>
    </row>
    <row r="1523" spans="1:13">
      <c r="A1523" s="6">
        <v>43846</v>
      </c>
      <c r="B1523" s="7">
        <v>0.62222222222222223</v>
      </c>
      <c r="C1523" s="12" t="str">
        <f>"FES1162731571"</f>
        <v>FES1162731571</v>
      </c>
      <c r="D1523" s="12" t="s">
        <v>19</v>
      </c>
      <c r="E1523" s="12" t="s">
        <v>672</v>
      </c>
      <c r="F1523" s="12" t="str">
        <f>"2170724188 "</f>
        <v xml:space="preserve">2170724188 </v>
      </c>
      <c r="G1523" s="12" t="str">
        <f t="shared" si="46"/>
        <v>ON1</v>
      </c>
      <c r="H1523" s="12" t="s">
        <v>21</v>
      </c>
      <c r="I1523" s="12" t="s">
        <v>288</v>
      </c>
      <c r="J1523" s="12" t="str">
        <f>""</f>
        <v/>
      </c>
      <c r="K1523" s="12" t="str">
        <f>"PFES1162731571_0001"</f>
        <v>PFES1162731571_0001</v>
      </c>
      <c r="L1523" s="12">
        <v>1</v>
      </c>
      <c r="M1523" s="12">
        <v>1</v>
      </c>
    </row>
    <row r="1524" spans="1:13">
      <c r="A1524" s="6">
        <v>43846</v>
      </c>
      <c r="B1524" s="7">
        <v>0.61388888888888882</v>
      </c>
      <c r="C1524" s="12" t="str">
        <f>"FES1162731589"</f>
        <v>FES1162731589</v>
      </c>
      <c r="D1524" s="12" t="s">
        <v>19</v>
      </c>
      <c r="E1524" s="12" t="s">
        <v>759</v>
      </c>
      <c r="F1524" s="12" t="str">
        <f>"2170724202 "</f>
        <v xml:space="preserve">2170724202 </v>
      </c>
      <c r="G1524" s="12" t="str">
        <f t="shared" si="46"/>
        <v>ON1</v>
      </c>
      <c r="H1524" s="12" t="s">
        <v>21</v>
      </c>
      <c r="I1524" s="12" t="s">
        <v>49</v>
      </c>
      <c r="J1524" s="12" t="str">
        <f>""</f>
        <v/>
      </c>
      <c r="K1524" s="12" t="str">
        <f>"PFES1162731589_0001"</f>
        <v>PFES1162731589_0001</v>
      </c>
      <c r="L1524" s="12">
        <v>1</v>
      </c>
      <c r="M1524" s="12">
        <v>1</v>
      </c>
    </row>
    <row r="1525" spans="1:13">
      <c r="A1525" s="6">
        <v>43846</v>
      </c>
      <c r="B1525" s="7">
        <v>0.61319444444444449</v>
      </c>
      <c r="C1525" s="12" t="str">
        <f>"FES1162731591"</f>
        <v>FES1162731591</v>
      </c>
      <c r="D1525" s="12" t="s">
        <v>19</v>
      </c>
      <c r="E1525" s="12" t="s">
        <v>86</v>
      </c>
      <c r="F1525" s="12" t="str">
        <f>"2170724205 "</f>
        <v xml:space="preserve">2170724205 </v>
      </c>
      <c r="G1525" s="12" t="str">
        <f t="shared" si="46"/>
        <v>ON1</v>
      </c>
      <c r="H1525" s="12" t="s">
        <v>21</v>
      </c>
      <c r="I1525" s="12" t="s">
        <v>63</v>
      </c>
      <c r="J1525" s="12" t="str">
        <f>""</f>
        <v/>
      </c>
      <c r="K1525" s="12" t="str">
        <f>"PFES1162731591_0001"</f>
        <v>PFES1162731591_0001</v>
      </c>
      <c r="L1525" s="12">
        <v>1</v>
      </c>
      <c r="M1525" s="12">
        <v>1</v>
      </c>
    </row>
    <row r="1526" spans="1:13">
      <c r="A1526" s="6">
        <v>43846</v>
      </c>
      <c r="B1526" s="7">
        <v>0.61249999999999993</v>
      </c>
      <c r="C1526" s="12" t="str">
        <f>"FES1162731584"</f>
        <v>FES1162731584</v>
      </c>
      <c r="D1526" s="12" t="s">
        <v>19</v>
      </c>
      <c r="E1526" s="12" t="s">
        <v>256</v>
      </c>
      <c r="F1526" s="12" t="str">
        <f>"2170724197 "</f>
        <v xml:space="preserve">2170724197 </v>
      </c>
      <c r="G1526" s="12" t="str">
        <f t="shared" si="46"/>
        <v>ON1</v>
      </c>
      <c r="H1526" s="12" t="s">
        <v>21</v>
      </c>
      <c r="I1526" s="12" t="s">
        <v>257</v>
      </c>
      <c r="J1526" s="12" t="str">
        <f>""</f>
        <v/>
      </c>
      <c r="K1526" s="12" t="str">
        <f>"PFES1162731584_0001"</f>
        <v>PFES1162731584_0001</v>
      </c>
      <c r="L1526" s="12">
        <v>1</v>
      </c>
      <c r="M1526" s="12">
        <v>1</v>
      </c>
    </row>
    <row r="1527" spans="1:13">
      <c r="A1527" s="6">
        <v>43846</v>
      </c>
      <c r="B1527" s="7">
        <v>0.6118055555555556</v>
      </c>
      <c r="C1527" s="12" t="str">
        <f>"FES1162731554"</f>
        <v>FES1162731554</v>
      </c>
      <c r="D1527" s="12" t="s">
        <v>19</v>
      </c>
      <c r="E1527" s="12" t="s">
        <v>487</v>
      </c>
      <c r="F1527" s="12" t="str">
        <f>"2170724165 "</f>
        <v xml:space="preserve">2170724165 </v>
      </c>
      <c r="G1527" s="12" t="str">
        <f t="shared" si="46"/>
        <v>ON1</v>
      </c>
      <c r="H1527" s="12" t="s">
        <v>21</v>
      </c>
      <c r="I1527" s="12" t="s">
        <v>488</v>
      </c>
      <c r="J1527" s="12" t="str">
        <f>""</f>
        <v/>
      </c>
      <c r="K1527" s="12" t="str">
        <f>"PFES1162731554_0001"</f>
        <v>PFES1162731554_0001</v>
      </c>
      <c r="L1527" s="12">
        <v>1</v>
      </c>
      <c r="M1527" s="12">
        <v>1</v>
      </c>
    </row>
    <row r="1528" spans="1:13">
      <c r="A1528" s="6">
        <v>43846</v>
      </c>
      <c r="B1528" s="7">
        <v>0.61111111111111105</v>
      </c>
      <c r="C1528" s="12" t="str">
        <f>"FES1162731515"</f>
        <v>FES1162731515</v>
      </c>
      <c r="D1528" s="12" t="s">
        <v>19</v>
      </c>
      <c r="E1528" s="12" t="s">
        <v>222</v>
      </c>
      <c r="F1528" s="12" t="str">
        <f>"2170724122 "</f>
        <v xml:space="preserve">2170724122 </v>
      </c>
      <c r="G1528" s="12" t="str">
        <f t="shared" si="46"/>
        <v>ON1</v>
      </c>
      <c r="H1528" s="12" t="s">
        <v>21</v>
      </c>
      <c r="I1528" s="12" t="s">
        <v>28</v>
      </c>
      <c r="J1528" s="12" t="str">
        <f>""</f>
        <v/>
      </c>
      <c r="K1528" s="12" t="str">
        <f>"PFES1162731515_0001"</f>
        <v>PFES1162731515_0001</v>
      </c>
      <c r="L1528" s="12">
        <v>1</v>
      </c>
      <c r="M1528" s="12">
        <v>1</v>
      </c>
    </row>
    <row r="1529" spans="1:13">
      <c r="A1529" s="6">
        <v>43846</v>
      </c>
      <c r="B1529" s="7">
        <v>0.61041666666666672</v>
      </c>
      <c r="C1529" s="12" t="str">
        <f>"FES1162731569"</f>
        <v>FES1162731569</v>
      </c>
      <c r="D1529" s="12" t="s">
        <v>19</v>
      </c>
      <c r="E1529" s="12" t="s">
        <v>180</v>
      </c>
      <c r="F1529" s="12" t="str">
        <f>"2170724183 "</f>
        <v xml:space="preserve">2170724183 </v>
      </c>
      <c r="G1529" s="12" t="str">
        <f t="shared" si="46"/>
        <v>ON1</v>
      </c>
      <c r="H1529" s="12" t="s">
        <v>21</v>
      </c>
      <c r="I1529" s="12" t="s">
        <v>28</v>
      </c>
      <c r="J1529" s="12" t="str">
        <f>""</f>
        <v/>
      </c>
      <c r="K1529" s="12" t="str">
        <f>"PFES1162731569_0001"</f>
        <v>PFES1162731569_0001</v>
      </c>
      <c r="L1529" s="12">
        <v>1</v>
      </c>
      <c r="M1529" s="12">
        <v>5</v>
      </c>
    </row>
    <row r="1530" spans="1:13">
      <c r="A1530" s="6">
        <v>43846</v>
      </c>
      <c r="B1530" s="7">
        <v>0.61041666666666672</v>
      </c>
      <c r="C1530" s="12" t="str">
        <f>"FES1162731543"</f>
        <v>FES1162731543</v>
      </c>
      <c r="D1530" s="12" t="s">
        <v>19</v>
      </c>
      <c r="E1530" s="12" t="s">
        <v>401</v>
      </c>
      <c r="F1530" s="12" t="str">
        <f>"2170724158 "</f>
        <v xml:space="preserve">2170724158 </v>
      </c>
      <c r="G1530" s="12" t="str">
        <f t="shared" si="46"/>
        <v>ON1</v>
      </c>
      <c r="H1530" s="12" t="s">
        <v>21</v>
      </c>
      <c r="I1530" s="12" t="s">
        <v>230</v>
      </c>
      <c r="J1530" s="12" t="str">
        <f>""</f>
        <v/>
      </c>
      <c r="K1530" s="12" t="str">
        <f>"PFES1162731543_0001"</f>
        <v>PFES1162731543_0001</v>
      </c>
      <c r="L1530" s="12">
        <v>1</v>
      </c>
      <c r="M1530" s="12">
        <v>1</v>
      </c>
    </row>
    <row r="1531" spans="1:13">
      <c r="A1531" s="6">
        <v>43846</v>
      </c>
      <c r="B1531" s="7">
        <v>0.61041666666666672</v>
      </c>
      <c r="C1531" s="12" t="str">
        <f>"FES1162731507"</f>
        <v>FES1162731507</v>
      </c>
      <c r="D1531" s="12" t="s">
        <v>19</v>
      </c>
      <c r="E1531" s="12" t="s">
        <v>760</v>
      </c>
      <c r="F1531" s="12" t="str">
        <f>"2170724109 "</f>
        <v xml:space="preserve">2170724109 </v>
      </c>
      <c r="G1531" s="12" t="str">
        <f t="shared" si="46"/>
        <v>ON1</v>
      </c>
      <c r="H1531" s="12" t="s">
        <v>21</v>
      </c>
      <c r="I1531" s="12" t="s">
        <v>165</v>
      </c>
      <c r="J1531" s="12" t="str">
        <f>""</f>
        <v/>
      </c>
      <c r="K1531" s="12" t="str">
        <f>"PFES1162731507_0001"</f>
        <v>PFES1162731507_0001</v>
      </c>
      <c r="L1531" s="12">
        <v>1</v>
      </c>
      <c r="M1531" s="12">
        <v>1</v>
      </c>
    </row>
    <row r="1532" spans="1:13">
      <c r="A1532" s="6">
        <v>43846</v>
      </c>
      <c r="B1532" s="7">
        <v>0.61041666666666672</v>
      </c>
      <c r="C1532" s="12" t="str">
        <f>"FES1162731546"</f>
        <v>FES1162731546</v>
      </c>
      <c r="D1532" s="12" t="s">
        <v>19</v>
      </c>
      <c r="E1532" s="12" t="s">
        <v>310</v>
      </c>
      <c r="F1532" s="12" t="str">
        <f>"2170724162 "</f>
        <v xml:space="preserve">2170724162 </v>
      </c>
      <c r="G1532" s="12" t="str">
        <f t="shared" si="46"/>
        <v>ON1</v>
      </c>
      <c r="H1532" s="12" t="s">
        <v>21</v>
      </c>
      <c r="I1532" s="12" t="s">
        <v>311</v>
      </c>
      <c r="J1532" s="12" t="str">
        <f>""</f>
        <v/>
      </c>
      <c r="K1532" s="12" t="str">
        <f>"PFES1162731546_0001"</f>
        <v>PFES1162731546_0001</v>
      </c>
      <c r="L1532" s="12">
        <v>1</v>
      </c>
      <c r="M1532" s="12">
        <v>1</v>
      </c>
    </row>
    <row r="1533" spans="1:13">
      <c r="A1533" s="6">
        <v>43846</v>
      </c>
      <c r="B1533" s="7">
        <v>0.60972222222222217</v>
      </c>
      <c r="C1533" s="12" t="str">
        <f>"FES1162731501"</f>
        <v>FES1162731501</v>
      </c>
      <c r="D1533" s="12" t="s">
        <v>19</v>
      </c>
      <c r="E1533" s="12" t="s">
        <v>30</v>
      </c>
      <c r="F1533" s="12" t="str">
        <f>"2170724100 "</f>
        <v xml:space="preserve">2170724100 </v>
      </c>
      <c r="G1533" s="12" t="str">
        <f t="shared" si="46"/>
        <v>ON1</v>
      </c>
      <c r="H1533" s="12" t="s">
        <v>21</v>
      </c>
      <c r="I1533" s="12" t="s">
        <v>31</v>
      </c>
      <c r="J1533" s="12" t="str">
        <f>""</f>
        <v/>
      </c>
      <c r="K1533" s="12" t="str">
        <f>"PFES1162731501_0001"</f>
        <v>PFES1162731501_0001</v>
      </c>
      <c r="L1533" s="12">
        <v>1</v>
      </c>
      <c r="M1533" s="12">
        <v>1</v>
      </c>
    </row>
    <row r="1534" spans="1:13">
      <c r="A1534" s="6">
        <v>43846</v>
      </c>
      <c r="B1534" s="7">
        <v>0.60972222222222217</v>
      </c>
      <c r="C1534" s="12" t="str">
        <f>"FES1162731558"</f>
        <v>FES1162731558</v>
      </c>
      <c r="D1534" s="12" t="s">
        <v>19</v>
      </c>
      <c r="E1534" s="12" t="s">
        <v>222</v>
      </c>
      <c r="F1534" s="12" t="str">
        <f>"2170724175 "</f>
        <v xml:space="preserve">2170724175 </v>
      </c>
      <c r="G1534" s="12" t="str">
        <f t="shared" si="46"/>
        <v>ON1</v>
      </c>
      <c r="H1534" s="12" t="s">
        <v>21</v>
      </c>
      <c r="I1534" s="12" t="s">
        <v>28</v>
      </c>
      <c r="J1534" s="12" t="str">
        <f>""</f>
        <v/>
      </c>
      <c r="K1534" s="12" t="str">
        <f>"PFES1162731558_0001"</f>
        <v>PFES1162731558_0001</v>
      </c>
      <c r="L1534" s="12">
        <v>1</v>
      </c>
      <c r="M1534" s="12">
        <v>2</v>
      </c>
    </row>
    <row r="1535" spans="1:13">
      <c r="A1535" s="6">
        <v>43846</v>
      </c>
      <c r="B1535" s="7">
        <v>0.60972222222222217</v>
      </c>
      <c r="C1535" s="12" t="str">
        <f>"FES1162731509"</f>
        <v>FES1162731509</v>
      </c>
      <c r="D1535" s="12" t="s">
        <v>19</v>
      </c>
      <c r="E1535" s="12" t="s">
        <v>239</v>
      </c>
      <c r="F1535" s="12" t="str">
        <f>"2170724113 "</f>
        <v xml:space="preserve">2170724113 </v>
      </c>
      <c r="G1535" s="12" t="str">
        <f t="shared" si="46"/>
        <v>ON1</v>
      </c>
      <c r="H1535" s="12" t="s">
        <v>21</v>
      </c>
      <c r="I1535" s="12" t="s">
        <v>165</v>
      </c>
      <c r="J1535" s="12" t="str">
        <f>""</f>
        <v/>
      </c>
      <c r="K1535" s="12" t="str">
        <f>"PFES1162731509_0001"</f>
        <v>PFES1162731509_0001</v>
      </c>
      <c r="L1535" s="12">
        <v>1</v>
      </c>
      <c r="M1535" s="12">
        <v>1</v>
      </c>
    </row>
    <row r="1536" spans="1:13">
      <c r="A1536" s="6">
        <v>43846</v>
      </c>
      <c r="B1536" s="7">
        <v>0.60902777777777783</v>
      </c>
      <c r="C1536" s="12" t="str">
        <f>"FES1162731541"</f>
        <v>FES1162731541</v>
      </c>
      <c r="D1536" s="12" t="s">
        <v>19</v>
      </c>
      <c r="E1536" s="12" t="s">
        <v>258</v>
      </c>
      <c r="F1536" s="12" t="str">
        <f>"2170724151 "</f>
        <v xml:space="preserve">2170724151 </v>
      </c>
      <c r="G1536" s="12" t="str">
        <f t="shared" si="46"/>
        <v>ON1</v>
      </c>
      <c r="H1536" s="12" t="s">
        <v>21</v>
      </c>
      <c r="I1536" s="12" t="s">
        <v>45</v>
      </c>
      <c r="J1536" s="12" t="str">
        <f>""</f>
        <v/>
      </c>
      <c r="K1536" s="12" t="str">
        <f>"PFES1162731541_0001"</f>
        <v>PFES1162731541_0001</v>
      </c>
      <c r="L1536" s="12">
        <v>1</v>
      </c>
      <c r="M1536" s="12">
        <v>1</v>
      </c>
    </row>
    <row r="1537" spans="1:13">
      <c r="A1537" s="6">
        <v>43846</v>
      </c>
      <c r="B1537" s="7">
        <v>0.60763888888888895</v>
      </c>
      <c r="C1537" s="12" t="str">
        <f>"FES1162731538"</f>
        <v>FES1162731538</v>
      </c>
      <c r="D1537" s="12" t="s">
        <v>19</v>
      </c>
      <c r="E1537" s="12" t="s">
        <v>761</v>
      </c>
      <c r="F1537" s="12" t="str">
        <f>"2170724154 "</f>
        <v xml:space="preserve">2170724154 </v>
      </c>
      <c r="G1537" s="12" t="str">
        <f t="shared" si="46"/>
        <v>ON1</v>
      </c>
      <c r="H1537" s="12" t="s">
        <v>21</v>
      </c>
      <c r="I1537" s="12" t="s">
        <v>119</v>
      </c>
      <c r="J1537" s="12" t="str">
        <f>""</f>
        <v/>
      </c>
      <c r="K1537" s="12" t="str">
        <f>"PFES1162731538_0001"</f>
        <v>PFES1162731538_0001</v>
      </c>
      <c r="L1537" s="12">
        <v>1</v>
      </c>
      <c r="M1537" s="12">
        <v>1</v>
      </c>
    </row>
    <row r="1538" spans="1:13">
      <c r="A1538" s="6">
        <v>43846</v>
      </c>
      <c r="B1538" s="7">
        <v>0.6069444444444444</v>
      </c>
      <c r="C1538" s="12" t="str">
        <f>"FES1162731514"</f>
        <v>FES1162731514</v>
      </c>
      <c r="D1538" s="12" t="s">
        <v>19</v>
      </c>
      <c r="E1538" s="12" t="s">
        <v>588</v>
      </c>
      <c r="F1538" s="12" t="str">
        <f>"2170724121 "</f>
        <v xml:space="preserve">2170724121 </v>
      </c>
      <c r="G1538" s="12" t="str">
        <f t="shared" si="46"/>
        <v>ON1</v>
      </c>
      <c r="H1538" s="12" t="s">
        <v>21</v>
      </c>
      <c r="I1538" s="12" t="s">
        <v>408</v>
      </c>
      <c r="J1538" s="12" t="str">
        <f>""</f>
        <v/>
      </c>
      <c r="K1538" s="12" t="str">
        <f>"PFES1162731514_0001"</f>
        <v>PFES1162731514_0001</v>
      </c>
      <c r="L1538" s="12">
        <v>1</v>
      </c>
      <c r="M1538" s="12">
        <v>1</v>
      </c>
    </row>
    <row r="1539" spans="1:13">
      <c r="A1539" s="6">
        <v>43846</v>
      </c>
      <c r="B1539" s="7">
        <v>0.60625000000000007</v>
      </c>
      <c r="C1539" s="12" t="str">
        <f>"FES1162731540"</f>
        <v>FES1162731540</v>
      </c>
      <c r="D1539" s="12" t="s">
        <v>19</v>
      </c>
      <c r="E1539" s="12" t="s">
        <v>588</v>
      </c>
      <c r="F1539" s="12" t="str">
        <f>"2170724156 "</f>
        <v xml:space="preserve">2170724156 </v>
      </c>
      <c r="G1539" s="12" t="str">
        <f t="shared" si="46"/>
        <v>ON1</v>
      </c>
      <c r="H1539" s="12" t="s">
        <v>21</v>
      </c>
      <c r="I1539" s="12" t="s">
        <v>408</v>
      </c>
      <c r="J1539" s="12" t="str">
        <f>""</f>
        <v/>
      </c>
      <c r="K1539" s="12" t="str">
        <f>"PFES1162731540_0001"</f>
        <v>PFES1162731540_0001</v>
      </c>
      <c r="L1539" s="12">
        <v>1</v>
      </c>
      <c r="M1539" s="12">
        <v>1</v>
      </c>
    </row>
    <row r="1540" spans="1:13">
      <c r="A1540" s="6">
        <v>43846</v>
      </c>
      <c r="B1540" s="7">
        <v>0.60625000000000007</v>
      </c>
      <c r="C1540" s="12" t="str">
        <f>"FES1162731510"</f>
        <v>FES1162731510</v>
      </c>
      <c r="D1540" s="12" t="s">
        <v>19</v>
      </c>
      <c r="E1540" s="12" t="s">
        <v>363</v>
      </c>
      <c r="F1540" s="12" t="str">
        <f>"2170724114 "</f>
        <v xml:space="preserve">2170724114 </v>
      </c>
      <c r="G1540" s="12" t="str">
        <f t="shared" si="46"/>
        <v>ON1</v>
      </c>
      <c r="H1540" s="12" t="s">
        <v>21</v>
      </c>
      <c r="I1540" s="12" t="s">
        <v>364</v>
      </c>
      <c r="J1540" s="12" t="str">
        <f>""</f>
        <v/>
      </c>
      <c r="K1540" s="12" t="str">
        <f>"PFES1162731510_0001"</f>
        <v>PFES1162731510_0001</v>
      </c>
      <c r="L1540" s="12">
        <v>1</v>
      </c>
      <c r="M1540" s="12">
        <v>3</v>
      </c>
    </row>
    <row r="1541" spans="1:13">
      <c r="A1541" s="6">
        <v>43846</v>
      </c>
      <c r="B1541" s="7">
        <v>0.60555555555555551</v>
      </c>
      <c r="C1541" s="12" t="str">
        <f>"FES1162731577"</f>
        <v>FES1162731577</v>
      </c>
      <c r="D1541" s="12" t="s">
        <v>19</v>
      </c>
      <c r="E1541" s="12" t="s">
        <v>467</v>
      </c>
      <c r="F1541" s="12" t="str">
        <f>"2170724190 "</f>
        <v xml:space="preserve">2170724190 </v>
      </c>
      <c r="G1541" s="12" t="str">
        <f t="shared" si="46"/>
        <v>ON1</v>
      </c>
      <c r="H1541" s="12" t="s">
        <v>21</v>
      </c>
      <c r="I1541" s="12" t="s">
        <v>468</v>
      </c>
      <c r="J1541" s="12" t="str">
        <f>""</f>
        <v/>
      </c>
      <c r="K1541" s="12" t="str">
        <f>"PFES1162731577_0001"</f>
        <v>PFES1162731577_0001</v>
      </c>
      <c r="L1541" s="12">
        <v>1</v>
      </c>
      <c r="M1541" s="12">
        <v>1</v>
      </c>
    </row>
    <row r="1542" spans="1:13">
      <c r="A1542" s="6">
        <v>43846</v>
      </c>
      <c r="B1542" s="7">
        <v>0.60486111111111118</v>
      </c>
      <c r="C1542" s="12" t="str">
        <f>"FES1162731559"</f>
        <v>FES1162731559</v>
      </c>
      <c r="D1542" s="12" t="s">
        <v>19</v>
      </c>
      <c r="E1542" s="12" t="s">
        <v>142</v>
      </c>
      <c r="F1542" s="12" t="str">
        <f>"2170724177 "</f>
        <v xml:space="preserve">2170724177 </v>
      </c>
      <c r="G1542" s="12" t="str">
        <f t="shared" si="46"/>
        <v>ON1</v>
      </c>
      <c r="H1542" s="12" t="s">
        <v>21</v>
      </c>
      <c r="I1542" s="12" t="s">
        <v>123</v>
      </c>
      <c r="J1542" s="12" t="str">
        <f>""</f>
        <v/>
      </c>
      <c r="K1542" s="12" t="str">
        <f>"PFES1162731559_0001"</f>
        <v>PFES1162731559_0001</v>
      </c>
      <c r="L1542" s="12">
        <v>1</v>
      </c>
      <c r="M1542" s="12">
        <v>1</v>
      </c>
    </row>
    <row r="1543" spans="1:13">
      <c r="A1543" s="6">
        <v>43846</v>
      </c>
      <c r="B1543" s="7">
        <v>0.60486111111111118</v>
      </c>
      <c r="C1543" s="12" t="str">
        <f>"FES1162731494"</f>
        <v>FES1162731494</v>
      </c>
      <c r="D1543" s="12" t="s">
        <v>19</v>
      </c>
      <c r="E1543" s="12" t="s">
        <v>762</v>
      </c>
      <c r="F1543" s="12" t="str">
        <f>"2170724092 "</f>
        <v xml:space="preserve">2170724092 </v>
      </c>
      <c r="G1543" s="12" t="str">
        <f t="shared" si="46"/>
        <v>ON1</v>
      </c>
      <c r="H1543" s="12" t="s">
        <v>21</v>
      </c>
      <c r="I1543" s="12" t="s">
        <v>329</v>
      </c>
      <c r="J1543" s="12" t="str">
        <f>""</f>
        <v/>
      </c>
      <c r="K1543" s="12" t="str">
        <f>"PFES1162731494_0001"</f>
        <v>PFES1162731494_0001</v>
      </c>
      <c r="L1543" s="12">
        <v>1</v>
      </c>
      <c r="M1543" s="12">
        <v>2</v>
      </c>
    </row>
    <row r="1544" spans="1:13">
      <c r="A1544" s="6">
        <v>43846</v>
      </c>
      <c r="B1544" s="7">
        <v>0.60416666666666663</v>
      </c>
      <c r="C1544" s="12" t="str">
        <f>"FES1162731492"</f>
        <v>FES1162731492</v>
      </c>
      <c r="D1544" s="12" t="s">
        <v>19</v>
      </c>
      <c r="E1544" s="12" t="s">
        <v>762</v>
      </c>
      <c r="F1544" s="12" t="str">
        <f>"2170724089 "</f>
        <v xml:space="preserve">2170724089 </v>
      </c>
      <c r="G1544" s="12" t="str">
        <f t="shared" si="46"/>
        <v>ON1</v>
      </c>
      <c r="H1544" s="12" t="s">
        <v>21</v>
      </c>
      <c r="I1544" s="12" t="s">
        <v>329</v>
      </c>
      <c r="J1544" s="12" t="str">
        <f>""</f>
        <v/>
      </c>
      <c r="K1544" s="12" t="str">
        <f>"PFES1162731492_0001"</f>
        <v>PFES1162731492_0001</v>
      </c>
      <c r="L1544" s="12">
        <v>1</v>
      </c>
      <c r="M1544" s="12">
        <v>4</v>
      </c>
    </row>
    <row r="1545" spans="1:13">
      <c r="A1545" s="6">
        <v>43846</v>
      </c>
      <c r="B1545" s="7">
        <v>0.60416666666666663</v>
      </c>
      <c r="C1545" s="12" t="str">
        <f>"FES1162731564"</f>
        <v>FES1162731564</v>
      </c>
      <c r="D1545" s="12" t="s">
        <v>19</v>
      </c>
      <c r="E1545" s="12" t="s">
        <v>397</v>
      </c>
      <c r="F1545" s="12" t="str">
        <f>"2170724181 "</f>
        <v xml:space="preserve">2170724181 </v>
      </c>
      <c r="G1545" s="12" t="str">
        <f t="shared" si="46"/>
        <v>ON1</v>
      </c>
      <c r="H1545" s="12" t="s">
        <v>21</v>
      </c>
      <c r="I1545" s="12" t="s">
        <v>204</v>
      </c>
      <c r="J1545" s="12" t="str">
        <f>""</f>
        <v/>
      </c>
      <c r="K1545" s="12" t="str">
        <f>"PFES1162731564_0001"</f>
        <v>PFES1162731564_0001</v>
      </c>
      <c r="L1545" s="12">
        <v>1</v>
      </c>
      <c r="M1545" s="12">
        <v>1</v>
      </c>
    </row>
    <row r="1546" spans="1:13">
      <c r="A1546" s="6">
        <v>43846</v>
      </c>
      <c r="B1546" s="7">
        <v>0.60347222222222219</v>
      </c>
      <c r="C1546" s="12" t="str">
        <f>"FES1162731576"</f>
        <v>FES1162731576</v>
      </c>
      <c r="D1546" s="12" t="s">
        <v>19</v>
      </c>
      <c r="E1546" s="12" t="s">
        <v>101</v>
      </c>
      <c r="F1546" s="12" t="str">
        <f>"2170724189 "</f>
        <v xml:space="preserve">2170724189 </v>
      </c>
      <c r="G1546" s="12" t="str">
        <f t="shared" si="46"/>
        <v>ON1</v>
      </c>
      <c r="H1546" s="12" t="s">
        <v>21</v>
      </c>
      <c r="I1546" s="12" t="s">
        <v>102</v>
      </c>
      <c r="J1546" s="12" t="str">
        <f>""</f>
        <v/>
      </c>
      <c r="K1546" s="12" t="str">
        <f>"PFES1162731576_0001"</f>
        <v>PFES1162731576_0001</v>
      </c>
      <c r="L1546" s="12">
        <v>1</v>
      </c>
      <c r="M1546" s="12">
        <v>1</v>
      </c>
    </row>
    <row r="1547" spans="1:13">
      <c r="A1547" s="6">
        <v>43846</v>
      </c>
      <c r="B1547" s="7">
        <v>0.6020833333333333</v>
      </c>
      <c r="C1547" s="12" t="str">
        <f>"FES1162731563"</f>
        <v>FES1162731563</v>
      </c>
      <c r="D1547" s="12" t="s">
        <v>19</v>
      </c>
      <c r="E1547" s="12" t="s">
        <v>763</v>
      </c>
      <c r="F1547" s="12" t="str">
        <f>"2170724143 "</f>
        <v xml:space="preserve">2170724143 </v>
      </c>
      <c r="G1547" s="12" t="str">
        <f t="shared" si="46"/>
        <v>ON1</v>
      </c>
      <c r="H1547" s="12" t="s">
        <v>21</v>
      </c>
      <c r="I1547" s="12" t="s">
        <v>375</v>
      </c>
      <c r="J1547" s="12" t="str">
        <f>""</f>
        <v/>
      </c>
      <c r="K1547" s="12" t="str">
        <f>"PFES1162731563_0001"</f>
        <v>PFES1162731563_0001</v>
      </c>
      <c r="L1547" s="12">
        <v>1</v>
      </c>
      <c r="M1547" s="12">
        <v>1</v>
      </c>
    </row>
    <row r="1548" spans="1:13">
      <c r="A1548" s="6">
        <v>43846</v>
      </c>
      <c r="B1548" s="7">
        <v>0.6020833333333333</v>
      </c>
      <c r="C1548" s="12" t="str">
        <f>"FES1162731565"</f>
        <v>FES1162731565</v>
      </c>
      <c r="D1548" s="12" t="s">
        <v>19</v>
      </c>
      <c r="E1548" s="12" t="s">
        <v>600</v>
      </c>
      <c r="F1548" s="12" t="str">
        <f>"2170723328 "</f>
        <v xml:space="preserve">2170723328 </v>
      </c>
      <c r="G1548" s="12" t="str">
        <f t="shared" si="46"/>
        <v>ON1</v>
      </c>
      <c r="H1548" s="12" t="s">
        <v>21</v>
      </c>
      <c r="I1548" s="12" t="s">
        <v>601</v>
      </c>
      <c r="J1548" s="12" t="str">
        <f>""</f>
        <v/>
      </c>
      <c r="K1548" s="12" t="str">
        <f>"PFES1162731565_0001"</f>
        <v>PFES1162731565_0001</v>
      </c>
      <c r="L1548" s="12">
        <v>1</v>
      </c>
      <c r="M1548" s="12">
        <v>6</v>
      </c>
    </row>
    <row r="1549" spans="1:13">
      <c r="A1549" s="6">
        <v>43846</v>
      </c>
      <c r="B1549" s="7">
        <v>0.6020833333333333</v>
      </c>
      <c r="C1549" s="12" t="str">
        <f>"FES1162731520"</f>
        <v>FES1162731520</v>
      </c>
      <c r="D1549" s="12" t="s">
        <v>19</v>
      </c>
      <c r="E1549" s="12" t="s">
        <v>138</v>
      </c>
      <c r="F1549" s="12" t="str">
        <f>"2170724127 "</f>
        <v xml:space="preserve">2170724127 </v>
      </c>
      <c r="G1549" s="12" t="str">
        <f t="shared" si="46"/>
        <v>ON1</v>
      </c>
      <c r="H1549" s="12" t="s">
        <v>21</v>
      </c>
      <c r="I1549" s="12" t="s">
        <v>139</v>
      </c>
      <c r="J1549" s="12" t="str">
        <f>""</f>
        <v/>
      </c>
      <c r="K1549" s="12" t="str">
        <f>"PFES1162731520_0001"</f>
        <v>PFES1162731520_0001</v>
      </c>
      <c r="L1549" s="12">
        <v>1</v>
      </c>
      <c r="M1549" s="12">
        <v>7</v>
      </c>
    </row>
    <row r="1550" spans="1:13">
      <c r="A1550" s="6">
        <v>43846</v>
      </c>
      <c r="B1550" s="7">
        <v>0.60069444444444442</v>
      </c>
      <c r="C1550" s="12" t="str">
        <f>"FES1162731574"</f>
        <v>FES1162731574</v>
      </c>
      <c r="D1550" s="12" t="s">
        <v>19</v>
      </c>
      <c r="E1550" s="12" t="s">
        <v>764</v>
      </c>
      <c r="F1550" s="12" t="str">
        <f>"2170724191 "</f>
        <v xml:space="preserve">2170724191 </v>
      </c>
      <c r="G1550" s="12" t="str">
        <f t="shared" si="46"/>
        <v>ON1</v>
      </c>
      <c r="H1550" s="12" t="s">
        <v>21</v>
      </c>
      <c r="I1550" s="12" t="s">
        <v>348</v>
      </c>
      <c r="J1550" s="12" t="str">
        <f>""</f>
        <v/>
      </c>
      <c r="K1550" s="12" t="str">
        <f>"PFES1162731574_0001"</f>
        <v>PFES1162731574_0001</v>
      </c>
      <c r="L1550" s="12">
        <v>1</v>
      </c>
      <c r="M1550" s="12">
        <v>1</v>
      </c>
    </row>
    <row r="1551" spans="1:13">
      <c r="A1551" s="6">
        <v>43846</v>
      </c>
      <c r="B1551" s="7">
        <v>0.60069444444444442</v>
      </c>
      <c r="C1551" s="12" t="str">
        <f>"FES1162731395"</f>
        <v>FES1162731395</v>
      </c>
      <c r="D1551" s="12" t="s">
        <v>19</v>
      </c>
      <c r="E1551" s="12" t="s">
        <v>600</v>
      </c>
      <c r="F1551" s="12" t="str">
        <f>"2170723328 "</f>
        <v xml:space="preserve">2170723328 </v>
      </c>
      <c r="G1551" s="12" t="str">
        <f t="shared" si="46"/>
        <v>ON1</v>
      </c>
      <c r="H1551" s="12" t="s">
        <v>21</v>
      </c>
      <c r="I1551" s="12" t="s">
        <v>601</v>
      </c>
      <c r="J1551" s="12" t="str">
        <f>""</f>
        <v/>
      </c>
      <c r="K1551" s="12" t="str">
        <f>"PFES1162731395_0001"</f>
        <v>PFES1162731395_0001</v>
      </c>
      <c r="L1551" s="12">
        <v>1</v>
      </c>
      <c r="M1551" s="12">
        <v>2</v>
      </c>
    </row>
    <row r="1552" spans="1:13">
      <c r="A1552" s="6">
        <v>43846</v>
      </c>
      <c r="B1552" s="7">
        <v>0.59930555555555554</v>
      </c>
      <c r="C1552" s="12" t="str">
        <f>"FES1162731566"</f>
        <v>FES1162731566</v>
      </c>
      <c r="D1552" s="12" t="s">
        <v>19</v>
      </c>
      <c r="E1552" s="12" t="s">
        <v>582</v>
      </c>
      <c r="F1552" s="12" t="str">
        <f>"2170721263 "</f>
        <v xml:space="preserve">2170721263 </v>
      </c>
      <c r="G1552" s="12" t="str">
        <f t="shared" si="46"/>
        <v>ON1</v>
      </c>
      <c r="H1552" s="12" t="s">
        <v>21</v>
      </c>
      <c r="I1552" s="12" t="s">
        <v>63</v>
      </c>
      <c r="J1552" s="12" t="str">
        <f>""</f>
        <v/>
      </c>
      <c r="K1552" s="12" t="str">
        <f>"PFES1162731566_0001"</f>
        <v>PFES1162731566_0001</v>
      </c>
      <c r="L1552" s="12">
        <v>4</v>
      </c>
      <c r="M1552" s="12">
        <v>16</v>
      </c>
    </row>
    <row r="1553" spans="1:13">
      <c r="A1553" s="6">
        <v>43846</v>
      </c>
      <c r="B1553" s="7">
        <v>0.59930555555555554</v>
      </c>
      <c r="C1553" s="12" t="str">
        <f>"FES1162731566"</f>
        <v>FES1162731566</v>
      </c>
      <c r="D1553" s="12" t="s">
        <v>19</v>
      </c>
      <c r="E1553" s="12" t="s">
        <v>582</v>
      </c>
      <c r="F1553" s="12" t="str">
        <f t="shared" ref="F1553:F1555" si="47">"2170721263 "</f>
        <v xml:space="preserve">2170721263 </v>
      </c>
      <c r="G1553" s="12" t="str">
        <f t="shared" si="46"/>
        <v>ON1</v>
      </c>
      <c r="H1553" s="12" t="s">
        <v>21</v>
      </c>
      <c r="I1553" s="12" t="s">
        <v>63</v>
      </c>
      <c r="J1553" s="12"/>
      <c r="K1553" s="12" t="str">
        <f>"PFES1162731566_0002"</f>
        <v>PFES1162731566_0002</v>
      </c>
      <c r="L1553" s="12">
        <v>4</v>
      </c>
      <c r="M1553" s="12">
        <v>16</v>
      </c>
    </row>
    <row r="1554" spans="1:13">
      <c r="A1554" s="6">
        <v>43846</v>
      </c>
      <c r="B1554" s="7">
        <v>0.59930555555555554</v>
      </c>
      <c r="C1554" s="12" t="str">
        <f>"FES1162731566"</f>
        <v>FES1162731566</v>
      </c>
      <c r="D1554" s="12" t="s">
        <v>19</v>
      </c>
      <c r="E1554" s="12" t="s">
        <v>582</v>
      </c>
      <c r="F1554" s="12" t="str">
        <f t="shared" si="47"/>
        <v xml:space="preserve">2170721263 </v>
      </c>
      <c r="G1554" s="12" t="str">
        <f t="shared" si="46"/>
        <v>ON1</v>
      </c>
      <c r="H1554" s="12" t="s">
        <v>21</v>
      </c>
      <c r="I1554" s="12" t="s">
        <v>63</v>
      </c>
      <c r="J1554" s="12"/>
      <c r="K1554" s="12" t="str">
        <f>"PFES1162731566_0003"</f>
        <v>PFES1162731566_0003</v>
      </c>
      <c r="L1554" s="12">
        <v>4</v>
      </c>
      <c r="M1554" s="12">
        <v>16</v>
      </c>
    </row>
    <row r="1555" spans="1:13">
      <c r="A1555" s="6">
        <v>43846</v>
      </c>
      <c r="B1555" s="7">
        <v>0.59930555555555554</v>
      </c>
      <c r="C1555" s="12" t="str">
        <f>"FES1162731566"</f>
        <v>FES1162731566</v>
      </c>
      <c r="D1555" s="12" t="s">
        <v>19</v>
      </c>
      <c r="E1555" s="12" t="s">
        <v>582</v>
      </c>
      <c r="F1555" s="12" t="str">
        <f t="shared" si="47"/>
        <v xml:space="preserve">2170721263 </v>
      </c>
      <c r="G1555" s="12" t="str">
        <f t="shared" si="46"/>
        <v>ON1</v>
      </c>
      <c r="H1555" s="12" t="s">
        <v>21</v>
      </c>
      <c r="I1555" s="12" t="s">
        <v>63</v>
      </c>
      <c r="J1555" s="12"/>
      <c r="K1555" s="12" t="str">
        <f>"PFES1162731566_0004"</f>
        <v>PFES1162731566_0004</v>
      </c>
      <c r="L1555" s="12">
        <v>4</v>
      </c>
      <c r="M1555" s="12">
        <v>16</v>
      </c>
    </row>
    <row r="1556" spans="1:13">
      <c r="A1556" s="6">
        <v>43846</v>
      </c>
      <c r="B1556" s="7">
        <v>0.57013888888888886</v>
      </c>
      <c r="C1556" s="12" t="str">
        <f>"FES1162731512"</f>
        <v>FES1162731512</v>
      </c>
      <c r="D1556" s="12" t="s">
        <v>19</v>
      </c>
      <c r="E1556" s="12" t="s">
        <v>245</v>
      </c>
      <c r="F1556" s="12" t="str">
        <f>"2170724117 "</f>
        <v xml:space="preserve">2170724117 </v>
      </c>
      <c r="G1556" s="12" t="str">
        <f t="shared" si="46"/>
        <v>ON1</v>
      </c>
      <c r="H1556" s="12" t="s">
        <v>21</v>
      </c>
      <c r="I1556" s="12" t="s">
        <v>96</v>
      </c>
      <c r="J1556" s="12" t="str">
        <f>""</f>
        <v/>
      </c>
      <c r="K1556" s="12" t="str">
        <f>"PFES1162731512_0001"</f>
        <v>PFES1162731512_0001</v>
      </c>
      <c r="L1556" s="12">
        <v>1</v>
      </c>
      <c r="M1556" s="12">
        <v>1</v>
      </c>
    </row>
    <row r="1557" spans="1:13">
      <c r="A1557" s="6">
        <v>43846</v>
      </c>
      <c r="B1557" s="7">
        <v>0.56944444444444442</v>
      </c>
      <c r="C1557" s="12" t="str">
        <f>"FES1162731542"</f>
        <v>FES1162731542</v>
      </c>
      <c r="D1557" s="12" t="s">
        <v>19</v>
      </c>
      <c r="E1557" s="12" t="s">
        <v>600</v>
      </c>
      <c r="F1557" s="12" t="str">
        <f>"2170724157 "</f>
        <v xml:space="preserve">2170724157 </v>
      </c>
      <c r="G1557" s="12" t="str">
        <f t="shared" si="46"/>
        <v>ON1</v>
      </c>
      <c r="H1557" s="12" t="s">
        <v>21</v>
      </c>
      <c r="I1557" s="12" t="s">
        <v>601</v>
      </c>
      <c r="J1557" s="12" t="str">
        <f>""</f>
        <v/>
      </c>
      <c r="K1557" s="12" t="str">
        <f>"PFES1162731542_0001"</f>
        <v>PFES1162731542_0001</v>
      </c>
      <c r="L1557" s="12">
        <v>1</v>
      </c>
      <c r="M1557" s="12">
        <v>1</v>
      </c>
    </row>
    <row r="1558" spans="1:13">
      <c r="A1558" s="6">
        <v>43846</v>
      </c>
      <c r="B1558" s="7">
        <v>0.56874999999999998</v>
      </c>
      <c r="C1558" s="12" t="str">
        <f>"FES1162731535"</f>
        <v>FES1162731535</v>
      </c>
      <c r="D1558" s="12" t="s">
        <v>19</v>
      </c>
      <c r="E1558" s="12" t="s">
        <v>765</v>
      </c>
      <c r="F1558" s="12" t="str">
        <f>"2170724150 "</f>
        <v xml:space="preserve">2170724150 </v>
      </c>
      <c r="G1558" s="12" t="str">
        <f t="shared" si="46"/>
        <v>ON1</v>
      </c>
      <c r="H1558" s="12" t="s">
        <v>21</v>
      </c>
      <c r="I1558" s="12" t="s">
        <v>202</v>
      </c>
      <c r="J1558" s="12" t="str">
        <f>""</f>
        <v/>
      </c>
      <c r="K1558" s="12" t="str">
        <f>"PFES1162731535_0001"</f>
        <v>PFES1162731535_0001</v>
      </c>
      <c r="L1558" s="12">
        <v>1</v>
      </c>
      <c r="M1558" s="12">
        <v>1</v>
      </c>
    </row>
    <row r="1559" spans="1:13">
      <c r="A1559" s="6">
        <v>43846</v>
      </c>
      <c r="B1559" s="7">
        <v>0.56736111111111109</v>
      </c>
      <c r="C1559" s="12" t="str">
        <f>"FES1162731525"</f>
        <v>FES1162731525</v>
      </c>
      <c r="D1559" s="12" t="s">
        <v>19</v>
      </c>
      <c r="E1559" s="12" t="s">
        <v>262</v>
      </c>
      <c r="F1559" s="12" t="str">
        <f>"2170724138 "</f>
        <v xml:space="preserve">2170724138 </v>
      </c>
      <c r="G1559" s="12" t="str">
        <f t="shared" si="46"/>
        <v>ON1</v>
      </c>
      <c r="H1559" s="12" t="s">
        <v>21</v>
      </c>
      <c r="I1559" s="12" t="s">
        <v>114</v>
      </c>
      <c r="J1559" s="12" t="str">
        <f>""</f>
        <v/>
      </c>
      <c r="K1559" s="12" t="str">
        <f>"PFES1162731525_0001"</f>
        <v>PFES1162731525_0001</v>
      </c>
      <c r="L1559" s="12">
        <v>1</v>
      </c>
      <c r="M1559" s="12">
        <v>1</v>
      </c>
    </row>
    <row r="1560" spans="1:13">
      <c r="A1560" s="6">
        <v>43846</v>
      </c>
      <c r="B1560" s="7">
        <v>0.56666666666666665</v>
      </c>
      <c r="C1560" s="12" t="str">
        <f>"FES1162731517"</f>
        <v>FES1162731517</v>
      </c>
      <c r="D1560" s="12" t="s">
        <v>19</v>
      </c>
      <c r="E1560" s="12" t="s">
        <v>248</v>
      </c>
      <c r="F1560" s="12" t="str">
        <f>"2170724124 "</f>
        <v xml:space="preserve">2170724124 </v>
      </c>
      <c r="G1560" s="12" t="str">
        <f t="shared" si="46"/>
        <v>ON1</v>
      </c>
      <c r="H1560" s="12" t="s">
        <v>21</v>
      </c>
      <c r="I1560" s="12" t="s">
        <v>247</v>
      </c>
      <c r="J1560" s="12" t="str">
        <f>""</f>
        <v/>
      </c>
      <c r="K1560" s="12" t="str">
        <f>"PFES1162731517_0001"</f>
        <v>PFES1162731517_0001</v>
      </c>
      <c r="L1560" s="12">
        <v>1</v>
      </c>
      <c r="M1560" s="12">
        <v>1</v>
      </c>
    </row>
    <row r="1561" spans="1:13">
      <c r="A1561" s="6">
        <v>43846</v>
      </c>
      <c r="B1561" s="7">
        <v>0.56597222222222221</v>
      </c>
      <c r="C1561" s="12" t="str">
        <f>"FES1162731544"</f>
        <v>FES1162731544</v>
      </c>
      <c r="D1561" s="12" t="s">
        <v>19</v>
      </c>
      <c r="E1561" s="12" t="s">
        <v>766</v>
      </c>
      <c r="F1561" s="12" t="str">
        <f>"2170724160 "</f>
        <v xml:space="preserve">2170724160 </v>
      </c>
      <c r="G1561" s="12" t="str">
        <f t="shared" si="46"/>
        <v>ON1</v>
      </c>
      <c r="H1561" s="12" t="s">
        <v>21</v>
      </c>
      <c r="I1561" s="12" t="s">
        <v>148</v>
      </c>
      <c r="J1561" s="12" t="str">
        <f>""</f>
        <v/>
      </c>
      <c r="K1561" s="12" t="str">
        <f>"PFES1162731544_0001"</f>
        <v>PFES1162731544_0001</v>
      </c>
      <c r="L1561" s="12">
        <v>1</v>
      </c>
      <c r="M1561" s="12">
        <v>1</v>
      </c>
    </row>
    <row r="1562" spans="1:13">
      <c r="A1562" s="6">
        <v>43846</v>
      </c>
      <c r="B1562" s="7">
        <v>0.56527777777777777</v>
      </c>
      <c r="C1562" s="12" t="str">
        <f>"FES1162731551"</f>
        <v>FES1162731551</v>
      </c>
      <c r="D1562" s="12" t="s">
        <v>19</v>
      </c>
      <c r="E1562" s="12" t="s">
        <v>218</v>
      </c>
      <c r="F1562" s="12" t="str">
        <f>"2170719594 "</f>
        <v xml:space="preserve">2170719594 </v>
      </c>
      <c r="G1562" s="12" t="str">
        <f t="shared" si="46"/>
        <v>ON1</v>
      </c>
      <c r="H1562" s="12" t="s">
        <v>21</v>
      </c>
      <c r="I1562" s="12" t="s">
        <v>49</v>
      </c>
      <c r="J1562" s="12" t="str">
        <f>""</f>
        <v/>
      </c>
      <c r="K1562" s="12" t="str">
        <f>"PFES1162731551_0001"</f>
        <v>PFES1162731551_0001</v>
      </c>
      <c r="L1562" s="12">
        <v>1</v>
      </c>
      <c r="M1562" s="12">
        <v>1</v>
      </c>
    </row>
    <row r="1563" spans="1:13">
      <c r="A1563" s="6">
        <v>43846</v>
      </c>
      <c r="B1563" s="7">
        <v>0.56458333333333333</v>
      </c>
      <c r="C1563" s="12" t="str">
        <f>"FES1162731474"</f>
        <v>FES1162731474</v>
      </c>
      <c r="D1563" s="12" t="s">
        <v>19</v>
      </c>
      <c r="E1563" s="12" t="s">
        <v>767</v>
      </c>
      <c r="F1563" s="12" t="str">
        <f>"2170723972 "</f>
        <v xml:space="preserve">2170723972 </v>
      </c>
      <c r="G1563" s="12" t="str">
        <f t="shared" si="46"/>
        <v>ON1</v>
      </c>
      <c r="H1563" s="12" t="s">
        <v>21</v>
      </c>
      <c r="I1563" s="12" t="s">
        <v>270</v>
      </c>
      <c r="J1563" s="12" t="str">
        <f>""</f>
        <v/>
      </c>
      <c r="K1563" s="12" t="str">
        <f>"PFES1162731474_0001"</f>
        <v>PFES1162731474_0001</v>
      </c>
      <c r="L1563" s="12">
        <v>1</v>
      </c>
      <c r="M1563" s="12">
        <v>1</v>
      </c>
    </row>
    <row r="1564" spans="1:13">
      <c r="A1564" s="6">
        <v>43846</v>
      </c>
      <c r="B1564" s="7">
        <v>0.5625</v>
      </c>
      <c r="C1564" s="12" t="str">
        <f>"FES1162731552"</f>
        <v>FES1162731552</v>
      </c>
      <c r="D1564" s="12" t="s">
        <v>19</v>
      </c>
      <c r="E1564" s="12" t="s">
        <v>398</v>
      </c>
      <c r="F1564" s="12" t="str">
        <f>"2170722605 "</f>
        <v xml:space="preserve">2170722605 </v>
      </c>
      <c r="G1564" s="12" t="str">
        <f t="shared" si="46"/>
        <v>ON1</v>
      </c>
      <c r="H1564" s="12" t="s">
        <v>21</v>
      </c>
      <c r="I1564" s="12" t="s">
        <v>399</v>
      </c>
      <c r="J1564" s="12" t="str">
        <f>""</f>
        <v/>
      </c>
      <c r="K1564" s="12" t="str">
        <f>"PFES1162731552_0001"</f>
        <v>PFES1162731552_0001</v>
      </c>
      <c r="L1564" s="12">
        <v>1</v>
      </c>
      <c r="M1564" s="12">
        <v>1</v>
      </c>
    </row>
    <row r="1565" spans="1:13">
      <c r="A1565" s="6">
        <v>43846</v>
      </c>
      <c r="B1565" s="7">
        <v>0.56180555555555556</v>
      </c>
      <c r="C1565" s="12" t="str">
        <f>"FES1162731545"</f>
        <v>FES1162731545</v>
      </c>
      <c r="D1565" s="12" t="s">
        <v>19</v>
      </c>
      <c r="E1565" s="12" t="s">
        <v>105</v>
      </c>
      <c r="F1565" s="12" t="str">
        <f>"2170724161 "</f>
        <v xml:space="preserve">2170724161 </v>
      </c>
      <c r="G1565" s="12" t="str">
        <f t="shared" si="46"/>
        <v>ON1</v>
      </c>
      <c r="H1565" s="12" t="s">
        <v>21</v>
      </c>
      <c r="I1565" s="12" t="s">
        <v>106</v>
      </c>
      <c r="J1565" s="12" t="str">
        <f>""</f>
        <v/>
      </c>
      <c r="K1565" s="12" t="str">
        <f>"PFES1162731545_0001"</f>
        <v>PFES1162731545_0001</v>
      </c>
      <c r="L1565" s="12">
        <v>1</v>
      </c>
      <c r="M1565" s="12">
        <v>1</v>
      </c>
    </row>
    <row r="1566" spans="1:13">
      <c r="A1566" s="6">
        <v>43846</v>
      </c>
      <c r="B1566" s="7">
        <v>0.56111111111111112</v>
      </c>
      <c r="C1566" s="12" t="str">
        <f>"FES1162731549"</f>
        <v>FES1162731549</v>
      </c>
      <c r="D1566" s="12" t="s">
        <v>19</v>
      </c>
      <c r="E1566" s="12" t="s">
        <v>768</v>
      </c>
      <c r="F1566" s="12" t="str">
        <f>"2170724166 "</f>
        <v xml:space="preserve">2170724166 </v>
      </c>
      <c r="G1566" s="12" t="str">
        <f t="shared" si="46"/>
        <v>ON1</v>
      </c>
      <c r="H1566" s="12" t="s">
        <v>21</v>
      </c>
      <c r="I1566" s="12" t="s">
        <v>769</v>
      </c>
      <c r="J1566" s="12" t="str">
        <f>""</f>
        <v/>
      </c>
      <c r="K1566" s="12" t="str">
        <f>"PFES1162731549_0001"</f>
        <v>PFES1162731549_0001</v>
      </c>
      <c r="L1566" s="12">
        <v>1</v>
      </c>
      <c r="M1566" s="12">
        <v>1</v>
      </c>
    </row>
    <row r="1567" spans="1:13">
      <c r="A1567" s="6">
        <v>43846</v>
      </c>
      <c r="B1567" s="7">
        <v>0.55902777777777779</v>
      </c>
      <c r="C1567" s="12" t="str">
        <f>"FES1162731555"</f>
        <v>FES1162731555</v>
      </c>
      <c r="D1567" s="12" t="s">
        <v>19</v>
      </c>
      <c r="E1567" s="12" t="s">
        <v>770</v>
      </c>
      <c r="F1567" s="12" t="str">
        <f>"2170724171 "</f>
        <v xml:space="preserve">2170724171 </v>
      </c>
      <c r="G1567" s="12" t="str">
        <f t="shared" si="46"/>
        <v>ON1</v>
      </c>
      <c r="H1567" s="12" t="s">
        <v>21</v>
      </c>
      <c r="I1567" s="12" t="s">
        <v>249</v>
      </c>
      <c r="J1567" s="12" t="str">
        <f>""</f>
        <v/>
      </c>
      <c r="K1567" s="12" t="str">
        <f>"PFES1162731555_0001"</f>
        <v>PFES1162731555_0001</v>
      </c>
      <c r="L1567" s="12">
        <v>1</v>
      </c>
      <c r="M1567" s="12">
        <v>1</v>
      </c>
    </row>
    <row r="1568" spans="1:13">
      <c r="A1568" s="6">
        <v>43846</v>
      </c>
      <c r="B1568" s="7">
        <v>0.53125</v>
      </c>
      <c r="C1568" s="12" t="str">
        <f>"FES1162731452"</f>
        <v>FES1162731452</v>
      </c>
      <c r="D1568" s="12" t="s">
        <v>19</v>
      </c>
      <c r="E1568" s="12" t="s">
        <v>159</v>
      </c>
      <c r="F1568" s="12" t="str">
        <f>"2170722618 "</f>
        <v xml:space="preserve">2170722618 </v>
      </c>
      <c r="G1568" s="12" t="str">
        <f t="shared" si="46"/>
        <v>ON1</v>
      </c>
      <c r="H1568" s="12" t="s">
        <v>21</v>
      </c>
      <c r="I1568" s="12" t="s">
        <v>83</v>
      </c>
      <c r="J1568" s="12" t="str">
        <f>""</f>
        <v/>
      </c>
      <c r="K1568" s="12" t="str">
        <f>"PFES1162731452_0001"</f>
        <v>PFES1162731452_0001</v>
      </c>
      <c r="L1568" s="12">
        <v>1</v>
      </c>
      <c r="M1568" s="12">
        <v>1</v>
      </c>
    </row>
    <row r="1569" spans="1:13">
      <c r="A1569" s="6">
        <v>43846</v>
      </c>
      <c r="B1569" s="7">
        <v>0.50138888888888888</v>
      </c>
      <c r="C1569" s="12" t="str">
        <f>"FES1162731522"</f>
        <v>FES1162731522</v>
      </c>
      <c r="D1569" s="12" t="s">
        <v>19</v>
      </c>
      <c r="E1569" s="12" t="s">
        <v>259</v>
      </c>
      <c r="F1569" s="12" t="str">
        <f>"2170724129 "</f>
        <v xml:space="preserve">2170724129 </v>
      </c>
      <c r="G1569" s="12" t="str">
        <f t="shared" si="46"/>
        <v>ON1</v>
      </c>
      <c r="H1569" s="12" t="s">
        <v>21</v>
      </c>
      <c r="I1569" s="12" t="s">
        <v>260</v>
      </c>
      <c r="J1569" s="12" t="str">
        <f>""</f>
        <v/>
      </c>
      <c r="K1569" s="12" t="str">
        <f>"PFES1162731522_0001"</f>
        <v>PFES1162731522_0001</v>
      </c>
      <c r="L1569" s="12">
        <v>1</v>
      </c>
      <c r="M1569" s="12">
        <v>1</v>
      </c>
    </row>
    <row r="1570" spans="1:13">
      <c r="A1570" s="6">
        <v>43846</v>
      </c>
      <c r="B1570" s="7">
        <v>0.50069444444444444</v>
      </c>
      <c r="C1570" s="12" t="str">
        <f>"FES1162731425"</f>
        <v>FES1162731425</v>
      </c>
      <c r="D1570" s="12" t="s">
        <v>19</v>
      </c>
      <c r="E1570" s="12" t="s">
        <v>221</v>
      </c>
      <c r="F1570" s="12" t="str">
        <f>"2170719669 "</f>
        <v xml:space="preserve">2170719669 </v>
      </c>
      <c r="G1570" s="12" t="str">
        <f t="shared" si="46"/>
        <v>ON1</v>
      </c>
      <c r="H1570" s="12" t="s">
        <v>21</v>
      </c>
      <c r="I1570" s="12" t="s">
        <v>31</v>
      </c>
      <c r="J1570" s="12" t="str">
        <f>""</f>
        <v/>
      </c>
      <c r="K1570" s="12" t="str">
        <f>"PFES1162731425_0001"</f>
        <v>PFES1162731425_0001</v>
      </c>
      <c r="L1570" s="12">
        <v>1</v>
      </c>
      <c r="M1570" s="12">
        <v>1</v>
      </c>
    </row>
    <row r="1571" spans="1:13">
      <c r="A1571" s="6">
        <v>43846</v>
      </c>
      <c r="B1571" s="7">
        <v>0.50069444444444444</v>
      </c>
      <c r="C1571" s="12" t="str">
        <f>"FES1162731487"</f>
        <v>FES1162731487</v>
      </c>
      <c r="D1571" s="12" t="s">
        <v>19</v>
      </c>
      <c r="E1571" s="12" t="s">
        <v>222</v>
      </c>
      <c r="F1571" s="12" t="str">
        <f>"2170723213 "</f>
        <v xml:space="preserve">2170723213 </v>
      </c>
      <c r="G1571" s="12" t="str">
        <f t="shared" si="46"/>
        <v>ON1</v>
      </c>
      <c r="H1571" s="12" t="s">
        <v>21</v>
      </c>
      <c r="I1571" s="12" t="s">
        <v>28</v>
      </c>
      <c r="J1571" s="12" t="str">
        <f>""</f>
        <v/>
      </c>
      <c r="K1571" s="12" t="str">
        <f>"PFES1162731487_0001"</f>
        <v>PFES1162731487_0001</v>
      </c>
      <c r="L1571" s="12">
        <v>1</v>
      </c>
      <c r="M1571" s="12">
        <v>1</v>
      </c>
    </row>
    <row r="1572" spans="1:13">
      <c r="A1572" s="6">
        <v>43846</v>
      </c>
      <c r="B1572" s="7">
        <v>0.5</v>
      </c>
      <c r="C1572" s="12" t="str">
        <f>"FES1162731470"</f>
        <v>FES1162731470</v>
      </c>
      <c r="D1572" s="12" t="s">
        <v>19</v>
      </c>
      <c r="E1572" s="12" t="s">
        <v>251</v>
      </c>
      <c r="F1572" s="12" t="str">
        <f>"2170723006 "</f>
        <v xml:space="preserve">2170723006 </v>
      </c>
      <c r="G1572" s="12" t="str">
        <f t="shared" si="46"/>
        <v>ON1</v>
      </c>
      <c r="H1572" s="12" t="s">
        <v>21</v>
      </c>
      <c r="I1572" s="12" t="s">
        <v>183</v>
      </c>
      <c r="J1572" s="12" t="str">
        <f>""</f>
        <v/>
      </c>
      <c r="K1572" s="12" t="str">
        <f>"PFES1162731470_0001"</f>
        <v>PFES1162731470_0001</v>
      </c>
      <c r="L1572" s="12">
        <v>1</v>
      </c>
      <c r="M1572" s="12">
        <v>1</v>
      </c>
    </row>
    <row r="1573" spans="1:13">
      <c r="A1573" s="6">
        <v>43846</v>
      </c>
      <c r="B1573" s="7">
        <v>0.5</v>
      </c>
      <c r="C1573" s="12" t="str">
        <f>"FES1162731465"</f>
        <v>FES1162731465</v>
      </c>
      <c r="D1573" s="12" t="s">
        <v>19</v>
      </c>
      <c r="E1573" s="12" t="s">
        <v>174</v>
      </c>
      <c r="F1573" s="12" t="str">
        <f>"2170722747 "</f>
        <v xml:space="preserve">2170722747 </v>
      </c>
      <c r="G1573" s="12" t="str">
        <f t="shared" si="46"/>
        <v>ON1</v>
      </c>
      <c r="H1573" s="12" t="s">
        <v>21</v>
      </c>
      <c r="I1573" s="12" t="s">
        <v>175</v>
      </c>
      <c r="J1573" s="12" t="str">
        <f>""</f>
        <v/>
      </c>
      <c r="K1573" s="12" t="str">
        <f>"PFES1162731465_0001"</f>
        <v>PFES1162731465_0001</v>
      </c>
      <c r="L1573" s="12">
        <v>1</v>
      </c>
      <c r="M1573" s="12">
        <v>2</v>
      </c>
    </row>
    <row r="1574" spans="1:13">
      <c r="A1574" s="6">
        <v>43846</v>
      </c>
      <c r="B1574" s="7">
        <v>0.5</v>
      </c>
      <c r="C1574" s="12" t="str">
        <f>"FES1162731428"</f>
        <v>FES1162731428</v>
      </c>
      <c r="D1574" s="12" t="s">
        <v>19</v>
      </c>
      <c r="E1574" s="12" t="s">
        <v>222</v>
      </c>
      <c r="F1574" s="12" t="str">
        <f>"2170721142 "</f>
        <v xml:space="preserve">2170721142 </v>
      </c>
      <c r="G1574" s="12" t="str">
        <f t="shared" si="46"/>
        <v>ON1</v>
      </c>
      <c r="H1574" s="12" t="s">
        <v>21</v>
      </c>
      <c r="I1574" s="12" t="s">
        <v>28</v>
      </c>
      <c r="J1574" s="12" t="str">
        <f>""</f>
        <v/>
      </c>
      <c r="K1574" s="12" t="str">
        <f>"PFES1162731428_0001"</f>
        <v>PFES1162731428_0001</v>
      </c>
      <c r="L1574" s="12">
        <v>1</v>
      </c>
      <c r="M1574" s="12">
        <v>1</v>
      </c>
    </row>
    <row r="1575" spans="1:13">
      <c r="A1575" s="6">
        <v>43846</v>
      </c>
      <c r="B1575" s="7">
        <v>0.4993055555555555</v>
      </c>
      <c r="C1575" s="12" t="str">
        <f>"FES1162731441"</f>
        <v>FES1162731441</v>
      </c>
      <c r="D1575" s="12" t="s">
        <v>19</v>
      </c>
      <c r="E1575" s="12" t="s">
        <v>359</v>
      </c>
      <c r="F1575" s="12" t="str">
        <f>"2170722459 "</f>
        <v xml:space="preserve">2170722459 </v>
      </c>
      <c r="G1575" s="12" t="str">
        <f t="shared" si="46"/>
        <v>ON1</v>
      </c>
      <c r="H1575" s="12" t="s">
        <v>21</v>
      </c>
      <c r="I1575" s="12" t="s">
        <v>165</v>
      </c>
      <c r="J1575" s="12" t="str">
        <f>""</f>
        <v/>
      </c>
      <c r="K1575" s="12" t="str">
        <f>"PFES1162731441_0001"</f>
        <v>PFES1162731441_0001</v>
      </c>
      <c r="L1575" s="12">
        <v>1</v>
      </c>
      <c r="M1575" s="12">
        <v>1</v>
      </c>
    </row>
    <row r="1576" spans="1:13">
      <c r="A1576" s="6">
        <v>43846</v>
      </c>
      <c r="B1576" s="7">
        <v>0.4993055555555555</v>
      </c>
      <c r="C1576" s="12" t="str">
        <f>"FES1162731411"</f>
        <v>FES1162731411</v>
      </c>
      <c r="D1576" s="12" t="s">
        <v>19</v>
      </c>
      <c r="E1576" s="12" t="s">
        <v>143</v>
      </c>
      <c r="F1576" s="12" t="str">
        <f>"2170723773 "</f>
        <v xml:space="preserve">2170723773 </v>
      </c>
      <c r="G1576" s="12" t="str">
        <f t="shared" si="46"/>
        <v>ON1</v>
      </c>
      <c r="H1576" s="12" t="s">
        <v>21</v>
      </c>
      <c r="I1576" s="12" t="s">
        <v>137</v>
      </c>
      <c r="J1576" s="12" t="str">
        <f>""</f>
        <v/>
      </c>
      <c r="K1576" s="12" t="str">
        <f>"PFES1162731411_0001"</f>
        <v>PFES1162731411_0001</v>
      </c>
      <c r="L1576" s="12">
        <v>1</v>
      </c>
      <c r="M1576" s="12">
        <v>11</v>
      </c>
    </row>
    <row r="1577" spans="1:13">
      <c r="A1577" s="6">
        <v>43846</v>
      </c>
      <c r="B1577" s="7">
        <v>0.4993055555555555</v>
      </c>
      <c r="C1577" s="12" t="str">
        <f>"FES1162731436"</f>
        <v>FES1162731436</v>
      </c>
      <c r="D1577" s="12" t="s">
        <v>19</v>
      </c>
      <c r="E1577" s="12" t="s">
        <v>147</v>
      </c>
      <c r="F1577" s="12" t="str">
        <f>"2170722434 "</f>
        <v xml:space="preserve">2170722434 </v>
      </c>
      <c r="G1577" s="12" t="str">
        <f t="shared" si="46"/>
        <v>ON1</v>
      </c>
      <c r="H1577" s="12" t="s">
        <v>21</v>
      </c>
      <c r="I1577" s="12" t="s">
        <v>148</v>
      </c>
      <c r="J1577" s="12" t="str">
        <f>""</f>
        <v/>
      </c>
      <c r="K1577" s="12" t="str">
        <f>"PFES1162731436_0001"</f>
        <v>PFES1162731436_0001</v>
      </c>
      <c r="L1577" s="12">
        <v>1</v>
      </c>
      <c r="M1577" s="12">
        <v>1</v>
      </c>
    </row>
    <row r="1578" spans="1:13">
      <c r="A1578" s="6">
        <v>43846</v>
      </c>
      <c r="B1578" s="7">
        <v>0.49861111111111112</v>
      </c>
      <c r="C1578" s="12" t="str">
        <f>"FES1162731464"</f>
        <v>FES1162731464</v>
      </c>
      <c r="D1578" s="12" t="s">
        <v>19</v>
      </c>
      <c r="E1578" s="12" t="s">
        <v>186</v>
      </c>
      <c r="F1578" s="12" t="str">
        <f>"2170722732 "</f>
        <v xml:space="preserve">2170722732 </v>
      </c>
      <c r="G1578" s="12" t="str">
        <f t="shared" si="46"/>
        <v>ON1</v>
      </c>
      <c r="H1578" s="12" t="s">
        <v>21</v>
      </c>
      <c r="I1578" s="12" t="s">
        <v>187</v>
      </c>
      <c r="J1578" s="12" t="str">
        <f>""</f>
        <v/>
      </c>
      <c r="K1578" s="12" t="str">
        <f>"PFES1162731464_0001"</f>
        <v>PFES1162731464_0001</v>
      </c>
      <c r="L1578" s="12">
        <v>1</v>
      </c>
      <c r="M1578" s="12">
        <v>2</v>
      </c>
    </row>
    <row r="1579" spans="1:13">
      <c r="A1579" s="6">
        <v>43846</v>
      </c>
      <c r="B1579" s="7">
        <v>0.49861111111111112</v>
      </c>
      <c r="C1579" s="12" t="str">
        <f>"FES1162731417"</f>
        <v>FES1162731417</v>
      </c>
      <c r="D1579" s="12" t="s">
        <v>19</v>
      </c>
      <c r="E1579" s="12" t="s">
        <v>324</v>
      </c>
      <c r="F1579" s="12" t="str">
        <f>"2170724064 "</f>
        <v xml:space="preserve">2170724064 </v>
      </c>
      <c r="G1579" s="12" t="str">
        <f t="shared" si="46"/>
        <v>ON1</v>
      </c>
      <c r="H1579" s="12" t="s">
        <v>21</v>
      </c>
      <c r="I1579" s="12" t="s">
        <v>325</v>
      </c>
      <c r="J1579" s="12" t="str">
        <f>""</f>
        <v/>
      </c>
      <c r="K1579" s="12" t="str">
        <f>"PFES1162731417_0001"</f>
        <v>PFES1162731417_0001</v>
      </c>
      <c r="L1579" s="12">
        <v>1</v>
      </c>
      <c r="M1579" s="12">
        <v>3</v>
      </c>
    </row>
    <row r="1580" spans="1:13">
      <c r="A1580" s="6">
        <v>43846</v>
      </c>
      <c r="B1580" s="7">
        <v>0.49791666666666662</v>
      </c>
      <c r="C1580" s="12" t="str">
        <f>"FES1162731423"</f>
        <v>FES1162731423</v>
      </c>
      <c r="D1580" s="12" t="s">
        <v>19</v>
      </c>
      <c r="E1580" s="12" t="s">
        <v>555</v>
      </c>
      <c r="F1580" s="12" t="str">
        <f>"2170709170 "</f>
        <v xml:space="preserve">2170709170 </v>
      </c>
      <c r="G1580" s="12" t="str">
        <f t="shared" ref="G1580:G1622" si="48">"ON1"</f>
        <v>ON1</v>
      </c>
      <c r="H1580" s="12" t="s">
        <v>21</v>
      </c>
      <c r="I1580" s="12" t="s">
        <v>112</v>
      </c>
      <c r="J1580" s="12" t="str">
        <f>""</f>
        <v/>
      </c>
      <c r="K1580" s="12" t="str">
        <f>"PFES1162731423_0001"</f>
        <v>PFES1162731423_0001</v>
      </c>
      <c r="L1580" s="12">
        <v>1</v>
      </c>
      <c r="M1580" s="12">
        <v>1</v>
      </c>
    </row>
    <row r="1581" spans="1:13">
      <c r="A1581" s="6">
        <v>43846</v>
      </c>
      <c r="B1581" s="7">
        <v>0.49791666666666662</v>
      </c>
      <c r="C1581" s="12" t="str">
        <f>"FES1162731394"</f>
        <v>FES1162731394</v>
      </c>
      <c r="D1581" s="12" t="s">
        <v>19</v>
      </c>
      <c r="E1581" s="12" t="s">
        <v>607</v>
      </c>
      <c r="F1581" s="12" t="str">
        <f>"2170724051 "</f>
        <v xml:space="preserve">2170724051 </v>
      </c>
      <c r="G1581" s="12" t="str">
        <f t="shared" si="48"/>
        <v>ON1</v>
      </c>
      <c r="H1581" s="12" t="s">
        <v>21</v>
      </c>
      <c r="I1581" s="12" t="s">
        <v>416</v>
      </c>
      <c r="J1581" s="12" t="str">
        <f>""</f>
        <v/>
      </c>
      <c r="K1581" s="12" t="str">
        <f>"PFES1162731394_0001"</f>
        <v>PFES1162731394_0001</v>
      </c>
      <c r="L1581" s="12">
        <v>1</v>
      </c>
      <c r="M1581" s="12">
        <v>6</v>
      </c>
    </row>
    <row r="1582" spans="1:13">
      <c r="A1582" s="6">
        <v>43846</v>
      </c>
      <c r="B1582" s="7">
        <v>0.49791666666666662</v>
      </c>
      <c r="C1582" s="12" t="str">
        <f>"FES1162731398"</f>
        <v>FES1162731398</v>
      </c>
      <c r="D1582" s="12" t="s">
        <v>19</v>
      </c>
      <c r="E1582" s="12" t="s">
        <v>352</v>
      </c>
      <c r="F1582" s="12" t="str">
        <f>"2170724050 "</f>
        <v xml:space="preserve">2170724050 </v>
      </c>
      <c r="G1582" s="12" t="str">
        <f t="shared" si="48"/>
        <v>ON1</v>
      </c>
      <c r="H1582" s="12" t="s">
        <v>21</v>
      </c>
      <c r="I1582" s="12" t="s">
        <v>114</v>
      </c>
      <c r="J1582" s="12" t="str">
        <f>""</f>
        <v/>
      </c>
      <c r="K1582" s="12" t="str">
        <f>"PFES1162731398_0001"</f>
        <v>PFES1162731398_0001</v>
      </c>
      <c r="L1582" s="12">
        <v>1</v>
      </c>
      <c r="M1582" s="12">
        <v>5</v>
      </c>
    </row>
    <row r="1583" spans="1:13">
      <c r="A1583" s="6">
        <v>43846</v>
      </c>
      <c r="B1583" s="7">
        <v>0.49722222222222223</v>
      </c>
      <c r="C1583" s="12" t="str">
        <f>"FES1162731397"</f>
        <v>FES1162731397</v>
      </c>
      <c r="D1583" s="12" t="s">
        <v>19</v>
      </c>
      <c r="E1583" s="12" t="s">
        <v>242</v>
      </c>
      <c r="F1583" s="12" t="str">
        <f>"2170724049 "</f>
        <v xml:space="preserve">2170724049 </v>
      </c>
      <c r="G1583" s="12" t="str">
        <f t="shared" si="48"/>
        <v>ON1</v>
      </c>
      <c r="H1583" s="12" t="s">
        <v>21</v>
      </c>
      <c r="I1583" s="12" t="s">
        <v>85</v>
      </c>
      <c r="J1583" s="12" t="str">
        <f>""</f>
        <v/>
      </c>
      <c r="K1583" s="12" t="str">
        <f>"PFES1162731397_0001"</f>
        <v>PFES1162731397_0001</v>
      </c>
      <c r="L1583" s="12">
        <v>2</v>
      </c>
      <c r="M1583" s="12">
        <v>9</v>
      </c>
    </row>
    <row r="1584" spans="1:13">
      <c r="A1584" s="6">
        <v>43846</v>
      </c>
      <c r="B1584" s="7">
        <v>0.49722222222222223</v>
      </c>
      <c r="C1584" s="12" t="str">
        <f>"FES1162731397"</f>
        <v>FES1162731397</v>
      </c>
      <c r="D1584" s="12" t="s">
        <v>19</v>
      </c>
      <c r="E1584" s="12" t="s">
        <v>242</v>
      </c>
      <c r="F1584" s="12" t="str">
        <f>"2170724049 "</f>
        <v xml:space="preserve">2170724049 </v>
      </c>
      <c r="G1584" s="12" t="str">
        <f t="shared" si="48"/>
        <v>ON1</v>
      </c>
      <c r="H1584" s="12" t="s">
        <v>21</v>
      </c>
      <c r="I1584" s="12" t="s">
        <v>85</v>
      </c>
      <c r="J1584" s="12"/>
      <c r="K1584" s="12" t="str">
        <f>"PFES1162731397_0002"</f>
        <v>PFES1162731397_0002</v>
      </c>
      <c r="L1584" s="12">
        <v>2</v>
      </c>
      <c r="M1584" s="12">
        <v>9</v>
      </c>
    </row>
    <row r="1585" spans="1:13">
      <c r="A1585" s="6">
        <v>43846</v>
      </c>
      <c r="B1585" s="7">
        <v>0.49722222222222223</v>
      </c>
      <c r="C1585" s="12" t="str">
        <f>"FES1162731484"</f>
        <v>FES1162731484</v>
      </c>
      <c r="D1585" s="12" t="s">
        <v>19</v>
      </c>
      <c r="E1585" s="12" t="s">
        <v>310</v>
      </c>
      <c r="F1585" s="12" t="str">
        <f>"2170724080 "</f>
        <v xml:space="preserve">2170724080 </v>
      </c>
      <c r="G1585" s="12" t="str">
        <f t="shared" si="48"/>
        <v>ON1</v>
      </c>
      <c r="H1585" s="12" t="s">
        <v>21</v>
      </c>
      <c r="I1585" s="12" t="s">
        <v>311</v>
      </c>
      <c r="J1585" s="12" t="str">
        <f>""</f>
        <v/>
      </c>
      <c r="K1585" s="12" t="str">
        <f>"PFES1162731484_0001"</f>
        <v>PFES1162731484_0001</v>
      </c>
      <c r="L1585" s="12">
        <v>1</v>
      </c>
      <c r="M1585" s="12">
        <v>1</v>
      </c>
    </row>
    <row r="1586" spans="1:13">
      <c r="A1586" s="6">
        <v>43846</v>
      </c>
      <c r="B1586" s="7">
        <v>0.49722222222222223</v>
      </c>
      <c r="C1586" s="12" t="str">
        <f>"FES1162731408"</f>
        <v>FES1162731408</v>
      </c>
      <c r="D1586" s="12" t="s">
        <v>19</v>
      </c>
      <c r="E1586" s="12" t="s">
        <v>147</v>
      </c>
      <c r="F1586" s="12" t="str">
        <f>"2170722761 "</f>
        <v xml:space="preserve">2170722761 </v>
      </c>
      <c r="G1586" s="12" t="str">
        <f t="shared" si="48"/>
        <v>ON1</v>
      </c>
      <c r="H1586" s="12" t="s">
        <v>21</v>
      </c>
      <c r="I1586" s="12" t="s">
        <v>148</v>
      </c>
      <c r="J1586" s="12" t="str">
        <f>""</f>
        <v/>
      </c>
      <c r="K1586" s="12" t="str">
        <f>"PFES1162731408_0001"</f>
        <v>PFES1162731408_0001</v>
      </c>
      <c r="L1586" s="12">
        <v>1</v>
      </c>
      <c r="M1586" s="12">
        <v>17</v>
      </c>
    </row>
    <row r="1587" spans="1:13">
      <c r="A1587" s="6">
        <v>43846</v>
      </c>
      <c r="B1587" s="7">
        <v>0.49652777777777773</v>
      </c>
      <c r="C1587" s="12" t="str">
        <f>"FES1162731468"</f>
        <v>FES1162731468</v>
      </c>
      <c r="D1587" s="12" t="s">
        <v>19</v>
      </c>
      <c r="E1587" s="12" t="s">
        <v>147</v>
      </c>
      <c r="F1587" s="12" t="str">
        <f>"2170722765 "</f>
        <v xml:space="preserve">2170722765 </v>
      </c>
      <c r="G1587" s="12" t="str">
        <f t="shared" si="48"/>
        <v>ON1</v>
      </c>
      <c r="H1587" s="12" t="s">
        <v>21</v>
      </c>
      <c r="I1587" s="12" t="s">
        <v>148</v>
      </c>
      <c r="J1587" s="12" t="str">
        <f>""</f>
        <v/>
      </c>
      <c r="K1587" s="12" t="str">
        <f>"PFES1162731468_0001"</f>
        <v>PFES1162731468_0001</v>
      </c>
      <c r="L1587" s="12">
        <v>1</v>
      </c>
      <c r="M1587" s="12">
        <v>7</v>
      </c>
    </row>
    <row r="1588" spans="1:13">
      <c r="A1588" s="6">
        <v>43846</v>
      </c>
      <c r="B1588" s="7">
        <v>0.49652777777777773</v>
      </c>
      <c r="C1588" s="12" t="str">
        <f>"FES1162731434"</f>
        <v>FES1162731434</v>
      </c>
      <c r="D1588" s="12" t="s">
        <v>19</v>
      </c>
      <c r="E1588" s="12" t="s">
        <v>147</v>
      </c>
      <c r="F1588" s="12" t="str">
        <f>"2170722425 "</f>
        <v xml:space="preserve">2170722425 </v>
      </c>
      <c r="G1588" s="12" t="str">
        <f t="shared" si="48"/>
        <v>ON1</v>
      </c>
      <c r="H1588" s="12" t="s">
        <v>21</v>
      </c>
      <c r="I1588" s="12" t="s">
        <v>148</v>
      </c>
      <c r="J1588" s="12" t="str">
        <f>""</f>
        <v/>
      </c>
      <c r="K1588" s="12" t="str">
        <f>"PFES1162731434_0001"</f>
        <v>PFES1162731434_0001</v>
      </c>
      <c r="L1588" s="12">
        <v>1</v>
      </c>
      <c r="M1588" s="12">
        <v>4</v>
      </c>
    </row>
    <row r="1589" spans="1:13">
      <c r="A1589" s="6">
        <v>43846</v>
      </c>
      <c r="B1589" s="7">
        <v>0.49652777777777773</v>
      </c>
      <c r="C1589" s="12" t="str">
        <f>"FES1162731459"</f>
        <v>FES1162731459</v>
      </c>
      <c r="D1589" s="12" t="s">
        <v>19</v>
      </c>
      <c r="E1589" s="12" t="s">
        <v>101</v>
      </c>
      <c r="F1589" s="12" t="str">
        <f>"2170722700 "</f>
        <v xml:space="preserve">2170722700 </v>
      </c>
      <c r="G1589" s="12" t="str">
        <f t="shared" si="48"/>
        <v>ON1</v>
      </c>
      <c r="H1589" s="12" t="s">
        <v>21</v>
      </c>
      <c r="I1589" s="12" t="s">
        <v>102</v>
      </c>
      <c r="J1589" s="12" t="str">
        <f>""</f>
        <v/>
      </c>
      <c r="K1589" s="12" t="str">
        <f>"PFES1162731459_0001"</f>
        <v>PFES1162731459_0001</v>
      </c>
      <c r="L1589" s="12">
        <v>1</v>
      </c>
      <c r="M1589" s="12">
        <v>1</v>
      </c>
    </row>
    <row r="1590" spans="1:13">
      <c r="A1590" s="6">
        <v>43846</v>
      </c>
      <c r="B1590" s="7">
        <v>0.49583333333333335</v>
      </c>
      <c r="C1590" s="12" t="str">
        <f>"FES1162731432"</f>
        <v>FES1162731432</v>
      </c>
      <c r="D1590" s="12" t="s">
        <v>19</v>
      </c>
      <c r="E1590" s="12" t="s">
        <v>262</v>
      </c>
      <c r="F1590" s="12" t="str">
        <f>"2170721933 "</f>
        <v xml:space="preserve">2170721933 </v>
      </c>
      <c r="G1590" s="12" t="str">
        <f t="shared" si="48"/>
        <v>ON1</v>
      </c>
      <c r="H1590" s="12" t="s">
        <v>21</v>
      </c>
      <c r="I1590" s="12" t="s">
        <v>114</v>
      </c>
      <c r="J1590" s="12" t="str">
        <f>""</f>
        <v/>
      </c>
      <c r="K1590" s="12" t="str">
        <f>"PFES1162731432_0001"</f>
        <v>PFES1162731432_0001</v>
      </c>
      <c r="L1590" s="12">
        <v>1</v>
      </c>
      <c r="M1590" s="12">
        <v>4</v>
      </c>
    </row>
    <row r="1591" spans="1:13">
      <c r="A1591" s="6">
        <v>43846</v>
      </c>
      <c r="B1591" s="7">
        <v>0.49583333333333335</v>
      </c>
      <c r="C1591" s="12" t="str">
        <f>"FES1162731388"</f>
        <v>FES1162731388</v>
      </c>
      <c r="D1591" s="12" t="s">
        <v>19</v>
      </c>
      <c r="E1591" s="12" t="s">
        <v>232</v>
      </c>
      <c r="F1591" s="12" t="str">
        <f>"2170724038 "</f>
        <v xml:space="preserve">2170724038 </v>
      </c>
      <c r="G1591" s="12" t="str">
        <f t="shared" si="48"/>
        <v>ON1</v>
      </c>
      <c r="H1591" s="12" t="s">
        <v>21</v>
      </c>
      <c r="I1591" s="12" t="s">
        <v>233</v>
      </c>
      <c r="J1591" s="12" t="str">
        <f>""</f>
        <v/>
      </c>
      <c r="K1591" s="12" t="str">
        <f>"PFES1162731388_0001"</f>
        <v>PFES1162731388_0001</v>
      </c>
      <c r="L1591" s="12">
        <v>1</v>
      </c>
      <c r="M1591" s="12">
        <v>5</v>
      </c>
    </row>
    <row r="1592" spans="1:13">
      <c r="A1592" s="6">
        <v>43846</v>
      </c>
      <c r="B1592" s="7">
        <v>0.49513888888888885</v>
      </c>
      <c r="C1592" s="12" t="str">
        <f>"FES1162731407"</f>
        <v>FES1162731407</v>
      </c>
      <c r="D1592" s="12" t="s">
        <v>19</v>
      </c>
      <c r="E1592" s="12" t="s">
        <v>174</v>
      </c>
      <c r="F1592" s="12" t="str">
        <f>"2170722747 "</f>
        <v xml:space="preserve">2170722747 </v>
      </c>
      <c r="G1592" s="12" t="str">
        <f t="shared" si="48"/>
        <v>ON1</v>
      </c>
      <c r="H1592" s="12" t="s">
        <v>21</v>
      </c>
      <c r="I1592" s="12" t="s">
        <v>175</v>
      </c>
      <c r="J1592" s="12" t="str">
        <f>""</f>
        <v/>
      </c>
      <c r="K1592" s="12" t="str">
        <f>"PFES1162731407_0001"</f>
        <v>PFES1162731407_0001</v>
      </c>
      <c r="L1592" s="12">
        <v>1</v>
      </c>
      <c r="M1592" s="12">
        <v>1</v>
      </c>
    </row>
    <row r="1593" spans="1:13">
      <c r="A1593" s="6">
        <v>43846</v>
      </c>
      <c r="B1593" s="7">
        <v>0.49513888888888885</v>
      </c>
      <c r="C1593" s="12" t="str">
        <f>"FES1162731389"</f>
        <v>FES1162731389</v>
      </c>
      <c r="D1593" s="12" t="s">
        <v>19</v>
      </c>
      <c r="E1593" s="12" t="s">
        <v>439</v>
      </c>
      <c r="F1593" s="12" t="str">
        <f>"2170724039 "</f>
        <v xml:space="preserve">2170724039 </v>
      </c>
      <c r="G1593" s="12" t="str">
        <f t="shared" si="48"/>
        <v>ON1</v>
      </c>
      <c r="H1593" s="12" t="s">
        <v>21</v>
      </c>
      <c r="I1593" s="12" t="s">
        <v>440</v>
      </c>
      <c r="J1593" s="12" t="str">
        <f>""</f>
        <v/>
      </c>
      <c r="K1593" s="12" t="str">
        <f>"PFES1162731389_0001"</f>
        <v>PFES1162731389_0001</v>
      </c>
      <c r="L1593" s="12">
        <v>1</v>
      </c>
      <c r="M1593" s="12">
        <v>1</v>
      </c>
    </row>
    <row r="1594" spans="1:13">
      <c r="A1594" s="6">
        <v>43846</v>
      </c>
      <c r="B1594" s="7">
        <v>0.49513888888888885</v>
      </c>
      <c r="C1594" s="12" t="str">
        <f>"FES1162731431"</f>
        <v>FES1162731431</v>
      </c>
      <c r="D1594" s="12" t="s">
        <v>19</v>
      </c>
      <c r="E1594" s="12" t="s">
        <v>600</v>
      </c>
      <c r="F1594" s="12" t="str">
        <f>"2170721907 "</f>
        <v xml:space="preserve">2170721907 </v>
      </c>
      <c r="G1594" s="12" t="str">
        <f t="shared" si="48"/>
        <v>ON1</v>
      </c>
      <c r="H1594" s="12" t="s">
        <v>21</v>
      </c>
      <c r="I1594" s="12" t="s">
        <v>601</v>
      </c>
      <c r="J1594" s="12" t="str">
        <f>""</f>
        <v/>
      </c>
      <c r="K1594" s="12" t="str">
        <f>"PFES1162731431_0001"</f>
        <v>PFES1162731431_0001</v>
      </c>
      <c r="L1594" s="12">
        <v>1</v>
      </c>
      <c r="M1594" s="12">
        <v>3</v>
      </c>
    </row>
    <row r="1595" spans="1:13">
      <c r="A1595" s="6">
        <v>43846</v>
      </c>
      <c r="B1595" s="7">
        <v>0.49444444444444446</v>
      </c>
      <c r="C1595" s="12" t="str">
        <f>"FES1162731466"</f>
        <v>FES1162731466</v>
      </c>
      <c r="D1595" s="12" t="s">
        <v>19</v>
      </c>
      <c r="E1595" s="12" t="s">
        <v>472</v>
      </c>
      <c r="F1595" s="12" t="str">
        <f>"2170722748 "</f>
        <v xml:space="preserve">2170722748 </v>
      </c>
      <c r="G1595" s="12" t="str">
        <f t="shared" si="48"/>
        <v>ON1</v>
      </c>
      <c r="H1595" s="12" t="s">
        <v>21</v>
      </c>
      <c r="I1595" s="12" t="s">
        <v>85</v>
      </c>
      <c r="J1595" s="12" t="str">
        <f>""</f>
        <v/>
      </c>
      <c r="K1595" s="12" t="str">
        <f>"PFES1162731466_0001"</f>
        <v>PFES1162731466_0001</v>
      </c>
      <c r="L1595" s="12">
        <v>1</v>
      </c>
      <c r="M1595" s="12">
        <v>4</v>
      </c>
    </row>
    <row r="1596" spans="1:13">
      <c r="A1596" s="6">
        <v>43846</v>
      </c>
      <c r="B1596" s="7">
        <v>0.49444444444444446</v>
      </c>
      <c r="C1596" s="12" t="str">
        <f>"FES1162731421"</f>
        <v>FES1162731421</v>
      </c>
      <c r="D1596" s="12" t="s">
        <v>19</v>
      </c>
      <c r="E1596" s="12" t="s">
        <v>178</v>
      </c>
      <c r="F1596" s="12" t="str">
        <f>"2170724070 "</f>
        <v xml:space="preserve">2170724070 </v>
      </c>
      <c r="G1596" s="12" t="str">
        <f t="shared" si="48"/>
        <v>ON1</v>
      </c>
      <c r="H1596" s="12" t="s">
        <v>21</v>
      </c>
      <c r="I1596" s="12" t="s">
        <v>179</v>
      </c>
      <c r="J1596" s="12" t="str">
        <f>""</f>
        <v/>
      </c>
      <c r="K1596" s="12" t="str">
        <f>"PFES1162731421_0001"</f>
        <v>PFES1162731421_0001</v>
      </c>
      <c r="L1596" s="12">
        <v>1</v>
      </c>
      <c r="M1596" s="12">
        <v>1</v>
      </c>
    </row>
    <row r="1597" spans="1:13">
      <c r="A1597" s="6">
        <v>43846</v>
      </c>
      <c r="B1597" s="7">
        <v>0.49444444444444446</v>
      </c>
      <c r="C1597" s="12" t="str">
        <f>"FES1162731471"</f>
        <v>FES1162731471</v>
      </c>
      <c r="D1597" s="12" t="s">
        <v>19</v>
      </c>
      <c r="E1597" s="12" t="s">
        <v>522</v>
      </c>
      <c r="F1597" s="12" t="str">
        <f>"2170723222 "</f>
        <v xml:space="preserve">2170723222 </v>
      </c>
      <c r="G1597" s="12" t="str">
        <f t="shared" si="48"/>
        <v>ON1</v>
      </c>
      <c r="H1597" s="12" t="s">
        <v>21</v>
      </c>
      <c r="I1597" s="12" t="s">
        <v>193</v>
      </c>
      <c r="J1597" s="12" t="str">
        <f>""</f>
        <v/>
      </c>
      <c r="K1597" s="12" t="str">
        <f>"PFES1162731471_0001"</f>
        <v>PFES1162731471_0001</v>
      </c>
      <c r="L1597" s="12">
        <v>1</v>
      </c>
      <c r="M1597" s="12">
        <v>3</v>
      </c>
    </row>
    <row r="1598" spans="1:13">
      <c r="A1598" s="6">
        <v>43846</v>
      </c>
      <c r="B1598" s="7">
        <v>0.49374999999999997</v>
      </c>
      <c r="C1598" s="12" t="str">
        <f>"FES1162731450"</f>
        <v>FES1162731450</v>
      </c>
      <c r="D1598" s="12" t="s">
        <v>19</v>
      </c>
      <c r="E1598" s="12" t="s">
        <v>144</v>
      </c>
      <c r="F1598" s="12" t="str">
        <f>"2170722752 "</f>
        <v xml:space="preserve">2170722752 </v>
      </c>
      <c r="G1598" s="12" t="str">
        <f t="shared" si="48"/>
        <v>ON1</v>
      </c>
      <c r="H1598" s="12" t="s">
        <v>21</v>
      </c>
      <c r="I1598" s="12" t="s">
        <v>34</v>
      </c>
      <c r="J1598" s="12" t="str">
        <f>""</f>
        <v/>
      </c>
      <c r="K1598" s="12" t="str">
        <f>"PFES1162731450_0001"</f>
        <v>PFES1162731450_0001</v>
      </c>
      <c r="L1598" s="12">
        <v>1</v>
      </c>
      <c r="M1598" s="12">
        <v>2</v>
      </c>
    </row>
    <row r="1599" spans="1:13">
      <c r="A1599" s="6">
        <v>43846</v>
      </c>
      <c r="B1599" s="7">
        <v>0.49374999999999997</v>
      </c>
      <c r="C1599" s="12" t="str">
        <f>"FES1162731412"</f>
        <v>FES1162731412</v>
      </c>
      <c r="D1599" s="12" t="s">
        <v>19</v>
      </c>
      <c r="E1599" s="12" t="s">
        <v>188</v>
      </c>
      <c r="F1599" s="12" t="str">
        <f>"2170724056 "</f>
        <v xml:space="preserve">2170724056 </v>
      </c>
      <c r="G1599" s="12" t="str">
        <f t="shared" si="48"/>
        <v>ON1</v>
      </c>
      <c r="H1599" s="12" t="s">
        <v>21</v>
      </c>
      <c r="I1599" s="12" t="s">
        <v>189</v>
      </c>
      <c r="J1599" s="12" t="str">
        <f>""</f>
        <v/>
      </c>
      <c r="K1599" s="12" t="str">
        <f>"PFES1162731412_0001"</f>
        <v>PFES1162731412_0001</v>
      </c>
      <c r="L1599" s="12">
        <v>1</v>
      </c>
      <c r="M1599" s="12">
        <v>1</v>
      </c>
    </row>
    <row r="1600" spans="1:13">
      <c r="A1600" s="6">
        <v>43846</v>
      </c>
      <c r="B1600" s="7">
        <v>0.49305555555555558</v>
      </c>
      <c r="C1600" s="12" t="str">
        <f>"FES1162731447"</f>
        <v>FES1162731447</v>
      </c>
      <c r="D1600" s="12" t="s">
        <v>19</v>
      </c>
      <c r="E1600" s="12" t="s">
        <v>300</v>
      </c>
      <c r="F1600" s="12" t="str">
        <f>"2170722508 "</f>
        <v xml:space="preserve">2170722508 </v>
      </c>
      <c r="G1600" s="12" t="str">
        <f t="shared" si="48"/>
        <v>ON1</v>
      </c>
      <c r="H1600" s="12" t="s">
        <v>21</v>
      </c>
      <c r="I1600" s="12" t="s">
        <v>301</v>
      </c>
      <c r="J1600" s="12" t="str">
        <f>""</f>
        <v/>
      </c>
      <c r="K1600" s="12" t="str">
        <f>"PFES1162731447_0001"</f>
        <v>PFES1162731447_0001</v>
      </c>
      <c r="L1600" s="12">
        <v>1</v>
      </c>
      <c r="M1600" s="12">
        <v>1</v>
      </c>
    </row>
    <row r="1601" spans="1:14">
      <c r="A1601" s="6">
        <v>43846</v>
      </c>
      <c r="B1601" s="7">
        <v>0.49236111111111108</v>
      </c>
      <c r="C1601" s="12" t="str">
        <f>"FES1162731481"</f>
        <v>FES1162731481</v>
      </c>
      <c r="D1601" s="12" t="s">
        <v>19</v>
      </c>
      <c r="E1601" s="12" t="s">
        <v>224</v>
      </c>
      <c r="F1601" s="12" t="str">
        <f>"2170724077 "</f>
        <v xml:space="preserve">2170724077 </v>
      </c>
      <c r="G1601" s="12" t="str">
        <f t="shared" si="48"/>
        <v>ON1</v>
      </c>
      <c r="H1601" s="12" t="s">
        <v>21</v>
      </c>
      <c r="I1601" s="12" t="s">
        <v>225</v>
      </c>
      <c r="J1601" s="12" t="str">
        <f>""</f>
        <v/>
      </c>
      <c r="K1601" s="12" t="str">
        <f>"PFES1162731481_0001"</f>
        <v>PFES1162731481_0001</v>
      </c>
      <c r="L1601" s="12">
        <v>1</v>
      </c>
      <c r="M1601" s="12">
        <v>1</v>
      </c>
    </row>
    <row r="1602" spans="1:14">
      <c r="A1602" s="6">
        <v>43846</v>
      </c>
      <c r="B1602" s="7">
        <v>0.49236111111111108</v>
      </c>
      <c r="C1602" s="12" t="str">
        <f>"FES1162731458"</f>
        <v>FES1162731458</v>
      </c>
      <c r="D1602" s="12" t="s">
        <v>19</v>
      </c>
      <c r="E1602" s="12" t="s">
        <v>771</v>
      </c>
      <c r="F1602" s="12" t="str">
        <f>"2170722694 "</f>
        <v xml:space="preserve">2170722694 </v>
      </c>
      <c r="G1602" s="12" t="str">
        <f t="shared" si="48"/>
        <v>ON1</v>
      </c>
      <c r="H1602" s="12" t="s">
        <v>21</v>
      </c>
      <c r="I1602" s="12" t="s">
        <v>235</v>
      </c>
      <c r="J1602" s="12" t="str">
        <f>""</f>
        <v/>
      </c>
      <c r="K1602" s="12" t="str">
        <f>"PFES1162731458_0001"</f>
        <v>PFES1162731458_0001</v>
      </c>
      <c r="L1602" s="12">
        <v>1</v>
      </c>
      <c r="M1602" s="12">
        <v>2</v>
      </c>
    </row>
    <row r="1603" spans="1:14">
      <c r="A1603" s="6">
        <v>43846</v>
      </c>
      <c r="B1603" s="7">
        <v>0.4916666666666667</v>
      </c>
      <c r="C1603" s="12" t="str">
        <f>"FES1162731490"</f>
        <v>FES1162731490</v>
      </c>
      <c r="D1603" s="12" t="s">
        <v>19</v>
      </c>
      <c r="E1603" s="12" t="s">
        <v>772</v>
      </c>
      <c r="F1603" s="12" t="str">
        <f>"2170723824 "</f>
        <v xml:space="preserve">2170723824 </v>
      </c>
      <c r="G1603" s="12" t="str">
        <f t="shared" si="48"/>
        <v>ON1</v>
      </c>
      <c r="H1603" s="12" t="s">
        <v>21</v>
      </c>
      <c r="I1603" s="12" t="s">
        <v>135</v>
      </c>
      <c r="J1603" s="12" t="str">
        <f>""</f>
        <v/>
      </c>
      <c r="K1603" s="12" t="str">
        <f>"PFES1162731490_0001"</f>
        <v>PFES1162731490_0001</v>
      </c>
      <c r="L1603" s="12">
        <v>1</v>
      </c>
      <c r="M1603" s="12">
        <v>4</v>
      </c>
    </row>
    <row r="1604" spans="1:14">
      <c r="A1604" s="6">
        <v>43846</v>
      </c>
      <c r="B1604" s="7">
        <v>0.4916666666666667</v>
      </c>
      <c r="C1604" s="12" t="str">
        <f>"FES1162731422"</f>
        <v>FES1162731422</v>
      </c>
      <c r="D1604" s="12" t="s">
        <v>19</v>
      </c>
      <c r="E1604" s="12" t="s">
        <v>180</v>
      </c>
      <c r="F1604" s="12" t="str">
        <f>"2170724071 "</f>
        <v xml:space="preserve">2170724071 </v>
      </c>
      <c r="G1604" s="12" t="str">
        <f t="shared" si="48"/>
        <v>ON1</v>
      </c>
      <c r="H1604" s="12" t="s">
        <v>21</v>
      </c>
      <c r="I1604" s="12" t="s">
        <v>28</v>
      </c>
      <c r="J1604" s="12" t="str">
        <f>""</f>
        <v/>
      </c>
      <c r="K1604" s="12" t="str">
        <f>"PFES1162731422_0001"</f>
        <v>PFES1162731422_0001</v>
      </c>
      <c r="L1604" s="12">
        <v>1</v>
      </c>
      <c r="M1604" s="12">
        <v>1</v>
      </c>
    </row>
    <row r="1605" spans="1:14">
      <c r="A1605" s="6">
        <v>43846</v>
      </c>
      <c r="B1605" s="7">
        <v>0.4916666666666667</v>
      </c>
      <c r="C1605" s="12" t="str">
        <f>"FES1162731430"</f>
        <v>FES1162731430</v>
      </c>
      <c r="D1605" s="12" t="s">
        <v>19</v>
      </c>
      <c r="E1605" s="12" t="s">
        <v>252</v>
      </c>
      <c r="F1605" s="12" t="str">
        <f>"2170721784 "</f>
        <v xml:space="preserve">2170721784 </v>
      </c>
      <c r="G1605" s="12" t="str">
        <f t="shared" si="48"/>
        <v>ON1</v>
      </c>
      <c r="H1605" s="12" t="s">
        <v>21</v>
      </c>
      <c r="I1605" s="12" t="s">
        <v>253</v>
      </c>
      <c r="J1605" s="12" t="str">
        <f>""</f>
        <v/>
      </c>
      <c r="K1605" s="12" t="str">
        <f>"PFES1162731430_0001"</f>
        <v>PFES1162731430_0001</v>
      </c>
      <c r="L1605" s="12">
        <v>1</v>
      </c>
      <c r="M1605" s="12">
        <v>6</v>
      </c>
    </row>
    <row r="1606" spans="1:14">
      <c r="A1606" s="6">
        <v>43846</v>
      </c>
      <c r="B1606" s="7">
        <v>0.4909722222222222</v>
      </c>
      <c r="C1606" s="12" t="str">
        <f>"FES1162731410"</f>
        <v>FES1162731410</v>
      </c>
      <c r="D1606" s="12" t="s">
        <v>19</v>
      </c>
      <c r="E1606" s="12" t="s">
        <v>29</v>
      </c>
      <c r="F1606" s="12" t="str">
        <f>"2170723644 "</f>
        <v xml:space="preserve">2170723644 </v>
      </c>
      <c r="G1606" s="12" t="str">
        <f t="shared" si="48"/>
        <v>ON1</v>
      </c>
      <c r="H1606" s="12" t="s">
        <v>21</v>
      </c>
      <c r="I1606" s="12" t="s">
        <v>22</v>
      </c>
      <c r="J1606" s="12" t="str">
        <f>""</f>
        <v/>
      </c>
      <c r="K1606" s="12" t="str">
        <f>"PFES1162731410_0001"</f>
        <v>PFES1162731410_0001</v>
      </c>
      <c r="L1606" s="12">
        <v>1</v>
      </c>
      <c r="M1606" s="12">
        <v>1</v>
      </c>
    </row>
    <row r="1607" spans="1:14">
      <c r="A1607" s="6">
        <v>43846</v>
      </c>
      <c r="B1607" s="7">
        <v>0.48958333333333331</v>
      </c>
      <c r="C1607" s="12" t="str">
        <f>"FES1162731498"</f>
        <v>FES1162731498</v>
      </c>
      <c r="D1607" s="12" t="s">
        <v>19</v>
      </c>
      <c r="E1607" s="12" t="s">
        <v>64</v>
      </c>
      <c r="F1607" s="12" t="str">
        <f>"2170724096 "</f>
        <v xml:space="preserve">2170724096 </v>
      </c>
      <c r="G1607" s="12" t="str">
        <f t="shared" si="48"/>
        <v>ON1</v>
      </c>
      <c r="H1607" s="12" t="s">
        <v>21</v>
      </c>
      <c r="I1607" s="12" t="s">
        <v>60</v>
      </c>
      <c r="J1607" s="12" t="str">
        <f>""</f>
        <v/>
      </c>
      <c r="K1607" s="12" t="str">
        <f>"PFES1162731498_0001"</f>
        <v>PFES1162731498_0001</v>
      </c>
      <c r="L1607" s="12">
        <v>1</v>
      </c>
      <c r="M1607" s="12">
        <v>1</v>
      </c>
    </row>
    <row r="1608" spans="1:14">
      <c r="A1608" s="6">
        <v>43846</v>
      </c>
      <c r="B1608" s="7">
        <v>0.48819444444444443</v>
      </c>
      <c r="C1608" s="12" t="str">
        <f>"FES1162731497"</f>
        <v>FES1162731497</v>
      </c>
      <c r="D1608" s="12" t="s">
        <v>19</v>
      </c>
      <c r="E1608" s="12" t="s">
        <v>44</v>
      </c>
      <c r="F1608" s="12" t="str">
        <f>"2170724095 "</f>
        <v xml:space="preserve">2170724095 </v>
      </c>
      <c r="G1608" s="12" t="str">
        <f t="shared" si="48"/>
        <v>ON1</v>
      </c>
      <c r="H1608" s="12" t="s">
        <v>21</v>
      </c>
      <c r="I1608" s="12" t="s">
        <v>63</v>
      </c>
      <c r="J1608" s="12" t="str">
        <f>""</f>
        <v/>
      </c>
      <c r="K1608" s="12" t="str">
        <f>"PFES1162731497_0001"</f>
        <v>PFES1162731497_0001</v>
      </c>
      <c r="L1608" s="12">
        <v>1</v>
      </c>
      <c r="M1608" s="12">
        <v>1</v>
      </c>
    </row>
    <row r="1609" spans="1:14">
      <c r="A1609" s="6">
        <v>43846</v>
      </c>
      <c r="B1609" s="7">
        <v>0.48680555555555555</v>
      </c>
      <c r="C1609" s="12" t="str">
        <f>"FES1162731506"</f>
        <v>FES1162731506</v>
      </c>
      <c r="D1609" s="12" t="s">
        <v>19</v>
      </c>
      <c r="E1609" s="12" t="s">
        <v>37</v>
      </c>
      <c r="F1609" s="12" t="str">
        <f>"2170724107 "</f>
        <v xml:space="preserve">2170724107 </v>
      </c>
      <c r="G1609" s="12" t="str">
        <f t="shared" si="48"/>
        <v>ON1</v>
      </c>
      <c r="H1609" s="12" t="s">
        <v>21</v>
      </c>
      <c r="I1609" s="12" t="s">
        <v>38</v>
      </c>
      <c r="J1609" s="12" t="str">
        <f>""</f>
        <v/>
      </c>
      <c r="K1609" s="12" t="str">
        <f>"PFES1162731506_0001"</f>
        <v>PFES1162731506_0001</v>
      </c>
      <c r="L1609" s="12">
        <v>1</v>
      </c>
      <c r="M1609" s="12">
        <v>1</v>
      </c>
    </row>
    <row r="1610" spans="1:14">
      <c r="A1610" s="6">
        <v>43846</v>
      </c>
      <c r="B1610" s="7">
        <v>0.48541666666666666</v>
      </c>
      <c r="C1610" s="12" t="str">
        <f>"FES1162731527"</f>
        <v>FES1162731527</v>
      </c>
      <c r="D1610" s="12" t="s">
        <v>19</v>
      </c>
      <c r="E1610" s="12" t="s">
        <v>86</v>
      </c>
      <c r="F1610" s="12" t="str">
        <f>"2170724140 "</f>
        <v xml:space="preserve">2170724140 </v>
      </c>
      <c r="G1610" s="12" t="str">
        <f t="shared" si="48"/>
        <v>ON1</v>
      </c>
      <c r="H1610" s="12" t="s">
        <v>21</v>
      </c>
      <c r="I1610" s="12" t="s">
        <v>63</v>
      </c>
      <c r="J1610" s="12" t="str">
        <f>""</f>
        <v/>
      </c>
      <c r="K1610" s="12" t="str">
        <f>"PFES1162731527_0001"</f>
        <v>PFES1162731527_0001</v>
      </c>
      <c r="L1610" s="12">
        <v>1</v>
      </c>
      <c r="M1610" s="12">
        <v>1</v>
      </c>
    </row>
    <row r="1611" spans="1:14">
      <c r="A1611" s="6">
        <v>43846</v>
      </c>
      <c r="B1611" s="7">
        <v>0.48402777777777778</v>
      </c>
      <c r="C1611" s="12" t="str">
        <f>"FES1162731523"</f>
        <v>FES1162731523</v>
      </c>
      <c r="D1611" s="12" t="s">
        <v>19</v>
      </c>
      <c r="E1611" s="12" t="s">
        <v>670</v>
      </c>
      <c r="F1611" s="12" t="str">
        <f>"2170724131 "</f>
        <v xml:space="preserve">2170724131 </v>
      </c>
      <c r="G1611" s="12" t="str">
        <f t="shared" si="48"/>
        <v>ON1</v>
      </c>
      <c r="H1611" s="12" t="s">
        <v>21</v>
      </c>
      <c r="I1611" s="12" t="s">
        <v>528</v>
      </c>
      <c r="J1611" s="12" t="str">
        <f>""</f>
        <v/>
      </c>
      <c r="K1611" s="12" t="str">
        <f>"PFES1162731523_0001"</f>
        <v>PFES1162731523_0001</v>
      </c>
      <c r="L1611" s="12">
        <v>1</v>
      </c>
      <c r="M1611" s="12">
        <v>1</v>
      </c>
    </row>
    <row r="1612" spans="1:14">
      <c r="A1612" s="6">
        <v>43847</v>
      </c>
      <c r="B1612" s="7">
        <v>0.63194444444444442</v>
      </c>
      <c r="C1612" s="13" t="str">
        <f>"FES1162731778"</f>
        <v>FES1162731778</v>
      </c>
      <c r="D1612" s="13" t="s">
        <v>19</v>
      </c>
      <c r="E1612" s="13" t="s">
        <v>529</v>
      </c>
      <c r="F1612" s="13" t="str">
        <f>"2170724746 "</f>
        <v xml:space="preserve">2170724746 </v>
      </c>
      <c r="G1612" s="13" t="str">
        <f t="shared" si="48"/>
        <v>ON1</v>
      </c>
      <c r="H1612" s="13" t="s">
        <v>21</v>
      </c>
      <c r="I1612" s="13" t="s">
        <v>36</v>
      </c>
      <c r="J1612" s="13" t="str">
        <f>""</f>
        <v/>
      </c>
      <c r="K1612" s="13" t="str">
        <f>"PFES1162731778_0001"</f>
        <v>PFES1162731778_0001</v>
      </c>
      <c r="L1612" s="13">
        <v>1</v>
      </c>
      <c r="M1612" s="13">
        <v>2</v>
      </c>
      <c r="N1612" s="15"/>
    </row>
    <row r="1613" spans="1:14">
      <c r="A1613" s="6">
        <v>43847</v>
      </c>
      <c r="B1613" s="7">
        <v>0.62013888888888891</v>
      </c>
      <c r="C1613" s="13" t="str">
        <f>"FES1162731775"</f>
        <v>FES1162731775</v>
      </c>
      <c r="D1613" s="13" t="s">
        <v>19</v>
      </c>
      <c r="E1613" s="13" t="s">
        <v>555</v>
      </c>
      <c r="F1613" s="13" t="str">
        <f>"2170724416 "</f>
        <v xml:space="preserve">2170724416 </v>
      </c>
      <c r="G1613" s="13" t="str">
        <f t="shared" si="48"/>
        <v>ON1</v>
      </c>
      <c r="H1613" s="13" t="s">
        <v>21</v>
      </c>
      <c r="I1613" s="13" t="s">
        <v>112</v>
      </c>
      <c r="J1613" s="13" t="str">
        <f>""</f>
        <v/>
      </c>
      <c r="K1613" s="13" t="str">
        <f>"PFES1162731775_0001"</f>
        <v>PFES1162731775_0001</v>
      </c>
      <c r="L1613" s="13">
        <v>1</v>
      </c>
      <c r="M1613" s="13">
        <v>1</v>
      </c>
      <c r="N1613" s="15"/>
    </row>
    <row r="1614" spans="1:14">
      <c r="A1614" s="6">
        <v>43847</v>
      </c>
      <c r="B1614" s="7">
        <v>0.61805555555555558</v>
      </c>
      <c r="C1614" s="13" t="str">
        <f>"FES1162731776"</f>
        <v>FES1162731776</v>
      </c>
      <c r="D1614" s="13" t="s">
        <v>19</v>
      </c>
      <c r="E1614" s="13" t="s">
        <v>773</v>
      </c>
      <c r="F1614" s="13" t="str">
        <f>"2170724417 "</f>
        <v xml:space="preserve">2170724417 </v>
      </c>
      <c r="G1614" s="13" t="str">
        <f t="shared" si="48"/>
        <v>ON1</v>
      </c>
      <c r="H1614" s="13" t="s">
        <v>21</v>
      </c>
      <c r="I1614" s="13" t="s">
        <v>114</v>
      </c>
      <c r="J1614" s="13" t="str">
        <f>""</f>
        <v/>
      </c>
      <c r="K1614" s="13" t="str">
        <f>"PFES1162731776_0001"</f>
        <v>PFES1162731776_0001</v>
      </c>
      <c r="L1614" s="13">
        <v>1</v>
      </c>
      <c r="M1614" s="13">
        <v>1</v>
      </c>
      <c r="N1614" s="15"/>
    </row>
    <row r="1615" spans="1:14">
      <c r="A1615" s="6">
        <v>43847</v>
      </c>
      <c r="B1615" s="7">
        <v>0.61736111111111114</v>
      </c>
      <c r="C1615" s="13" t="str">
        <f>"FES1162731773"</f>
        <v>FES1162731773</v>
      </c>
      <c r="D1615" s="13" t="s">
        <v>19</v>
      </c>
      <c r="E1615" s="13" t="s">
        <v>626</v>
      </c>
      <c r="F1615" s="13" t="str">
        <f>"2170724397 "</f>
        <v xml:space="preserve">2170724397 </v>
      </c>
      <c r="G1615" s="13" t="str">
        <f t="shared" si="48"/>
        <v>ON1</v>
      </c>
      <c r="H1615" s="13" t="s">
        <v>21</v>
      </c>
      <c r="I1615" s="13" t="s">
        <v>139</v>
      </c>
      <c r="J1615" s="13" t="str">
        <f>""</f>
        <v/>
      </c>
      <c r="K1615" s="13" t="str">
        <f>"PFES1162731773_0001"</f>
        <v>PFES1162731773_0001</v>
      </c>
      <c r="L1615" s="13">
        <v>1</v>
      </c>
      <c r="M1615" s="13">
        <v>1</v>
      </c>
      <c r="N1615" s="15"/>
    </row>
    <row r="1616" spans="1:14">
      <c r="A1616" s="6">
        <v>43847</v>
      </c>
      <c r="B1616" s="7">
        <v>0.61527777777777781</v>
      </c>
      <c r="C1616" s="13" t="str">
        <f>"FES1162731772"</f>
        <v>FES1162731772</v>
      </c>
      <c r="D1616" s="13" t="s">
        <v>19</v>
      </c>
      <c r="E1616" s="13" t="s">
        <v>128</v>
      </c>
      <c r="F1616" s="13" t="str">
        <f>"2170724414 "</f>
        <v xml:space="preserve">2170724414 </v>
      </c>
      <c r="G1616" s="13" t="str">
        <f t="shared" si="48"/>
        <v>ON1</v>
      </c>
      <c r="H1616" s="13" t="s">
        <v>21</v>
      </c>
      <c r="I1616" s="13" t="s">
        <v>129</v>
      </c>
      <c r="J1616" s="13" t="str">
        <f>""</f>
        <v/>
      </c>
      <c r="K1616" s="13" t="str">
        <f>"PFES1162731772_0001"</f>
        <v>PFES1162731772_0001</v>
      </c>
      <c r="L1616" s="13">
        <v>1</v>
      </c>
      <c r="M1616" s="13">
        <v>1</v>
      </c>
      <c r="N1616" s="15"/>
    </row>
    <row r="1617" spans="1:14">
      <c r="A1617" s="6">
        <v>43847</v>
      </c>
      <c r="B1617" s="7">
        <v>0.61458333333333337</v>
      </c>
      <c r="C1617" s="13" t="str">
        <f>"FES1162731771"</f>
        <v>FES1162731771</v>
      </c>
      <c r="D1617" s="13" t="s">
        <v>19</v>
      </c>
      <c r="E1617" s="13" t="s">
        <v>748</v>
      </c>
      <c r="F1617" s="13" t="str">
        <f>"2170724413 "</f>
        <v xml:space="preserve">2170724413 </v>
      </c>
      <c r="G1617" s="13" t="str">
        <f t="shared" si="48"/>
        <v>ON1</v>
      </c>
      <c r="H1617" s="13" t="s">
        <v>21</v>
      </c>
      <c r="I1617" s="13" t="s">
        <v>466</v>
      </c>
      <c r="J1617" s="13" t="str">
        <f>""</f>
        <v/>
      </c>
      <c r="K1617" s="13" t="str">
        <f>"PFES1162731771_0001"</f>
        <v>PFES1162731771_0001</v>
      </c>
      <c r="L1617" s="13">
        <v>1</v>
      </c>
      <c r="M1617" s="13">
        <v>1</v>
      </c>
      <c r="N1617" s="15"/>
    </row>
    <row r="1618" spans="1:14">
      <c r="A1618" s="6">
        <v>43847</v>
      </c>
      <c r="B1618" s="7">
        <v>0.61388888888888882</v>
      </c>
      <c r="C1618" s="13" t="str">
        <f>"FES1162731761"</f>
        <v>FES1162731761</v>
      </c>
      <c r="D1618" s="13" t="s">
        <v>19</v>
      </c>
      <c r="E1618" s="13" t="s">
        <v>308</v>
      </c>
      <c r="F1618" s="13" t="str">
        <f>"2170724403 "</f>
        <v xml:space="preserve">2170724403 </v>
      </c>
      <c r="G1618" s="13" t="str">
        <f t="shared" si="48"/>
        <v>ON1</v>
      </c>
      <c r="H1618" s="13" t="s">
        <v>21</v>
      </c>
      <c r="I1618" s="13" t="s">
        <v>309</v>
      </c>
      <c r="J1618" s="13" t="str">
        <f>""</f>
        <v/>
      </c>
      <c r="K1618" s="13" t="str">
        <f>"PFES1162731761_0001"</f>
        <v>PFES1162731761_0001</v>
      </c>
      <c r="L1618" s="13">
        <v>2</v>
      </c>
      <c r="M1618" s="13">
        <v>16</v>
      </c>
      <c r="N1618" s="15"/>
    </row>
    <row r="1619" spans="1:14">
      <c r="A1619" s="6">
        <v>43496</v>
      </c>
      <c r="B1619" s="7">
        <v>0.68263888888888891</v>
      </c>
      <c r="C1619" s="13" t="str">
        <f>"FES1162731761"</f>
        <v>FES1162731761</v>
      </c>
      <c r="D1619" s="13" t="s">
        <v>19</v>
      </c>
      <c r="E1619" s="13" t="s">
        <v>774</v>
      </c>
      <c r="F1619" s="13" t="str">
        <f>"217067363 "</f>
        <v xml:space="preserve">217067363 </v>
      </c>
      <c r="G1619" s="13" t="str">
        <f t="shared" si="48"/>
        <v>ON1</v>
      </c>
      <c r="H1619" s="13" t="s">
        <v>21</v>
      </c>
      <c r="I1619" s="13" t="s">
        <v>775</v>
      </c>
      <c r="J1619" s="13" t="str">
        <f>""</f>
        <v/>
      </c>
      <c r="K1619" s="13" t="str">
        <f>"PFES1162731761_0002"</f>
        <v>PFES1162731761_0002</v>
      </c>
      <c r="L1619" s="13">
        <v>1</v>
      </c>
      <c r="M1619" s="13">
        <v>1</v>
      </c>
      <c r="N1619" s="15"/>
    </row>
    <row r="1620" spans="1:14">
      <c r="A1620" s="6">
        <v>43847</v>
      </c>
      <c r="B1620" s="7">
        <v>0.61388888888888882</v>
      </c>
      <c r="C1620" s="13" t="str">
        <f>"FES1162731754"</f>
        <v>FES1162731754</v>
      </c>
      <c r="D1620" s="13" t="s">
        <v>19</v>
      </c>
      <c r="E1620" s="13" t="s">
        <v>86</v>
      </c>
      <c r="F1620" s="13" t="str">
        <f>"2170723151 "</f>
        <v xml:space="preserve">2170723151 </v>
      </c>
      <c r="G1620" s="13" t="str">
        <f t="shared" si="48"/>
        <v>ON1</v>
      </c>
      <c r="H1620" s="13" t="s">
        <v>21</v>
      </c>
      <c r="I1620" s="13" t="s">
        <v>63</v>
      </c>
      <c r="J1620" s="13" t="str">
        <f>""</f>
        <v/>
      </c>
      <c r="K1620" s="13" t="str">
        <f>"PFES1162731754_0001"</f>
        <v>PFES1162731754_0001</v>
      </c>
      <c r="L1620" s="13">
        <v>1</v>
      </c>
      <c r="M1620" s="13">
        <v>2</v>
      </c>
      <c r="N1620" s="15"/>
    </row>
    <row r="1621" spans="1:14">
      <c r="A1621" s="6">
        <v>43847</v>
      </c>
      <c r="B1621" s="7">
        <v>0.61319444444444449</v>
      </c>
      <c r="C1621" s="13" t="str">
        <f>"FES1162731753"</f>
        <v>FES1162731753</v>
      </c>
      <c r="D1621" s="13" t="s">
        <v>19</v>
      </c>
      <c r="E1621" s="13" t="s">
        <v>147</v>
      </c>
      <c r="F1621" s="13" t="str">
        <f>"2170719894 "</f>
        <v xml:space="preserve">2170719894 </v>
      </c>
      <c r="G1621" s="13" t="str">
        <f t="shared" si="48"/>
        <v>ON1</v>
      </c>
      <c r="H1621" s="13" t="s">
        <v>21</v>
      </c>
      <c r="I1621" s="13" t="s">
        <v>148</v>
      </c>
      <c r="J1621" s="13" t="str">
        <f>""</f>
        <v/>
      </c>
      <c r="K1621" s="13" t="str">
        <f>"PFES1162731753_0001"</f>
        <v>PFES1162731753_0001</v>
      </c>
      <c r="L1621" s="13">
        <v>1</v>
      </c>
      <c r="M1621" s="13">
        <v>5</v>
      </c>
      <c r="N1621" s="15"/>
    </row>
    <row r="1622" spans="1:14">
      <c r="A1622" s="6">
        <v>43847</v>
      </c>
      <c r="B1622" s="7">
        <v>0.61111111111111105</v>
      </c>
      <c r="C1622" s="13" t="str">
        <f>"FES1162731770"</f>
        <v>FES1162731770</v>
      </c>
      <c r="D1622" s="13" t="s">
        <v>19</v>
      </c>
      <c r="E1622" s="13" t="s">
        <v>776</v>
      </c>
      <c r="F1622" s="13" t="str">
        <f>"2170724412 "</f>
        <v xml:space="preserve">2170724412 </v>
      </c>
      <c r="G1622" s="13" t="str">
        <f t="shared" si="48"/>
        <v>ON1</v>
      </c>
      <c r="H1622" s="13" t="s">
        <v>21</v>
      </c>
      <c r="I1622" s="13" t="s">
        <v>777</v>
      </c>
      <c r="J1622" s="13" t="str">
        <f>""</f>
        <v/>
      </c>
      <c r="K1622" s="13" t="str">
        <f>"PFES1162731770_0001"</f>
        <v>PFES1162731770_0001</v>
      </c>
      <c r="L1622" s="13">
        <v>1</v>
      </c>
      <c r="M1622" s="13">
        <v>1</v>
      </c>
      <c r="N1622" s="15"/>
    </row>
    <row r="1623" spans="1:14">
      <c r="A1623" s="6">
        <v>43847</v>
      </c>
      <c r="B1623" s="7">
        <v>0.60763888888888895</v>
      </c>
      <c r="C1623" s="13" t="str">
        <f>"FES1162731768"</f>
        <v>FES1162731768</v>
      </c>
      <c r="D1623" s="13" t="s">
        <v>19</v>
      </c>
      <c r="E1623" s="13" t="s">
        <v>243</v>
      </c>
      <c r="F1623" s="13" t="str">
        <f>"2170724411 "</f>
        <v xml:space="preserve">2170724411 </v>
      </c>
      <c r="G1623" s="13" t="str">
        <f>"SAT"</f>
        <v>SAT</v>
      </c>
      <c r="H1623" s="13" t="s">
        <v>21</v>
      </c>
      <c r="I1623" s="13" t="s">
        <v>71</v>
      </c>
      <c r="J1623" s="13" t="str">
        <f>"SATURDAY DELIVERY"</f>
        <v>SATURDAY DELIVERY</v>
      </c>
      <c r="K1623" s="13" t="str">
        <f>"PFES1162731768_0001"</f>
        <v>PFES1162731768_0001</v>
      </c>
      <c r="L1623" s="13">
        <v>1</v>
      </c>
      <c r="M1623" s="13">
        <v>1</v>
      </c>
      <c r="N1623" s="15"/>
    </row>
    <row r="1624" spans="1:14">
      <c r="A1624" s="6">
        <v>43847</v>
      </c>
      <c r="B1624" s="7">
        <v>0.60763888888888895</v>
      </c>
      <c r="C1624" s="13" t="str">
        <f>"FES1162731752"</f>
        <v>FES1162731752</v>
      </c>
      <c r="D1624" s="13" t="s">
        <v>19</v>
      </c>
      <c r="E1624" s="13" t="s">
        <v>322</v>
      </c>
      <c r="F1624" s="13" t="str">
        <f>"217078768 "</f>
        <v xml:space="preserve">217078768 </v>
      </c>
      <c r="G1624" s="13" t="str">
        <f t="shared" ref="G1624:G1658" si="49">"ON1"</f>
        <v>ON1</v>
      </c>
      <c r="H1624" s="13" t="s">
        <v>21</v>
      </c>
      <c r="I1624" s="13" t="s">
        <v>323</v>
      </c>
      <c r="J1624" s="13" t="str">
        <f>""</f>
        <v/>
      </c>
      <c r="K1624" s="13" t="str">
        <f>"PFES1162731752_0001"</f>
        <v>PFES1162731752_0001</v>
      </c>
      <c r="L1624" s="13">
        <v>1</v>
      </c>
      <c r="M1624" s="13">
        <v>6</v>
      </c>
      <c r="N1624" s="15"/>
    </row>
    <row r="1625" spans="1:14">
      <c r="A1625" s="6">
        <v>43847</v>
      </c>
      <c r="B1625" s="7">
        <v>0.60763888888888895</v>
      </c>
      <c r="C1625" s="13" t="str">
        <f>"FES1162731751"</f>
        <v>FES1162731751</v>
      </c>
      <c r="D1625" s="13" t="s">
        <v>19</v>
      </c>
      <c r="E1625" s="13" t="s">
        <v>322</v>
      </c>
      <c r="F1625" s="13" t="str">
        <f>"2170721764 "</f>
        <v xml:space="preserve">2170721764 </v>
      </c>
      <c r="G1625" s="13" t="str">
        <f t="shared" si="49"/>
        <v>ON1</v>
      </c>
      <c r="H1625" s="13" t="s">
        <v>21</v>
      </c>
      <c r="I1625" s="13" t="s">
        <v>323</v>
      </c>
      <c r="J1625" s="13" t="str">
        <f>""</f>
        <v/>
      </c>
      <c r="K1625" s="13" t="str">
        <f>"PFES1162731751_0001"</f>
        <v>PFES1162731751_0001</v>
      </c>
      <c r="L1625" s="13">
        <v>1</v>
      </c>
      <c r="M1625" s="13">
        <v>6</v>
      </c>
      <c r="N1625" s="15"/>
    </row>
    <row r="1626" spans="1:14">
      <c r="A1626" s="6">
        <v>43847</v>
      </c>
      <c r="B1626" s="7">
        <v>0.6069444444444444</v>
      </c>
      <c r="C1626" s="13" t="str">
        <f>"FES1162731769"</f>
        <v>FES1162731769</v>
      </c>
      <c r="D1626" s="13" t="s">
        <v>19</v>
      </c>
      <c r="E1626" s="13" t="s">
        <v>190</v>
      </c>
      <c r="F1626" s="13" t="str">
        <f>"2170724409 "</f>
        <v xml:space="preserve">2170724409 </v>
      </c>
      <c r="G1626" s="13" t="str">
        <f t="shared" si="49"/>
        <v>ON1</v>
      </c>
      <c r="H1626" s="13" t="s">
        <v>21</v>
      </c>
      <c r="I1626" s="13" t="s">
        <v>191</v>
      </c>
      <c r="J1626" s="13" t="str">
        <f>""</f>
        <v/>
      </c>
      <c r="K1626" s="13" t="str">
        <f>"PFES1162731769_0001"</f>
        <v>PFES1162731769_0001</v>
      </c>
      <c r="L1626" s="13">
        <v>1</v>
      </c>
      <c r="M1626" s="13">
        <v>1</v>
      </c>
      <c r="N1626" s="15"/>
    </row>
    <row r="1627" spans="1:14">
      <c r="A1627" s="6">
        <v>43847</v>
      </c>
      <c r="B1627" s="7">
        <v>0.60625000000000007</v>
      </c>
      <c r="C1627" s="13" t="str">
        <f>"FES1162731759"</f>
        <v>FES1162731759</v>
      </c>
      <c r="D1627" s="13" t="s">
        <v>19</v>
      </c>
      <c r="E1627" s="13" t="s">
        <v>208</v>
      </c>
      <c r="F1627" s="13" t="str">
        <f>"2170724401 "</f>
        <v xml:space="preserve">2170724401 </v>
      </c>
      <c r="G1627" s="13" t="str">
        <f t="shared" si="49"/>
        <v>ON1</v>
      </c>
      <c r="H1627" s="13" t="s">
        <v>21</v>
      </c>
      <c r="I1627" s="13" t="s">
        <v>209</v>
      </c>
      <c r="J1627" s="13" t="str">
        <f>""</f>
        <v/>
      </c>
      <c r="K1627" s="13" t="str">
        <f>"PFES1162731759_0001"</f>
        <v>PFES1162731759_0001</v>
      </c>
      <c r="L1627" s="13">
        <v>1</v>
      </c>
      <c r="M1627" s="13">
        <v>1</v>
      </c>
      <c r="N1627" s="15"/>
    </row>
    <row r="1628" spans="1:14">
      <c r="A1628" s="6">
        <v>43847</v>
      </c>
      <c r="B1628" s="7">
        <v>0.60625000000000007</v>
      </c>
      <c r="C1628" s="13" t="str">
        <f>"FES1162731760"</f>
        <v>FES1162731760</v>
      </c>
      <c r="D1628" s="13" t="s">
        <v>19</v>
      </c>
      <c r="E1628" s="13" t="s">
        <v>753</v>
      </c>
      <c r="F1628" s="13" t="str">
        <f>"2170724402 "</f>
        <v xml:space="preserve">2170724402 </v>
      </c>
      <c r="G1628" s="13" t="str">
        <f t="shared" si="49"/>
        <v>ON1</v>
      </c>
      <c r="H1628" s="13" t="s">
        <v>21</v>
      </c>
      <c r="I1628" s="13" t="s">
        <v>355</v>
      </c>
      <c r="J1628" s="13" t="str">
        <f>""</f>
        <v/>
      </c>
      <c r="K1628" s="13" t="str">
        <f>"PFES1162731760_0001"</f>
        <v>PFES1162731760_0001</v>
      </c>
      <c r="L1628" s="13">
        <v>1</v>
      </c>
      <c r="M1628" s="13">
        <v>1</v>
      </c>
      <c r="N1628" s="15"/>
    </row>
    <row r="1629" spans="1:14">
      <c r="A1629" s="6">
        <v>43847</v>
      </c>
      <c r="B1629" s="7">
        <v>0.60555555555555551</v>
      </c>
      <c r="C1629" s="13" t="str">
        <f>"FES1162731758"</f>
        <v>FES1162731758</v>
      </c>
      <c r="D1629" s="13" t="s">
        <v>19</v>
      </c>
      <c r="E1629" s="13" t="s">
        <v>261</v>
      </c>
      <c r="F1629" s="13" t="str">
        <f>"21707124399 "</f>
        <v xml:space="preserve">21707124399 </v>
      </c>
      <c r="G1629" s="13" t="str">
        <f t="shared" si="49"/>
        <v>ON1</v>
      </c>
      <c r="H1629" s="13" t="s">
        <v>21</v>
      </c>
      <c r="I1629" s="13" t="s">
        <v>152</v>
      </c>
      <c r="J1629" s="13" t="str">
        <f>""</f>
        <v/>
      </c>
      <c r="K1629" s="13" t="str">
        <f>"PFES1162731758_0001"</f>
        <v>PFES1162731758_0001</v>
      </c>
      <c r="L1629" s="13">
        <v>1</v>
      </c>
      <c r="M1629" s="13">
        <v>1</v>
      </c>
      <c r="N1629" s="15"/>
    </row>
    <row r="1630" spans="1:14">
      <c r="A1630" s="6">
        <v>43847</v>
      </c>
      <c r="B1630" s="7">
        <v>0.60555555555555551</v>
      </c>
      <c r="C1630" s="13" t="str">
        <f>"FES1162731767"</f>
        <v>FES1162731767</v>
      </c>
      <c r="D1630" s="13" t="s">
        <v>19</v>
      </c>
      <c r="E1630" s="13" t="s">
        <v>128</v>
      </c>
      <c r="F1630" s="13" t="str">
        <f>"21707214408 "</f>
        <v xml:space="preserve">21707214408 </v>
      </c>
      <c r="G1630" s="13" t="str">
        <f t="shared" si="49"/>
        <v>ON1</v>
      </c>
      <c r="H1630" s="13" t="s">
        <v>21</v>
      </c>
      <c r="I1630" s="13" t="s">
        <v>24</v>
      </c>
      <c r="J1630" s="13" t="str">
        <f>""</f>
        <v/>
      </c>
      <c r="K1630" s="13" t="str">
        <f>"PFES1162731767_0001"</f>
        <v>PFES1162731767_0001</v>
      </c>
      <c r="L1630" s="13">
        <v>1</v>
      </c>
      <c r="M1630" s="13">
        <v>1</v>
      </c>
      <c r="N1630" s="15"/>
    </row>
    <row r="1631" spans="1:14">
      <c r="A1631" s="6">
        <v>43847</v>
      </c>
      <c r="B1631" s="7">
        <v>0.60486111111111118</v>
      </c>
      <c r="C1631" s="13" t="str">
        <f>"FES1162731763"</f>
        <v>FES1162731763</v>
      </c>
      <c r="D1631" s="13" t="s">
        <v>19</v>
      </c>
      <c r="E1631" s="13" t="s">
        <v>778</v>
      </c>
      <c r="F1631" s="13" t="str">
        <f>"2170724405 "</f>
        <v xml:space="preserve">2170724405 </v>
      </c>
      <c r="G1631" s="13" t="str">
        <f t="shared" si="49"/>
        <v>ON1</v>
      </c>
      <c r="H1631" s="13" t="s">
        <v>21</v>
      </c>
      <c r="I1631" s="13" t="s">
        <v>301</v>
      </c>
      <c r="J1631" s="13" t="str">
        <f>""</f>
        <v/>
      </c>
      <c r="K1631" s="13" t="str">
        <f>"PFES1162731763_0001"</f>
        <v>PFES1162731763_0001</v>
      </c>
      <c r="L1631" s="13">
        <v>1</v>
      </c>
      <c r="M1631" s="13">
        <v>1</v>
      </c>
      <c r="N1631" s="15"/>
    </row>
    <row r="1632" spans="1:14">
      <c r="A1632" s="6">
        <v>43847</v>
      </c>
      <c r="B1632" s="7">
        <v>0.60486111111111118</v>
      </c>
      <c r="C1632" s="13" t="str">
        <f>"FES1162731764"</f>
        <v>FES1162731764</v>
      </c>
      <c r="D1632" s="13" t="s">
        <v>19</v>
      </c>
      <c r="E1632" s="13" t="s">
        <v>779</v>
      </c>
      <c r="F1632" s="13" t="str">
        <f>"2170724406 "</f>
        <v xml:space="preserve">2170724406 </v>
      </c>
      <c r="G1632" s="13" t="str">
        <f t="shared" si="49"/>
        <v>ON1</v>
      </c>
      <c r="H1632" s="13" t="s">
        <v>21</v>
      </c>
      <c r="I1632" s="13" t="s">
        <v>780</v>
      </c>
      <c r="J1632" s="13" t="str">
        <f>""</f>
        <v/>
      </c>
      <c r="K1632" s="13" t="str">
        <f>"PFES1162731764_0001"</f>
        <v>PFES1162731764_0001</v>
      </c>
      <c r="L1632" s="13">
        <v>1</v>
      </c>
      <c r="M1632" s="13">
        <v>2</v>
      </c>
      <c r="N1632" s="15"/>
    </row>
    <row r="1633" spans="1:14">
      <c r="A1633" s="6">
        <v>43847</v>
      </c>
      <c r="B1633" s="7">
        <v>0.60416666666666663</v>
      </c>
      <c r="C1633" s="13" t="str">
        <f>"FES1162731762"</f>
        <v>FES1162731762</v>
      </c>
      <c r="D1633" s="13" t="s">
        <v>19</v>
      </c>
      <c r="E1633" s="13" t="s">
        <v>526</v>
      </c>
      <c r="F1633" s="13" t="str">
        <f>"2170724404 "</f>
        <v xml:space="preserve">2170724404 </v>
      </c>
      <c r="G1633" s="13" t="str">
        <f t="shared" si="49"/>
        <v>ON1</v>
      </c>
      <c r="H1633" s="13" t="s">
        <v>21</v>
      </c>
      <c r="I1633" s="13" t="s">
        <v>139</v>
      </c>
      <c r="J1633" s="13" t="str">
        <f>""</f>
        <v/>
      </c>
      <c r="K1633" s="13" t="str">
        <f>"PFES1162731762_0001"</f>
        <v>PFES1162731762_0001</v>
      </c>
      <c r="L1633" s="13">
        <v>1</v>
      </c>
      <c r="M1633" s="13">
        <v>4</v>
      </c>
      <c r="N1633" s="15"/>
    </row>
    <row r="1634" spans="1:14">
      <c r="A1634" s="6">
        <v>43847</v>
      </c>
      <c r="B1634" s="7">
        <v>0.59930555555555554</v>
      </c>
      <c r="C1634" s="13" t="str">
        <f>"FES1162731734"</f>
        <v>FES1162731734</v>
      </c>
      <c r="D1634" s="13" t="s">
        <v>19</v>
      </c>
      <c r="E1634" s="13" t="s">
        <v>636</v>
      </c>
      <c r="F1634" s="13" t="str">
        <f>"2170724383 "</f>
        <v xml:space="preserve">2170724383 </v>
      </c>
      <c r="G1634" s="13" t="str">
        <f t="shared" si="49"/>
        <v>ON1</v>
      </c>
      <c r="H1634" s="13" t="s">
        <v>21</v>
      </c>
      <c r="I1634" s="13" t="s">
        <v>165</v>
      </c>
      <c r="J1634" s="13" t="str">
        <f>""</f>
        <v/>
      </c>
      <c r="K1634" s="13" t="str">
        <f>"PFES1162731734_0001"</f>
        <v>PFES1162731734_0001</v>
      </c>
      <c r="L1634" s="13">
        <v>1</v>
      </c>
      <c r="M1634" s="13">
        <v>2</v>
      </c>
      <c r="N1634" s="15"/>
    </row>
    <row r="1635" spans="1:14">
      <c r="A1635" s="6">
        <v>43847</v>
      </c>
      <c r="B1635" s="7">
        <v>0.59930555555555554</v>
      </c>
      <c r="C1635" s="13" t="str">
        <f>"FES1162731737"</f>
        <v>FES1162731737</v>
      </c>
      <c r="D1635" s="13" t="s">
        <v>19</v>
      </c>
      <c r="E1635" s="13" t="s">
        <v>781</v>
      </c>
      <c r="F1635" s="13" t="str">
        <f>"2170724381 "</f>
        <v xml:space="preserve">2170724381 </v>
      </c>
      <c r="G1635" s="13" t="str">
        <f t="shared" si="49"/>
        <v>ON1</v>
      </c>
      <c r="H1635" s="13" t="s">
        <v>21</v>
      </c>
      <c r="I1635" s="13" t="s">
        <v>782</v>
      </c>
      <c r="J1635" s="13" t="str">
        <f>""</f>
        <v/>
      </c>
      <c r="K1635" s="13" t="str">
        <f>"PFES1162731737_0001"</f>
        <v>PFES1162731737_0001</v>
      </c>
      <c r="L1635" s="13">
        <v>1</v>
      </c>
      <c r="M1635" s="13">
        <v>1</v>
      </c>
      <c r="N1635" s="15"/>
    </row>
    <row r="1636" spans="1:14">
      <c r="A1636" s="6">
        <v>43847</v>
      </c>
      <c r="B1636" s="7">
        <v>0.59930555555555554</v>
      </c>
      <c r="C1636" s="13" t="str">
        <f>"FES1162731738"</f>
        <v>FES1162731738</v>
      </c>
      <c r="D1636" s="13" t="s">
        <v>19</v>
      </c>
      <c r="E1636" s="13" t="s">
        <v>783</v>
      </c>
      <c r="F1636" s="13" t="str">
        <f>"2170724385 "</f>
        <v xml:space="preserve">2170724385 </v>
      </c>
      <c r="G1636" s="13" t="str">
        <f t="shared" si="49"/>
        <v>ON1</v>
      </c>
      <c r="H1636" s="13" t="s">
        <v>21</v>
      </c>
      <c r="I1636" s="13" t="s">
        <v>85</v>
      </c>
      <c r="J1636" s="13" t="str">
        <f>""</f>
        <v/>
      </c>
      <c r="K1636" s="13" t="str">
        <f>"PFES1162731738_0001"</f>
        <v>PFES1162731738_0001</v>
      </c>
      <c r="L1636" s="13">
        <v>1</v>
      </c>
      <c r="M1636" s="13">
        <v>5</v>
      </c>
      <c r="N1636" s="15"/>
    </row>
    <row r="1637" spans="1:14">
      <c r="A1637" s="6">
        <v>43847</v>
      </c>
      <c r="B1637" s="7">
        <v>0.59861111111111109</v>
      </c>
      <c r="C1637" s="13" t="str">
        <f>"FES1162731740"</f>
        <v>FES1162731740</v>
      </c>
      <c r="D1637" s="13" t="s">
        <v>19</v>
      </c>
      <c r="E1637" s="13" t="s">
        <v>783</v>
      </c>
      <c r="F1637" s="13" t="str">
        <f>"2170724387 "</f>
        <v xml:space="preserve">2170724387 </v>
      </c>
      <c r="G1637" s="13" t="str">
        <f t="shared" si="49"/>
        <v>ON1</v>
      </c>
      <c r="H1637" s="13" t="s">
        <v>21</v>
      </c>
      <c r="I1637" s="13" t="s">
        <v>85</v>
      </c>
      <c r="J1637" s="13" t="str">
        <f>""</f>
        <v/>
      </c>
      <c r="K1637" s="13" t="str">
        <f>"PFES1162731740_0001"</f>
        <v>PFES1162731740_0001</v>
      </c>
      <c r="L1637" s="13">
        <v>1</v>
      </c>
      <c r="M1637" s="13">
        <v>1</v>
      </c>
      <c r="N1637" s="15"/>
    </row>
    <row r="1638" spans="1:14">
      <c r="A1638" s="6">
        <v>43847</v>
      </c>
      <c r="B1638" s="7">
        <v>0.59722222222222221</v>
      </c>
      <c r="C1638" s="13" t="str">
        <f>"FES1162731729"</f>
        <v>FES1162731729</v>
      </c>
      <c r="D1638" s="13" t="s">
        <v>19</v>
      </c>
      <c r="E1638" s="13" t="s">
        <v>199</v>
      </c>
      <c r="F1638" s="13" t="str">
        <f>"2170724374 "</f>
        <v xml:space="preserve">2170724374 </v>
      </c>
      <c r="G1638" s="13" t="str">
        <f t="shared" si="49"/>
        <v>ON1</v>
      </c>
      <c r="H1638" s="13" t="s">
        <v>21</v>
      </c>
      <c r="I1638" s="13" t="s">
        <v>200</v>
      </c>
      <c r="J1638" s="13" t="str">
        <f>""</f>
        <v/>
      </c>
      <c r="K1638" s="13" t="str">
        <f>"PFES1162731729_0001"</f>
        <v>PFES1162731729_0001</v>
      </c>
      <c r="L1638" s="13">
        <v>1</v>
      </c>
      <c r="M1638" s="13">
        <v>1</v>
      </c>
      <c r="N1638" s="15"/>
    </row>
    <row r="1639" spans="1:14">
      <c r="A1639" s="6">
        <v>43847</v>
      </c>
      <c r="B1639" s="7">
        <v>0.59722222222222221</v>
      </c>
      <c r="C1639" s="13" t="str">
        <f>"FES1162731733"</f>
        <v>FES1162731733</v>
      </c>
      <c r="D1639" s="13" t="s">
        <v>19</v>
      </c>
      <c r="E1639" s="13" t="s">
        <v>199</v>
      </c>
      <c r="F1639" s="13" t="str">
        <f>"2170724379 "</f>
        <v xml:space="preserve">2170724379 </v>
      </c>
      <c r="G1639" s="13" t="str">
        <f t="shared" si="49"/>
        <v>ON1</v>
      </c>
      <c r="H1639" s="13" t="s">
        <v>21</v>
      </c>
      <c r="I1639" s="13" t="s">
        <v>200</v>
      </c>
      <c r="J1639" s="13" t="str">
        <f>""</f>
        <v/>
      </c>
      <c r="K1639" s="13" t="str">
        <f>"PFES1162731733_0001"</f>
        <v>PFES1162731733_0001</v>
      </c>
      <c r="L1639" s="13">
        <v>1</v>
      </c>
      <c r="M1639" s="13">
        <v>1</v>
      </c>
      <c r="N1639" s="15"/>
    </row>
    <row r="1640" spans="1:14">
      <c r="A1640" s="6">
        <v>43847</v>
      </c>
      <c r="B1640" s="7">
        <v>0.59652777777777777</v>
      </c>
      <c r="C1640" s="13" t="str">
        <f>"FES1162731732"</f>
        <v>FES1162731732</v>
      </c>
      <c r="D1640" s="13" t="s">
        <v>19</v>
      </c>
      <c r="E1640" s="13" t="s">
        <v>199</v>
      </c>
      <c r="F1640" s="13" t="str">
        <f>"2170724378 "</f>
        <v xml:space="preserve">2170724378 </v>
      </c>
      <c r="G1640" s="13" t="str">
        <f t="shared" si="49"/>
        <v>ON1</v>
      </c>
      <c r="H1640" s="13" t="s">
        <v>21</v>
      </c>
      <c r="I1640" s="13" t="s">
        <v>200</v>
      </c>
      <c r="J1640" s="13" t="str">
        <f>""</f>
        <v/>
      </c>
      <c r="K1640" s="13" t="str">
        <f>"PFES1162731732_0001"</f>
        <v>PFES1162731732_0001</v>
      </c>
      <c r="L1640" s="13">
        <v>1</v>
      </c>
      <c r="M1640" s="13">
        <v>1</v>
      </c>
      <c r="N1640" s="15"/>
    </row>
    <row r="1641" spans="1:14">
      <c r="A1641" s="6">
        <v>43847</v>
      </c>
      <c r="B1641" s="7">
        <v>0.59583333333333333</v>
      </c>
      <c r="C1641" s="13" t="str">
        <f>"FES1162731727"</f>
        <v>FES1162731727</v>
      </c>
      <c r="D1641" s="13" t="s">
        <v>19</v>
      </c>
      <c r="E1641" s="13" t="s">
        <v>240</v>
      </c>
      <c r="F1641" s="13" t="str">
        <f>"2170724372 "</f>
        <v xml:space="preserve">2170724372 </v>
      </c>
      <c r="G1641" s="13" t="str">
        <f t="shared" si="49"/>
        <v>ON1</v>
      </c>
      <c r="H1641" s="13" t="s">
        <v>21</v>
      </c>
      <c r="I1641" s="13" t="s">
        <v>241</v>
      </c>
      <c r="J1641" s="13" t="str">
        <f>""</f>
        <v/>
      </c>
      <c r="K1641" s="13" t="str">
        <f>"PFES1162731727_0001"</f>
        <v>PFES1162731727_0001</v>
      </c>
      <c r="L1641" s="13">
        <v>1</v>
      </c>
      <c r="M1641" s="13">
        <v>1</v>
      </c>
      <c r="N1641" s="15"/>
    </row>
    <row r="1642" spans="1:14">
      <c r="A1642" s="6">
        <v>43847</v>
      </c>
      <c r="B1642" s="7">
        <v>0.59513888888888888</v>
      </c>
      <c r="C1642" s="13" t="str">
        <f>"FES1162731731"</f>
        <v>FES1162731731</v>
      </c>
      <c r="D1642" s="13" t="s">
        <v>19</v>
      </c>
      <c r="E1642" s="13" t="s">
        <v>199</v>
      </c>
      <c r="F1642" s="13" t="str">
        <f>"2170724377 "</f>
        <v xml:space="preserve">2170724377 </v>
      </c>
      <c r="G1642" s="13" t="str">
        <f t="shared" si="49"/>
        <v>ON1</v>
      </c>
      <c r="H1642" s="13" t="s">
        <v>21</v>
      </c>
      <c r="I1642" s="13" t="s">
        <v>200</v>
      </c>
      <c r="J1642" s="13" t="str">
        <f>""</f>
        <v/>
      </c>
      <c r="K1642" s="13" t="str">
        <f>"PFES1162731731_0001"</f>
        <v>PFES1162731731_0001</v>
      </c>
      <c r="L1642" s="13">
        <v>1</v>
      </c>
      <c r="M1642" s="13">
        <v>1</v>
      </c>
      <c r="N1642" s="15"/>
    </row>
    <row r="1643" spans="1:14">
      <c r="A1643" s="6">
        <v>43847</v>
      </c>
      <c r="B1643" s="7">
        <v>0.59444444444444444</v>
      </c>
      <c r="C1643" s="13" t="str">
        <f>"FES1162731715"</f>
        <v>FES1162731715</v>
      </c>
      <c r="D1643" s="13" t="s">
        <v>19</v>
      </c>
      <c r="E1643" s="13" t="s">
        <v>784</v>
      </c>
      <c r="F1643" s="13" t="str">
        <f>"2170724354 "</f>
        <v xml:space="preserve">2170724354 </v>
      </c>
      <c r="G1643" s="13" t="str">
        <f t="shared" si="49"/>
        <v>ON1</v>
      </c>
      <c r="H1643" s="13" t="s">
        <v>21</v>
      </c>
      <c r="I1643" s="13" t="s">
        <v>165</v>
      </c>
      <c r="J1643" s="13" t="str">
        <f>""</f>
        <v/>
      </c>
      <c r="K1643" s="13" t="str">
        <f>"PFES1162731715_0001"</f>
        <v>PFES1162731715_0001</v>
      </c>
      <c r="L1643" s="13">
        <v>1</v>
      </c>
      <c r="M1643" s="13">
        <v>1</v>
      </c>
      <c r="N1643" s="15"/>
    </row>
    <row r="1644" spans="1:14">
      <c r="A1644" s="6">
        <v>43847</v>
      </c>
      <c r="B1644" s="7">
        <v>0.59375</v>
      </c>
      <c r="C1644" s="13" t="str">
        <f>"FES1162731724"</f>
        <v>FES1162731724</v>
      </c>
      <c r="D1644" s="13" t="s">
        <v>19</v>
      </c>
      <c r="E1644" s="13" t="s">
        <v>239</v>
      </c>
      <c r="F1644" s="13" t="str">
        <f>"2170724367 "</f>
        <v xml:space="preserve">2170724367 </v>
      </c>
      <c r="G1644" s="13" t="str">
        <f t="shared" si="49"/>
        <v>ON1</v>
      </c>
      <c r="H1644" s="13" t="s">
        <v>21</v>
      </c>
      <c r="I1644" s="13" t="s">
        <v>165</v>
      </c>
      <c r="J1644" s="13" t="str">
        <f>""</f>
        <v/>
      </c>
      <c r="K1644" s="13" t="str">
        <f>"PFES1162731724_0001"</f>
        <v>PFES1162731724_0001</v>
      </c>
      <c r="L1644" s="13">
        <v>1</v>
      </c>
      <c r="M1644" s="13">
        <v>1</v>
      </c>
      <c r="N1644" s="15"/>
    </row>
    <row r="1645" spans="1:14">
      <c r="A1645" s="6">
        <v>43847</v>
      </c>
      <c r="B1645" s="7">
        <v>0.59305555555555556</v>
      </c>
      <c r="C1645" s="13" t="str">
        <f>"FES1162731728"</f>
        <v>FES1162731728</v>
      </c>
      <c r="D1645" s="13" t="s">
        <v>19</v>
      </c>
      <c r="E1645" s="13" t="s">
        <v>46</v>
      </c>
      <c r="F1645" s="13" t="str">
        <f>"2170724373 "</f>
        <v xml:space="preserve">2170724373 </v>
      </c>
      <c r="G1645" s="13" t="str">
        <f t="shared" si="49"/>
        <v>ON1</v>
      </c>
      <c r="H1645" s="13" t="s">
        <v>21</v>
      </c>
      <c r="I1645" s="13" t="s">
        <v>47</v>
      </c>
      <c r="J1645" s="13" t="str">
        <f>""</f>
        <v/>
      </c>
      <c r="K1645" s="13" t="str">
        <f>"PFES1162731728_0001"</f>
        <v>PFES1162731728_0001</v>
      </c>
      <c r="L1645" s="13">
        <v>1</v>
      </c>
      <c r="M1645" s="13">
        <v>1</v>
      </c>
      <c r="N1645" s="15"/>
    </row>
    <row r="1646" spans="1:14">
      <c r="A1646" s="6">
        <v>43847</v>
      </c>
      <c r="B1646" s="7">
        <v>0.59305555555555556</v>
      </c>
      <c r="C1646" s="13" t="str">
        <f>"FES1162731741"</f>
        <v>FES1162731741</v>
      </c>
      <c r="D1646" s="13" t="s">
        <v>19</v>
      </c>
      <c r="E1646" s="13" t="s">
        <v>785</v>
      </c>
      <c r="F1646" s="13" t="str">
        <f>"2170724388 "</f>
        <v xml:space="preserve">2170724388 </v>
      </c>
      <c r="G1646" s="13" t="str">
        <f t="shared" si="49"/>
        <v>ON1</v>
      </c>
      <c r="H1646" s="13" t="s">
        <v>21</v>
      </c>
      <c r="I1646" s="13" t="s">
        <v>241</v>
      </c>
      <c r="J1646" s="13" t="str">
        <f>""</f>
        <v/>
      </c>
      <c r="K1646" s="13" t="str">
        <f>"PFES1162731741_0001"</f>
        <v>PFES1162731741_0001</v>
      </c>
      <c r="L1646" s="13">
        <v>1</v>
      </c>
      <c r="M1646" s="13">
        <v>1</v>
      </c>
      <c r="N1646" s="15"/>
    </row>
    <row r="1647" spans="1:14">
      <c r="A1647" s="6">
        <v>43847</v>
      </c>
      <c r="B1647" s="7">
        <v>0.59236111111111112</v>
      </c>
      <c r="C1647" s="13" t="str">
        <f>"FES1162731714"</f>
        <v>FES1162731714</v>
      </c>
      <c r="D1647" s="13" t="s">
        <v>19</v>
      </c>
      <c r="E1647" s="13" t="s">
        <v>748</v>
      </c>
      <c r="F1647" s="13" t="str">
        <f>"2170724353 "</f>
        <v xml:space="preserve">2170724353 </v>
      </c>
      <c r="G1647" s="13" t="str">
        <f t="shared" si="49"/>
        <v>ON1</v>
      </c>
      <c r="H1647" s="13" t="s">
        <v>21</v>
      </c>
      <c r="I1647" s="13" t="s">
        <v>466</v>
      </c>
      <c r="J1647" s="13" t="str">
        <f>""</f>
        <v/>
      </c>
      <c r="K1647" s="13" t="str">
        <f>"PFES1162731714_0001"</f>
        <v>PFES1162731714_0001</v>
      </c>
      <c r="L1647" s="13">
        <v>1</v>
      </c>
      <c r="M1647" s="13">
        <v>1</v>
      </c>
      <c r="N1647" s="15"/>
    </row>
    <row r="1648" spans="1:14">
      <c r="A1648" s="6">
        <v>43847</v>
      </c>
      <c r="B1648" s="7">
        <v>0.59166666666666667</v>
      </c>
      <c r="C1648" s="13" t="str">
        <f>"FES1162722477"</f>
        <v>FES1162722477</v>
      </c>
      <c r="D1648" s="13" t="s">
        <v>19</v>
      </c>
      <c r="E1648" s="13" t="s">
        <v>786</v>
      </c>
      <c r="F1648" s="13" t="str">
        <f>"2170714876 "</f>
        <v xml:space="preserve">2170714876 </v>
      </c>
      <c r="G1648" s="13" t="str">
        <f t="shared" si="49"/>
        <v>ON1</v>
      </c>
      <c r="H1648" s="13" t="s">
        <v>21</v>
      </c>
      <c r="I1648" s="13" t="s">
        <v>31</v>
      </c>
      <c r="J1648" s="13" t="str">
        <f>""</f>
        <v/>
      </c>
      <c r="K1648" s="13" t="str">
        <f>"PFES1162722477_0001"</f>
        <v>PFES1162722477_0001</v>
      </c>
      <c r="L1648" s="13">
        <v>1</v>
      </c>
      <c r="M1648" s="13">
        <v>2</v>
      </c>
      <c r="N1648" s="15"/>
    </row>
    <row r="1649" spans="1:14">
      <c r="A1649" s="6">
        <v>43847</v>
      </c>
      <c r="B1649" s="7">
        <v>0.59166666666666667</v>
      </c>
      <c r="C1649" s="13" t="str">
        <f>"FES1162731718"</f>
        <v>FES1162731718</v>
      </c>
      <c r="D1649" s="13" t="s">
        <v>19</v>
      </c>
      <c r="E1649" s="13" t="s">
        <v>168</v>
      </c>
      <c r="F1649" s="13" t="str">
        <f>"2170724357 "</f>
        <v xml:space="preserve">2170724357 </v>
      </c>
      <c r="G1649" s="13" t="str">
        <f t="shared" si="49"/>
        <v>ON1</v>
      </c>
      <c r="H1649" s="13" t="s">
        <v>21</v>
      </c>
      <c r="I1649" s="13" t="s">
        <v>169</v>
      </c>
      <c r="J1649" s="13" t="str">
        <f>""</f>
        <v/>
      </c>
      <c r="K1649" s="13" t="str">
        <f>"PFES1162731718_0001"</f>
        <v>PFES1162731718_0001</v>
      </c>
      <c r="L1649" s="13">
        <v>1</v>
      </c>
      <c r="M1649" s="13">
        <v>1</v>
      </c>
      <c r="N1649" s="15"/>
    </row>
    <row r="1650" spans="1:14">
      <c r="A1650" s="6">
        <v>43847</v>
      </c>
      <c r="B1650" s="7">
        <v>0.59097222222222223</v>
      </c>
      <c r="C1650" s="13" t="str">
        <f>"FES1162731743"</f>
        <v>FES1162731743</v>
      </c>
      <c r="D1650" s="13" t="s">
        <v>19</v>
      </c>
      <c r="E1650" s="13" t="s">
        <v>759</v>
      </c>
      <c r="F1650" s="13" t="str">
        <f>"2170724392 "</f>
        <v xml:space="preserve">2170724392 </v>
      </c>
      <c r="G1650" s="13" t="str">
        <f t="shared" si="49"/>
        <v>ON1</v>
      </c>
      <c r="H1650" s="13" t="s">
        <v>21</v>
      </c>
      <c r="I1650" s="13" t="s">
        <v>49</v>
      </c>
      <c r="J1650" s="13" t="str">
        <f>""</f>
        <v/>
      </c>
      <c r="K1650" s="13" t="str">
        <f>"PFES1162731743_0001"</f>
        <v>PFES1162731743_0001</v>
      </c>
      <c r="L1650" s="13">
        <v>1</v>
      </c>
      <c r="M1650" s="13">
        <v>2</v>
      </c>
      <c r="N1650" s="15"/>
    </row>
    <row r="1651" spans="1:14">
      <c r="A1651" s="6">
        <v>43847</v>
      </c>
      <c r="B1651" s="7">
        <v>0.59097222222222223</v>
      </c>
      <c r="C1651" s="13" t="str">
        <f>"FES1162731736"</f>
        <v>FES1162731736</v>
      </c>
      <c r="D1651" s="13" t="s">
        <v>19</v>
      </c>
      <c r="E1651" s="13" t="s">
        <v>46</v>
      </c>
      <c r="F1651" s="13" t="str">
        <f>"2170723747 "</f>
        <v xml:space="preserve">2170723747 </v>
      </c>
      <c r="G1651" s="13" t="str">
        <f t="shared" si="49"/>
        <v>ON1</v>
      </c>
      <c r="H1651" s="13" t="s">
        <v>21</v>
      </c>
      <c r="I1651" s="13" t="s">
        <v>47</v>
      </c>
      <c r="J1651" s="13" t="str">
        <f>""</f>
        <v/>
      </c>
      <c r="K1651" s="13" t="str">
        <f>"PFES1162731736_0001"</f>
        <v>PFES1162731736_0001</v>
      </c>
      <c r="L1651" s="13">
        <v>1</v>
      </c>
      <c r="M1651" s="13">
        <v>2</v>
      </c>
      <c r="N1651" s="15"/>
    </row>
    <row r="1652" spans="1:14">
      <c r="A1652" s="6">
        <v>43847</v>
      </c>
      <c r="B1652" s="7">
        <v>0.59027777777777779</v>
      </c>
      <c r="C1652" s="13" t="str">
        <f>"FES1162731744"</f>
        <v>FES1162731744</v>
      </c>
      <c r="D1652" s="13" t="s">
        <v>19</v>
      </c>
      <c r="E1652" s="13" t="s">
        <v>262</v>
      </c>
      <c r="F1652" s="13" t="str">
        <f>"2170724394 "</f>
        <v xml:space="preserve">2170724394 </v>
      </c>
      <c r="G1652" s="13" t="str">
        <f t="shared" si="49"/>
        <v>ON1</v>
      </c>
      <c r="H1652" s="13" t="s">
        <v>21</v>
      </c>
      <c r="I1652" s="13" t="s">
        <v>114</v>
      </c>
      <c r="J1652" s="13" t="str">
        <f>""</f>
        <v/>
      </c>
      <c r="K1652" s="13" t="str">
        <f>"PFES1162731744_0001"</f>
        <v>PFES1162731744_0001</v>
      </c>
      <c r="L1652" s="13">
        <v>1</v>
      </c>
      <c r="M1652" s="13">
        <v>1</v>
      </c>
      <c r="N1652" s="15"/>
    </row>
    <row r="1653" spans="1:14">
      <c r="A1653" s="6">
        <v>43847</v>
      </c>
      <c r="B1653" s="7">
        <v>0.59027777777777779</v>
      </c>
      <c r="C1653" s="13" t="str">
        <f>"FES1162731730"</f>
        <v>FES1162731730</v>
      </c>
      <c r="D1653" s="13" t="s">
        <v>19</v>
      </c>
      <c r="E1653" s="13" t="s">
        <v>87</v>
      </c>
      <c r="F1653" s="13" t="str">
        <f>"2170724376 "</f>
        <v xml:space="preserve">2170724376 </v>
      </c>
      <c r="G1653" s="13" t="str">
        <f t="shared" si="49"/>
        <v>ON1</v>
      </c>
      <c r="H1653" s="13" t="s">
        <v>21</v>
      </c>
      <c r="I1653" s="13" t="s">
        <v>88</v>
      </c>
      <c r="J1653" s="13" t="str">
        <f>""</f>
        <v/>
      </c>
      <c r="K1653" s="13" t="str">
        <f>"PFES1162731730_0001"</f>
        <v>PFES1162731730_0001</v>
      </c>
      <c r="L1653" s="13">
        <v>1</v>
      </c>
      <c r="M1653" s="13">
        <v>3</v>
      </c>
      <c r="N1653" s="15"/>
    </row>
    <row r="1654" spans="1:14">
      <c r="A1654" s="6">
        <v>43847</v>
      </c>
      <c r="B1654" s="7">
        <v>0.59027777777777779</v>
      </c>
      <c r="C1654" s="13" t="str">
        <f>"FES1162731749"</f>
        <v>FES1162731749</v>
      </c>
      <c r="D1654" s="13" t="s">
        <v>19</v>
      </c>
      <c r="E1654" s="13" t="s">
        <v>105</v>
      </c>
      <c r="F1654" s="13" t="str">
        <f>"2170724398 "</f>
        <v xml:space="preserve">2170724398 </v>
      </c>
      <c r="G1654" s="13" t="str">
        <f t="shared" si="49"/>
        <v>ON1</v>
      </c>
      <c r="H1654" s="13" t="s">
        <v>21</v>
      </c>
      <c r="I1654" s="13" t="s">
        <v>106</v>
      </c>
      <c r="J1654" s="13" t="str">
        <f>""</f>
        <v/>
      </c>
      <c r="K1654" s="13" t="str">
        <f>"PFES1162731749_0001"</f>
        <v>PFES1162731749_0001</v>
      </c>
      <c r="L1654" s="13">
        <v>1</v>
      </c>
      <c r="M1654" s="13">
        <v>2</v>
      </c>
      <c r="N1654" s="15"/>
    </row>
    <row r="1655" spans="1:14">
      <c r="A1655" s="6">
        <v>43847</v>
      </c>
      <c r="B1655" s="7">
        <v>0.58958333333333335</v>
      </c>
      <c r="C1655" s="13" t="str">
        <f>"FES1162731710"</f>
        <v>FES1162731710</v>
      </c>
      <c r="D1655" s="13" t="s">
        <v>19</v>
      </c>
      <c r="E1655" s="13" t="s">
        <v>216</v>
      </c>
      <c r="F1655" s="13" t="str">
        <f>"2170724292 "</f>
        <v xml:space="preserve">2170724292 </v>
      </c>
      <c r="G1655" s="13" t="str">
        <f t="shared" si="49"/>
        <v>ON1</v>
      </c>
      <c r="H1655" s="13" t="s">
        <v>21</v>
      </c>
      <c r="I1655" s="13" t="s">
        <v>217</v>
      </c>
      <c r="J1655" s="13" t="str">
        <f>""</f>
        <v/>
      </c>
      <c r="K1655" s="13" t="str">
        <f>"PFES1162731710_0001"</f>
        <v>PFES1162731710_0001</v>
      </c>
      <c r="L1655" s="13">
        <v>1</v>
      </c>
      <c r="M1655" s="13">
        <v>1</v>
      </c>
      <c r="N1655" s="15"/>
    </row>
    <row r="1656" spans="1:14">
      <c r="A1656" s="6">
        <v>43847</v>
      </c>
      <c r="B1656" s="7">
        <v>0.58958333333333335</v>
      </c>
      <c r="C1656" s="13" t="str">
        <f>"FES1162731726"</f>
        <v>FES1162731726</v>
      </c>
      <c r="D1656" s="13" t="s">
        <v>19</v>
      </c>
      <c r="E1656" s="13" t="s">
        <v>199</v>
      </c>
      <c r="F1656" s="13" t="str">
        <f>"2170724370 "</f>
        <v xml:space="preserve">2170724370 </v>
      </c>
      <c r="G1656" s="13" t="str">
        <f t="shared" si="49"/>
        <v>ON1</v>
      </c>
      <c r="H1656" s="13" t="s">
        <v>21</v>
      </c>
      <c r="I1656" s="13" t="s">
        <v>200</v>
      </c>
      <c r="J1656" s="13" t="str">
        <f>""</f>
        <v/>
      </c>
      <c r="K1656" s="13" t="str">
        <f>"PFES1162731726_0001"</f>
        <v>PFES1162731726_0001</v>
      </c>
      <c r="L1656" s="13">
        <v>1</v>
      </c>
      <c r="M1656" s="13">
        <v>1</v>
      </c>
      <c r="N1656" s="15"/>
    </row>
    <row r="1657" spans="1:14">
      <c r="A1657" s="6">
        <v>43847</v>
      </c>
      <c r="B1657" s="7">
        <v>0.58888888888888891</v>
      </c>
      <c r="C1657" s="13" t="str">
        <f>"FES1162731723"</f>
        <v>FES1162731723</v>
      </c>
      <c r="D1657" s="13" t="s">
        <v>19</v>
      </c>
      <c r="E1657" s="13" t="s">
        <v>134</v>
      </c>
      <c r="F1657" s="13" t="str">
        <f>"2170724366 "</f>
        <v xml:space="preserve">2170724366 </v>
      </c>
      <c r="G1657" s="13" t="str">
        <f t="shared" si="49"/>
        <v>ON1</v>
      </c>
      <c r="H1657" s="13" t="s">
        <v>21</v>
      </c>
      <c r="I1657" s="13" t="s">
        <v>135</v>
      </c>
      <c r="J1657" s="13" t="str">
        <f>""</f>
        <v/>
      </c>
      <c r="K1657" s="13" t="str">
        <f>"PFES1162731723_0001"</f>
        <v>PFES1162731723_0001</v>
      </c>
      <c r="L1657" s="13">
        <v>1</v>
      </c>
      <c r="M1657" s="13">
        <v>2</v>
      </c>
      <c r="N1657" s="15"/>
    </row>
    <row r="1658" spans="1:14">
      <c r="A1658" s="6">
        <v>43847</v>
      </c>
      <c r="B1658" s="7">
        <v>0.58888888888888891</v>
      </c>
      <c r="C1658" s="13" t="str">
        <f>"FES1162731719"</f>
        <v>FES1162731719</v>
      </c>
      <c r="D1658" s="13" t="s">
        <v>19</v>
      </c>
      <c r="E1658" s="13" t="s">
        <v>269</v>
      </c>
      <c r="F1658" s="13" t="str">
        <f>"2170724358 "</f>
        <v xml:space="preserve">2170724358 </v>
      </c>
      <c r="G1658" s="13" t="str">
        <f t="shared" si="49"/>
        <v>ON1</v>
      </c>
      <c r="H1658" s="13" t="s">
        <v>21</v>
      </c>
      <c r="I1658" s="13" t="s">
        <v>270</v>
      </c>
      <c r="J1658" s="13" t="str">
        <f>""</f>
        <v/>
      </c>
      <c r="K1658" s="13" t="str">
        <f>"PFES1162731719_0001"</f>
        <v>PFES1162731719_0001</v>
      </c>
      <c r="L1658" s="13">
        <v>1</v>
      </c>
      <c r="M1658" s="13">
        <v>2</v>
      </c>
      <c r="N1658" s="15"/>
    </row>
    <row r="1659" spans="1:14">
      <c r="A1659" s="6">
        <v>43847</v>
      </c>
      <c r="B1659" s="7">
        <v>0.58819444444444446</v>
      </c>
      <c r="C1659" s="13" t="str">
        <f>"FES1162731717"</f>
        <v>FES1162731717</v>
      </c>
      <c r="D1659" s="13" t="s">
        <v>19</v>
      </c>
      <c r="E1659" s="13" t="s">
        <v>178</v>
      </c>
      <c r="F1659" s="13" t="str">
        <f>"2170724356 "</f>
        <v xml:space="preserve">2170724356 </v>
      </c>
      <c r="G1659" s="13" t="str">
        <f>"DBC"</f>
        <v>DBC</v>
      </c>
      <c r="H1659" s="13" t="s">
        <v>21</v>
      </c>
      <c r="I1659" s="13" t="s">
        <v>179</v>
      </c>
      <c r="J1659" s="13" t="str">
        <f>""</f>
        <v/>
      </c>
      <c r="K1659" s="13" t="str">
        <f>"PFES1162731717_0001"</f>
        <v>PFES1162731717_0001</v>
      </c>
      <c r="L1659" s="13">
        <v>1</v>
      </c>
      <c r="M1659" s="13">
        <v>20</v>
      </c>
      <c r="N1659" s="15"/>
    </row>
    <row r="1660" spans="1:14">
      <c r="A1660" s="6">
        <v>43847</v>
      </c>
      <c r="B1660" s="7">
        <v>0.58819444444444446</v>
      </c>
      <c r="C1660" s="13" t="str">
        <f>"FES1162731747"</f>
        <v>FES1162731747</v>
      </c>
      <c r="D1660" s="13" t="s">
        <v>19</v>
      </c>
      <c r="E1660" s="13" t="s">
        <v>787</v>
      </c>
      <c r="F1660" s="13" t="str">
        <f>"2170724391 "</f>
        <v xml:space="preserve">2170724391 </v>
      </c>
      <c r="G1660" s="13" t="str">
        <f t="shared" ref="G1660:G1668" si="50">"ON1"</f>
        <v>ON1</v>
      </c>
      <c r="H1660" s="13" t="s">
        <v>21</v>
      </c>
      <c r="I1660" s="13" t="s">
        <v>788</v>
      </c>
      <c r="J1660" s="13" t="str">
        <f>""</f>
        <v/>
      </c>
      <c r="K1660" s="13" t="str">
        <f>"PFES1162731747_0001"</f>
        <v>PFES1162731747_0001</v>
      </c>
      <c r="L1660" s="13">
        <v>1</v>
      </c>
      <c r="M1660" s="13">
        <v>1</v>
      </c>
      <c r="N1660" s="15"/>
    </row>
    <row r="1661" spans="1:14">
      <c r="A1661" s="6">
        <v>43847</v>
      </c>
      <c r="B1661" s="7">
        <v>0.56527777777777777</v>
      </c>
      <c r="C1661" s="13" t="str">
        <f>"FES1162731722"</f>
        <v>FES1162731722</v>
      </c>
      <c r="D1661" s="13" t="s">
        <v>19</v>
      </c>
      <c r="E1661" s="13" t="s">
        <v>248</v>
      </c>
      <c r="F1661" s="13" t="str">
        <f>"2170724365 "</f>
        <v xml:space="preserve">2170724365 </v>
      </c>
      <c r="G1661" s="13" t="str">
        <f t="shared" si="50"/>
        <v>ON1</v>
      </c>
      <c r="H1661" s="13" t="s">
        <v>21</v>
      </c>
      <c r="I1661" s="13" t="s">
        <v>209</v>
      </c>
      <c r="J1661" s="13" t="str">
        <f>""</f>
        <v/>
      </c>
      <c r="K1661" s="13" t="str">
        <f>"PFES1162731722_0001"</f>
        <v>PFES1162731722_0001</v>
      </c>
      <c r="L1661" s="13">
        <v>1</v>
      </c>
      <c r="M1661" s="13">
        <v>1</v>
      </c>
      <c r="N1661" s="15"/>
    </row>
    <row r="1662" spans="1:14">
      <c r="A1662" s="6">
        <v>43847</v>
      </c>
      <c r="B1662" s="7">
        <v>0.56388888888888888</v>
      </c>
      <c r="C1662" s="13" t="str">
        <f>"FES1162731699"</f>
        <v>FES1162731699</v>
      </c>
      <c r="D1662" s="13" t="s">
        <v>19</v>
      </c>
      <c r="E1662" s="13" t="s">
        <v>789</v>
      </c>
      <c r="F1662" s="13" t="str">
        <f>"2170724333 "</f>
        <v xml:space="preserve">2170724333 </v>
      </c>
      <c r="G1662" s="13" t="str">
        <f t="shared" si="50"/>
        <v>ON1</v>
      </c>
      <c r="H1662" s="13" t="s">
        <v>21</v>
      </c>
      <c r="I1662" s="13" t="s">
        <v>217</v>
      </c>
      <c r="J1662" s="13" t="str">
        <f>""</f>
        <v/>
      </c>
      <c r="K1662" s="13" t="str">
        <f>"PFES1162731699_0001"</f>
        <v>PFES1162731699_0001</v>
      </c>
      <c r="L1662" s="13">
        <v>1</v>
      </c>
      <c r="M1662" s="13">
        <v>1</v>
      </c>
      <c r="N1662" s="15"/>
    </row>
    <row r="1663" spans="1:14">
      <c r="A1663" s="6">
        <v>43847</v>
      </c>
      <c r="B1663" s="7">
        <v>0.5625</v>
      </c>
      <c r="C1663" s="13" t="str">
        <f>"FES1162731725"</f>
        <v>FES1162731725</v>
      </c>
      <c r="D1663" s="13" t="s">
        <v>19</v>
      </c>
      <c r="E1663" s="13" t="s">
        <v>199</v>
      </c>
      <c r="F1663" s="13" t="str">
        <f>"2170724369 "</f>
        <v xml:space="preserve">2170724369 </v>
      </c>
      <c r="G1663" s="13" t="str">
        <f t="shared" si="50"/>
        <v>ON1</v>
      </c>
      <c r="H1663" s="13" t="s">
        <v>21</v>
      </c>
      <c r="I1663" s="13" t="s">
        <v>200</v>
      </c>
      <c r="J1663" s="13" t="str">
        <f>""</f>
        <v/>
      </c>
      <c r="K1663" s="13" t="str">
        <f>"PFES1162731725_0001"</f>
        <v>PFES1162731725_0001</v>
      </c>
      <c r="L1663" s="13">
        <v>1</v>
      </c>
      <c r="M1663" s="13">
        <v>1</v>
      </c>
      <c r="N1663" s="15"/>
    </row>
    <row r="1664" spans="1:14">
      <c r="A1664" s="6">
        <v>43847</v>
      </c>
      <c r="B1664" s="7">
        <v>0.56180555555555556</v>
      </c>
      <c r="C1664" s="13" t="str">
        <f>"009935723363"</f>
        <v>009935723363</v>
      </c>
      <c r="D1664" s="13" t="s">
        <v>19</v>
      </c>
      <c r="E1664" s="13" t="s">
        <v>790</v>
      </c>
      <c r="F1664" s="13" t="str">
        <f>"1162728249 "</f>
        <v xml:space="preserve">1162728249 </v>
      </c>
      <c r="G1664" s="13" t="str">
        <f t="shared" si="50"/>
        <v>ON1</v>
      </c>
      <c r="H1664" s="13" t="s">
        <v>21</v>
      </c>
      <c r="I1664" s="13" t="s">
        <v>36</v>
      </c>
      <c r="J1664" s="13" t="str">
        <f>"RESEND"</f>
        <v>RESEND</v>
      </c>
      <c r="K1664" s="13" t="str">
        <f>"P009935723363_0001"</f>
        <v>P009935723363_0001</v>
      </c>
      <c r="L1664" s="13">
        <v>1</v>
      </c>
      <c r="M1664" s="13">
        <v>2</v>
      </c>
      <c r="N1664" s="15"/>
    </row>
    <row r="1665" spans="1:14">
      <c r="A1665" s="6">
        <v>43847</v>
      </c>
      <c r="B1665" s="7">
        <v>0.56111111111111112</v>
      </c>
      <c r="C1665" s="13" t="str">
        <f>"009935723362"</f>
        <v>009935723362</v>
      </c>
      <c r="D1665" s="13" t="s">
        <v>19</v>
      </c>
      <c r="E1665" s="13" t="s">
        <v>239</v>
      </c>
      <c r="F1665" s="13" t="str">
        <f>"11620709215 "</f>
        <v xml:space="preserve">11620709215 </v>
      </c>
      <c r="G1665" s="13" t="str">
        <f t="shared" si="50"/>
        <v>ON1</v>
      </c>
      <c r="H1665" s="13" t="s">
        <v>21</v>
      </c>
      <c r="I1665" s="13" t="s">
        <v>165</v>
      </c>
      <c r="J1665" s="13" t="str">
        <f>"RESEND"</f>
        <v>RESEND</v>
      </c>
      <c r="K1665" s="13" t="str">
        <f>"P009935723362_0001"</f>
        <v>P009935723362_0001</v>
      </c>
      <c r="L1665" s="13">
        <v>1</v>
      </c>
      <c r="M1665" s="13">
        <v>2</v>
      </c>
      <c r="N1665" s="15"/>
    </row>
    <row r="1666" spans="1:14">
      <c r="A1666" s="6">
        <v>43847</v>
      </c>
      <c r="B1666" s="7">
        <v>0.56041666666666667</v>
      </c>
      <c r="C1666" s="13" t="str">
        <f>"FES1162731638"</f>
        <v>FES1162731638</v>
      </c>
      <c r="D1666" s="13" t="s">
        <v>19</v>
      </c>
      <c r="E1666" s="13" t="s">
        <v>68</v>
      </c>
      <c r="F1666" s="13" t="str">
        <f>"2170723955 "</f>
        <v xml:space="preserve">2170723955 </v>
      </c>
      <c r="G1666" s="13" t="str">
        <f t="shared" si="50"/>
        <v>ON1</v>
      </c>
      <c r="H1666" s="13" t="s">
        <v>21</v>
      </c>
      <c r="I1666" s="13" t="s">
        <v>69</v>
      </c>
      <c r="J1666" s="13" t="str">
        <f>""</f>
        <v/>
      </c>
      <c r="K1666" s="13" t="str">
        <f>"PFES1162731638_0001"</f>
        <v>PFES1162731638_0001</v>
      </c>
      <c r="L1666" s="13">
        <v>1</v>
      </c>
      <c r="M1666" s="13">
        <v>7</v>
      </c>
      <c r="N1666" s="15"/>
    </row>
    <row r="1667" spans="1:14">
      <c r="A1667" s="6">
        <v>43847</v>
      </c>
      <c r="B1667" s="7">
        <v>0.56041666666666667</v>
      </c>
      <c r="C1667" s="13" t="str">
        <f>"FES1162731646"</f>
        <v>FES1162731646</v>
      </c>
      <c r="D1667" s="13" t="s">
        <v>19</v>
      </c>
      <c r="E1667" s="13" t="s">
        <v>791</v>
      </c>
      <c r="F1667" s="13" t="str">
        <f>"2170724267 "</f>
        <v xml:space="preserve">2170724267 </v>
      </c>
      <c r="G1667" s="13" t="str">
        <f t="shared" si="50"/>
        <v>ON1</v>
      </c>
      <c r="H1667" s="13" t="s">
        <v>21</v>
      </c>
      <c r="I1667" s="13" t="s">
        <v>85</v>
      </c>
      <c r="J1667" s="13" t="str">
        <f>""</f>
        <v/>
      </c>
      <c r="K1667" s="13" t="str">
        <f>"PFES1162731646_0001"</f>
        <v>PFES1162731646_0001</v>
      </c>
      <c r="L1667" s="13">
        <v>1</v>
      </c>
      <c r="M1667" s="13">
        <v>17</v>
      </c>
      <c r="N1667" s="15"/>
    </row>
    <row r="1668" spans="1:14">
      <c r="A1668" s="6">
        <v>43847</v>
      </c>
      <c r="B1668" s="7">
        <v>0.55972222222222223</v>
      </c>
      <c r="C1668" s="13" t="str">
        <f>"FES1162731669"</f>
        <v>FES1162731669</v>
      </c>
      <c r="D1668" s="13" t="s">
        <v>19</v>
      </c>
      <c r="E1668" s="13" t="s">
        <v>478</v>
      </c>
      <c r="F1668" s="13" t="str">
        <f>"2170724294 "</f>
        <v xml:space="preserve">2170724294 </v>
      </c>
      <c r="G1668" s="13" t="str">
        <f t="shared" si="50"/>
        <v>ON1</v>
      </c>
      <c r="H1668" s="13" t="s">
        <v>21</v>
      </c>
      <c r="I1668" s="13" t="s">
        <v>277</v>
      </c>
      <c r="J1668" s="13" t="str">
        <f>""</f>
        <v/>
      </c>
      <c r="K1668" s="13" t="str">
        <f>"PFES1162731669_0001"</f>
        <v>PFES1162731669_0001</v>
      </c>
      <c r="L1668" s="13">
        <v>1</v>
      </c>
      <c r="M1668" s="13">
        <v>3</v>
      </c>
      <c r="N1668" s="15"/>
    </row>
    <row r="1669" spans="1:14">
      <c r="A1669" s="6">
        <v>43847</v>
      </c>
      <c r="B1669" s="7">
        <v>0.55902777777777779</v>
      </c>
      <c r="C1669" s="13" t="str">
        <f>"FES1162731644"</f>
        <v>FES1162731644</v>
      </c>
      <c r="D1669" s="13" t="s">
        <v>19</v>
      </c>
      <c r="E1669" s="13" t="s">
        <v>790</v>
      </c>
      <c r="F1669" s="13" t="str">
        <f>"2170724268 "</f>
        <v xml:space="preserve">2170724268 </v>
      </c>
      <c r="G1669" s="13" t="str">
        <f>"DBC"</f>
        <v>DBC</v>
      </c>
      <c r="H1669" s="13" t="s">
        <v>21</v>
      </c>
      <c r="I1669" s="13" t="s">
        <v>36</v>
      </c>
      <c r="J1669" s="13" t="str">
        <f>"OIL"</f>
        <v>OIL</v>
      </c>
      <c r="K1669" s="13" t="str">
        <f>"PFES1162731644_0001"</f>
        <v>PFES1162731644_0001</v>
      </c>
      <c r="L1669" s="13">
        <v>1</v>
      </c>
      <c r="M1669" s="13">
        <v>10</v>
      </c>
      <c r="N1669" s="15"/>
    </row>
    <row r="1670" spans="1:14">
      <c r="A1670" s="6">
        <v>43847</v>
      </c>
      <c r="B1670" s="7">
        <v>0.55833333333333335</v>
      </c>
      <c r="C1670" s="13" t="str">
        <f>"FES1162731648"</f>
        <v>FES1162731648</v>
      </c>
      <c r="D1670" s="13" t="s">
        <v>19</v>
      </c>
      <c r="E1670" s="13" t="s">
        <v>792</v>
      </c>
      <c r="F1670" s="13" t="str">
        <f>"2170724275 "</f>
        <v xml:space="preserve">2170724275 </v>
      </c>
      <c r="G1670" s="13" t="str">
        <f t="shared" ref="G1670:G1733" si="51">"ON1"</f>
        <v>ON1</v>
      </c>
      <c r="H1670" s="13" t="s">
        <v>21</v>
      </c>
      <c r="I1670" s="13" t="s">
        <v>22</v>
      </c>
      <c r="J1670" s="13" t="str">
        <f>""</f>
        <v/>
      </c>
      <c r="K1670" s="13" t="str">
        <f>"PFES1162731648_0001"</f>
        <v>PFES1162731648_0001</v>
      </c>
      <c r="L1670" s="13">
        <v>1</v>
      </c>
      <c r="M1670" s="13">
        <v>4</v>
      </c>
      <c r="N1670" s="15"/>
    </row>
    <row r="1671" spans="1:14">
      <c r="A1671" s="6">
        <v>43847</v>
      </c>
      <c r="B1671" s="7">
        <v>0.55833333333333335</v>
      </c>
      <c r="C1671" s="13" t="str">
        <f>"FES1162731670"</f>
        <v>FES1162731670</v>
      </c>
      <c r="D1671" s="13" t="s">
        <v>19</v>
      </c>
      <c r="E1671" s="13" t="s">
        <v>793</v>
      </c>
      <c r="F1671" s="13" t="str">
        <f>"2170724296 "</f>
        <v xml:space="preserve">2170724296 </v>
      </c>
      <c r="G1671" s="13" t="str">
        <f t="shared" si="51"/>
        <v>ON1</v>
      </c>
      <c r="H1671" s="13" t="s">
        <v>21</v>
      </c>
      <c r="I1671" s="13" t="s">
        <v>28</v>
      </c>
      <c r="J1671" s="13" t="str">
        <f>""</f>
        <v/>
      </c>
      <c r="K1671" s="13" t="str">
        <f>"PFES1162731670_0001"</f>
        <v>PFES1162731670_0001</v>
      </c>
      <c r="L1671" s="13">
        <v>1</v>
      </c>
      <c r="M1671" s="13">
        <v>2</v>
      </c>
      <c r="N1671" s="15"/>
    </row>
    <row r="1672" spans="1:14">
      <c r="A1672" s="6">
        <v>43847</v>
      </c>
      <c r="B1672" s="7">
        <v>0.55486111111111114</v>
      </c>
      <c r="C1672" s="13" t="str">
        <f>"FES1162731651"</f>
        <v>FES1162731651</v>
      </c>
      <c r="D1672" s="13" t="s">
        <v>19</v>
      </c>
      <c r="E1672" s="13" t="s">
        <v>593</v>
      </c>
      <c r="F1672" s="13" t="str">
        <f>"2170724277 "</f>
        <v xml:space="preserve">2170724277 </v>
      </c>
      <c r="G1672" s="13" t="str">
        <f t="shared" si="51"/>
        <v>ON1</v>
      </c>
      <c r="H1672" s="13" t="s">
        <v>21</v>
      </c>
      <c r="I1672" s="13" t="s">
        <v>179</v>
      </c>
      <c r="J1672" s="13" t="str">
        <f>""</f>
        <v/>
      </c>
      <c r="K1672" s="13" t="str">
        <f>"PFES1162731651_0001"</f>
        <v>PFES1162731651_0001</v>
      </c>
      <c r="L1672" s="13">
        <v>1</v>
      </c>
      <c r="M1672" s="13">
        <v>2</v>
      </c>
      <c r="N1672" s="15"/>
    </row>
    <row r="1673" spans="1:14">
      <c r="A1673" s="6">
        <v>43847</v>
      </c>
      <c r="B1673" s="7">
        <v>0.55486111111111114</v>
      </c>
      <c r="C1673" s="13" t="str">
        <f>"FES1162731660"</f>
        <v>FES1162731660</v>
      </c>
      <c r="D1673" s="13" t="s">
        <v>19</v>
      </c>
      <c r="E1673" s="13" t="s">
        <v>794</v>
      </c>
      <c r="F1673" s="13" t="str">
        <f>"2170724285 "</f>
        <v xml:space="preserve">2170724285 </v>
      </c>
      <c r="G1673" s="13" t="str">
        <f t="shared" si="51"/>
        <v>ON1</v>
      </c>
      <c r="H1673" s="13" t="s">
        <v>21</v>
      </c>
      <c r="I1673" s="13" t="s">
        <v>795</v>
      </c>
      <c r="J1673" s="13" t="str">
        <f>""</f>
        <v/>
      </c>
      <c r="K1673" s="13" t="str">
        <f>"PFES1162731660_0001"</f>
        <v>PFES1162731660_0001</v>
      </c>
      <c r="L1673" s="13">
        <v>1</v>
      </c>
      <c r="M1673" s="13">
        <v>1</v>
      </c>
      <c r="N1673" s="15"/>
    </row>
    <row r="1674" spans="1:14">
      <c r="A1674" s="6">
        <v>43847</v>
      </c>
      <c r="B1674" s="7">
        <v>0.54999999999999993</v>
      </c>
      <c r="C1674" s="13" t="str">
        <f>"FES1162731671"</f>
        <v>FES1162731671</v>
      </c>
      <c r="D1674" s="13" t="s">
        <v>19</v>
      </c>
      <c r="E1674" s="13" t="s">
        <v>778</v>
      </c>
      <c r="F1674" s="13" t="str">
        <f>"2170722823 "</f>
        <v xml:space="preserve">2170722823 </v>
      </c>
      <c r="G1674" s="13" t="str">
        <f t="shared" si="51"/>
        <v>ON1</v>
      </c>
      <c r="H1674" s="13" t="s">
        <v>21</v>
      </c>
      <c r="I1674" s="13" t="s">
        <v>301</v>
      </c>
      <c r="J1674" s="13" t="str">
        <f>""</f>
        <v/>
      </c>
      <c r="K1674" s="13" t="str">
        <f>"PFES1162731671_0001"</f>
        <v>PFES1162731671_0001</v>
      </c>
      <c r="L1674" s="13">
        <v>1</v>
      </c>
      <c r="M1674" s="13">
        <v>2</v>
      </c>
      <c r="N1674" s="15"/>
    </row>
    <row r="1675" spans="1:14">
      <c r="A1675" s="6">
        <v>43847</v>
      </c>
      <c r="B1675" s="7">
        <v>0.54999999999999993</v>
      </c>
      <c r="C1675" s="13" t="str">
        <f>"FES1162731628"</f>
        <v>FES1162731628</v>
      </c>
      <c r="D1675" s="13" t="s">
        <v>19</v>
      </c>
      <c r="E1675" s="13" t="s">
        <v>796</v>
      </c>
      <c r="F1675" s="13" t="str">
        <f>"2170724256 "</f>
        <v xml:space="preserve">2170724256 </v>
      </c>
      <c r="G1675" s="13" t="str">
        <f t="shared" si="51"/>
        <v>ON1</v>
      </c>
      <c r="H1675" s="13" t="s">
        <v>21</v>
      </c>
      <c r="I1675" s="13" t="s">
        <v>165</v>
      </c>
      <c r="J1675" s="13" t="str">
        <f>""</f>
        <v/>
      </c>
      <c r="K1675" s="13" t="str">
        <f>"PFES1162731628_0001"</f>
        <v>PFES1162731628_0001</v>
      </c>
      <c r="L1675" s="13">
        <v>1</v>
      </c>
      <c r="M1675" s="13">
        <v>5</v>
      </c>
      <c r="N1675" s="15"/>
    </row>
    <row r="1676" spans="1:14">
      <c r="A1676" s="6">
        <v>43847</v>
      </c>
      <c r="B1676" s="7">
        <v>0.5493055555555556</v>
      </c>
      <c r="C1676" s="13" t="str">
        <f>"FES1162731672"</f>
        <v>FES1162731672</v>
      </c>
      <c r="D1676" s="13" t="s">
        <v>19</v>
      </c>
      <c r="E1676" s="13" t="s">
        <v>714</v>
      </c>
      <c r="F1676" s="13" t="str">
        <f>"2170724297 "</f>
        <v xml:space="preserve">2170724297 </v>
      </c>
      <c r="G1676" s="13" t="str">
        <f t="shared" si="51"/>
        <v>ON1</v>
      </c>
      <c r="H1676" s="13" t="s">
        <v>21</v>
      </c>
      <c r="I1676" s="13" t="s">
        <v>202</v>
      </c>
      <c r="J1676" s="13" t="str">
        <f>""</f>
        <v/>
      </c>
      <c r="K1676" s="13" t="str">
        <f>"PFES1162731672_0001"</f>
        <v>PFES1162731672_0001</v>
      </c>
      <c r="L1676" s="13">
        <v>1</v>
      </c>
      <c r="M1676" s="13">
        <v>6</v>
      </c>
      <c r="N1676" s="15"/>
    </row>
    <row r="1677" spans="1:14">
      <c r="A1677" s="6">
        <v>43847</v>
      </c>
      <c r="B1677" s="7">
        <v>0.5493055555555556</v>
      </c>
      <c r="C1677" s="13" t="str">
        <f>"FES1162731693"</f>
        <v>FES1162731693</v>
      </c>
      <c r="D1677" s="13" t="s">
        <v>19</v>
      </c>
      <c r="E1677" s="13" t="s">
        <v>339</v>
      </c>
      <c r="F1677" s="13" t="str">
        <f>"2170724326 "</f>
        <v xml:space="preserve">2170724326 </v>
      </c>
      <c r="G1677" s="13" t="str">
        <f t="shared" si="51"/>
        <v>ON1</v>
      </c>
      <c r="H1677" s="13" t="s">
        <v>21</v>
      </c>
      <c r="I1677" s="13" t="s">
        <v>340</v>
      </c>
      <c r="J1677" s="13" t="str">
        <f>""</f>
        <v/>
      </c>
      <c r="K1677" s="13" t="str">
        <f>"PFES1162731693_0001"</f>
        <v>PFES1162731693_0001</v>
      </c>
      <c r="L1677" s="13">
        <v>1</v>
      </c>
      <c r="M1677" s="13">
        <v>4</v>
      </c>
      <c r="N1677" s="15"/>
    </row>
    <row r="1678" spans="1:14">
      <c r="A1678" s="6">
        <v>43847</v>
      </c>
      <c r="B1678" s="7">
        <v>0.54861111111111105</v>
      </c>
      <c r="C1678" s="13" t="str">
        <f>"FES1162731681"</f>
        <v>FES1162731681</v>
      </c>
      <c r="D1678" s="13" t="s">
        <v>19</v>
      </c>
      <c r="E1678" s="13" t="s">
        <v>797</v>
      </c>
      <c r="F1678" s="13" t="str">
        <f>"2170724316 "</f>
        <v xml:space="preserve">2170724316 </v>
      </c>
      <c r="G1678" s="13" t="str">
        <f t="shared" si="51"/>
        <v>ON1</v>
      </c>
      <c r="H1678" s="13" t="s">
        <v>21</v>
      </c>
      <c r="I1678" s="13" t="s">
        <v>73</v>
      </c>
      <c r="J1678" s="13" t="str">
        <f>""</f>
        <v/>
      </c>
      <c r="K1678" s="13" t="str">
        <f>"PFES1162731681_0001"</f>
        <v>PFES1162731681_0001</v>
      </c>
      <c r="L1678" s="13">
        <v>1</v>
      </c>
      <c r="M1678" s="13">
        <v>1</v>
      </c>
      <c r="N1678" s="15"/>
    </row>
    <row r="1679" spans="1:14">
      <c r="A1679" s="6">
        <v>43847</v>
      </c>
      <c r="B1679" s="7">
        <v>0.54861111111111105</v>
      </c>
      <c r="C1679" s="13" t="str">
        <f>"FES1162731630"</f>
        <v>FES1162731630</v>
      </c>
      <c r="D1679" s="13" t="s">
        <v>19</v>
      </c>
      <c r="E1679" s="13" t="s">
        <v>262</v>
      </c>
      <c r="F1679" s="13" t="str">
        <f>"2170720371 "</f>
        <v xml:space="preserve">2170720371 </v>
      </c>
      <c r="G1679" s="13" t="str">
        <f t="shared" si="51"/>
        <v>ON1</v>
      </c>
      <c r="H1679" s="13" t="s">
        <v>21</v>
      </c>
      <c r="I1679" s="13" t="s">
        <v>114</v>
      </c>
      <c r="J1679" s="13" t="str">
        <f>""</f>
        <v/>
      </c>
      <c r="K1679" s="13" t="str">
        <f>"PFES1162731630_0001"</f>
        <v>PFES1162731630_0001</v>
      </c>
      <c r="L1679" s="13">
        <v>1</v>
      </c>
      <c r="M1679" s="13">
        <v>2</v>
      </c>
      <c r="N1679" s="15"/>
    </row>
    <row r="1680" spans="1:14">
      <c r="A1680" s="6">
        <v>43847</v>
      </c>
      <c r="B1680" s="7">
        <v>0.54791666666666672</v>
      </c>
      <c r="C1680" s="13" t="str">
        <f>"FES1162731655"</f>
        <v>FES1162731655</v>
      </c>
      <c r="D1680" s="13" t="s">
        <v>19</v>
      </c>
      <c r="E1680" s="13" t="s">
        <v>798</v>
      </c>
      <c r="F1680" s="13" t="str">
        <f>"2170724281 "</f>
        <v xml:space="preserve">2170724281 </v>
      </c>
      <c r="G1680" s="13" t="str">
        <f t="shared" si="51"/>
        <v>ON1</v>
      </c>
      <c r="H1680" s="13" t="s">
        <v>21</v>
      </c>
      <c r="I1680" s="13" t="s">
        <v>799</v>
      </c>
      <c r="J1680" s="13" t="str">
        <f>""</f>
        <v/>
      </c>
      <c r="K1680" s="13" t="str">
        <f>"PFES1162731655_0001"</f>
        <v>PFES1162731655_0001</v>
      </c>
      <c r="L1680" s="13">
        <v>1</v>
      </c>
      <c r="M1680" s="13">
        <v>2</v>
      </c>
      <c r="N1680" s="15"/>
    </row>
    <row r="1681" spans="1:14">
      <c r="A1681" s="6">
        <v>43847</v>
      </c>
      <c r="B1681" s="7">
        <v>0.54791666666666672</v>
      </c>
      <c r="C1681" s="13" t="str">
        <f>"FES1162731687"</f>
        <v>FES1162731687</v>
      </c>
      <c r="D1681" s="13" t="s">
        <v>19</v>
      </c>
      <c r="E1681" s="13" t="s">
        <v>800</v>
      </c>
      <c r="F1681" s="13" t="str">
        <f>"2170724309 "</f>
        <v xml:space="preserve">2170724309 </v>
      </c>
      <c r="G1681" s="13" t="str">
        <f t="shared" si="51"/>
        <v>ON1</v>
      </c>
      <c r="H1681" s="13" t="s">
        <v>21</v>
      </c>
      <c r="I1681" s="13" t="s">
        <v>247</v>
      </c>
      <c r="J1681" s="13" t="str">
        <f>""</f>
        <v/>
      </c>
      <c r="K1681" s="13" t="str">
        <f>"PFES1162731687_0001"</f>
        <v>PFES1162731687_0001</v>
      </c>
      <c r="L1681" s="13">
        <v>1</v>
      </c>
      <c r="M1681" s="13">
        <v>1</v>
      </c>
      <c r="N1681" s="15"/>
    </row>
    <row r="1682" spans="1:14">
      <c r="A1682" s="6">
        <v>43847</v>
      </c>
      <c r="B1682" s="7">
        <v>0.54791666666666672</v>
      </c>
      <c r="C1682" s="13" t="str">
        <f>"FES1162731603"</f>
        <v>FES1162731603</v>
      </c>
      <c r="D1682" s="13" t="s">
        <v>19</v>
      </c>
      <c r="E1682" s="13" t="s">
        <v>606</v>
      </c>
      <c r="F1682" s="13" t="str">
        <f>"2170724222 "</f>
        <v xml:space="preserve">2170724222 </v>
      </c>
      <c r="G1682" s="13" t="str">
        <f t="shared" si="51"/>
        <v>ON1</v>
      </c>
      <c r="H1682" s="13" t="s">
        <v>21</v>
      </c>
      <c r="I1682" s="13" t="s">
        <v>235</v>
      </c>
      <c r="J1682" s="13" t="str">
        <f>""</f>
        <v/>
      </c>
      <c r="K1682" s="13" t="str">
        <f>"PFES1162731603_0001"</f>
        <v>PFES1162731603_0001</v>
      </c>
      <c r="L1682" s="13">
        <v>1</v>
      </c>
      <c r="M1682" s="13">
        <v>2</v>
      </c>
      <c r="N1682" s="15"/>
    </row>
    <row r="1683" spans="1:14">
      <c r="A1683" s="6">
        <v>43847</v>
      </c>
      <c r="B1683" s="7">
        <v>0.54722222222222217</v>
      </c>
      <c r="C1683" s="13" t="str">
        <f>"FES1162731711"</f>
        <v>FES1162731711</v>
      </c>
      <c r="D1683" s="13" t="s">
        <v>19</v>
      </c>
      <c r="E1683" s="13" t="s">
        <v>101</v>
      </c>
      <c r="F1683" s="13" t="str">
        <f>"2170724346 "</f>
        <v xml:space="preserve">2170724346 </v>
      </c>
      <c r="G1683" s="13" t="str">
        <f t="shared" si="51"/>
        <v>ON1</v>
      </c>
      <c r="H1683" s="13" t="s">
        <v>21</v>
      </c>
      <c r="I1683" s="13" t="s">
        <v>102</v>
      </c>
      <c r="J1683" s="13" t="str">
        <f>""</f>
        <v/>
      </c>
      <c r="K1683" s="13" t="str">
        <f>"PFES1162731711_0001"</f>
        <v>PFES1162731711_0001</v>
      </c>
      <c r="L1683" s="13">
        <v>1</v>
      </c>
      <c r="M1683" s="13">
        <v>1</v>
      </c>
      <c r="N1683" s="15"/>
    </row>
    <row r="1684" spans="1:14">
      <c r="A1684" s="6">
        <v>43847</v>
      </c>
      <c r="B1684" s="7">
        <v>0.54652777777777783</v>
      </c>
      <c r="C1684" s="13" t="str">
        <f>"FES1162731701"</f>
        <v>FES1162731701</v>
      </c>
      <c r="D1684" s="13" t="s">
        <v>19</v>
      </c>
      <c r="E1684" s="13" t="s">
        <v>370</v>
      </c>
      <c r="F1684" s="13" t="str">
        <f>"2170724335 "</f>
        <v xml:space="preserve">2170724335 </v>
      </c>
      <c r="G1684" s="13" t="str">
        <f t="shared" si="51"/>
        <v>ON1</v>
      </c>
      <c r="H1684" s="13" t="s">
        <v>21</v>
      </c>
      <c r="I1684" s="13" t="s">
        <v>371</v>
      </c>
      <c r="J1684" s="13" t="str">
        <f>""</f>
        <v/>
      </c>
      <c r="K1684" s="13" t="str">
        <f>"PFES1162731701_0001"</f>
        <v>PFES1162731701_0001</v>
      </c>
      <c r="L1684" s="13">
        <v>1</v>
      </c>
      <c r="M1684" s="13">
        <v>1</v>
      </c>
      <c r="N1684" s="15"/>
    </row>
    <row r="1685" spans="1:14">
      <c r="A1685" s="6">
        <v>43847</v>
      </c>
      <c r="B1685" s="7">
        <v>0.54583333333333328</v>
      </c>
      <c r="C1685" s="13" t="str">
        <f>"FES1162731698"</f>
        <v>FES1162731698</v>
      </c>
      <c r="D1685" s="13" t="s">
        <v>19</v>
      </c>
      <c r="E1685" s="13" t="s">
        <v>587</v>
      </c>
      <c r="F1685" s="13" t="str">
        <f>"2170724332 "</f>
        <v xml:space="preserve">2170724332 </v>
      </c>
      <c r="G1685" s="13" t="str">
        <f t="shared" si="51"/>
        <v>ON1</v>
      </c>
      <c r="H1685" s="13" t="s">
        <v>21</v>
      </c>
      <c r="I1685" s="13" t="s">
        <v>277</v>
      </c>
      <c r="J1685" s="13" t="str">
        <f>""</f>
        <v/>
      </c>
      <c r="K1685" s="13" t="str">
        <f>"PFES1162731698_0001"</f>
        <v>PFES1162731698_0001</v>
      </c>
      <c r="L1685" s="13">
        <v>1</v>
      </c>
      <c r="M1685" s="13">
        <v>1</v>
      </c>
      <c r="N1685" s="15"/>
    </row>
    <row r="1686" spans="1:14">
      <c r="A1686" s="6">
        <v>43847</v>
      </c>
      <c r="B1686" s="7">
        <v>0.54513888888888895</v>
      </c>
      <c r="C1686" s="13" t="str">
        <f>"FES1162731712"</f>
        <v>FES1162731712</v>
      </c>
      <c r="D1686" s="13" t="s">
        <v>19</v>
      </c>
      <c r="E1686" s="13" t="s">
        <v>523</v>
      </c>
      <c r="F1686" s="13" t="str">
        <f>"2170724347 "</f>
        <v xml:space="preserve">2170724347 </v>
      </c>
      <c r="G1686" s="13" t="str">
        <f t="shared" si="51"/>
        <v>ON1</v>
      </c>
      <c r="H1686" s="13" t="s">
        <v>21</v>
      </c>
      <c r="I1686" s="13" t="s">
        <v>98</v>
      </c>
      <c r="J1686" s="13" t="str">
        <f>""</f>
        <v/>
      </c>
      <c r="K1686" s="13" t="str">
        <f>"PFES1162731712_0001"</f>
        <v>PFES1162731712_0001</v>
      </c>
      <c r="L1686" s="13">
        <v>1</v>
      </c>
      <c r="M1686" s="13">
        <v>1</v>
      </c>
      <c r="N1686" s="15"/>
    </row>
    <row r="1687" spans="1:14">
      <c r="A1687" s="6">
        <v>43847</v>
      </c>
      <c r="B1687" s="7">
        <v>0.54513888888888895</v>
      </c>
      <c r="C1687" s="13" t="str">
        <f>"FES1162731664"</f>
        <v>FES1162731664</v>
      </c>
      <c r="D1687" s="13" t="s">
        <v>19</v>
      </c>
      <c r="E1687" s="13" t="s">
        <v>697</v>
      </c>
      <c r="F1687" s="13" t="str">
        <f>"2170724288 "</f>
        <v xml:space="preserve">2170724288 </v>
      </c>
      <c r="G1687" s="13" t="str">
        <f t="shared" si="51"/>
        <v>ON1</v>
      </c>
      <c r="H1687" s="13" t="s">
        <v>21</v>
      </c>
      <c r="I1687" s="13" t="s">
        <v>114</v>
      </c>
      <c r="J1687" s="13" t="str">
        <f>""</f>
        <v/>
      </c>
      <c r="K1687" s="13" t="str">
        <f>"PFES1162731664_0001"</f>
        <v>PFES1162731664_0001</v>
      </c>
      <c r="L1687" s="13">
        <v>1</v>
      </c>
      <c r="M1687" s="13">
        <v>2</v>
      </c>
      <c r="N1687" s="15"/>
    </row>
    <row r="1688" spans="1:14">
      <c r="A1688" s="6">
        <v>43847</v>
      </c>
      <c r="B1688" s="7">
        <v>0.5444444444444444</v>
      </c>
      <c r="C1688" s="13" t="str">
        <f>"FES1162731705"</f>
        <v>FES1162731705</v>
      </c>
      <c r="D1688" s="13" t="s">
        <v>19</v>
      </c>
      <c r="E1688" s="13" t="s">
        <v>387</v>
      </c>
      <c r="F1688" s="13" t="str">
        <f>"2170724342 "</f>
        <v xml:space="preserve">2170724342 </v>
      </c>
      <c r="G1688" s="13" t="str">
        <f t="shared" si="51"/>
        <v>ON1</v>
      </c>
      <c r="H1688" s="13" t="s">
        <v>21</v>
      </c>
      <c r="I1688" s="13" t="s">
        <v>202</v>
      </c>
      <c r="J1688" s="13" t="str">
        <f>""</f>
        <v/>
      </c>
      <c r="K1688" s="13" t="str">
        <f>"PFES1162731705_0001"</f>
        <v>PFES1162731705_0001</v>
      </c>
      <c r="L1688" s="13">
        <v>1</v>
      </c>
      <c r="M1688" s="13">
        <v>1</v>
      </c>
      <c r="N1688" s="15"/>
    </row>
    <row r="1689" spans="1:14">
      <c r="A1689" s="6">
        <v>43847</v>
      </c>
      <c r="B1689" s="7">
        <v>0.5444444444444444</v>
      </c>
      <c r="C1689" s="13" t="str">
        <f>"FES1162731663"</f>
        <v>FES1162731663</v>
      </c>
      <c r="D1689" s="13" t="s">
        <v>19</v>
      </c>
      <c r="E1689" s="13" t="s">
        <v>302</v>
      </c>
      <c r="F1689" s="13" t="str">
        <f>"2170723712 "</f>
        <v xml:space="preserve">2170723712 </v>
      </c>
      <c r="G1689" s="13" t="str">
        <f t="shared" si="51"/>
        <v>ON1</v>
      </c>
      <c r="H1689" s="13" t="s">
        <v>21</v>
      </c>
      <c r="I1689" s="13" t="s">
        <v>303</v>
      </c>
      <c r="J1689" s="13" t="str">
        <f>""</f>
        <v/>
      </c>
      <c r="K1689" s="13" t="str">
        <f>"PFES1162731663_0001"</f>
        <v>PFES1162731663_0001</v>
      </c>
      <c r="L1689" s="13">
        <v>1</v>
      </c>
      <c r="M1689" s="13">
        <v>2</v>
      </c>
      <c r="N1689" s="15"/>
    </row>
    <row r="1690" spans="1:14">
      <c r="A1690" s="6">
        <v>43847</v>
      </c>
      <c r="B1690" s="7">
        <v>0.54375000000000007</v>
      </c>
      <c r="C1690" s="13" t="str">
        <f>"FES1162731427"</f>
        <v>FES1162731427</v>
      </c>
      <c r="D1690" s="13" t="s">
        <v>19</v>
      </c>
      <c r="E1690" s="13" t="s">
        <v>473</v>
      </c>
      <c r="F1690" s="13" t="str">
        <f>"2170720559 "</f>
        <v xml:space="preserve">2170720559 </v>
      </c>
      <c r="G1690" s="13" t="str">
        <f t="shared" si="51"/>
        <v>ON1</v>
      </c>
      <c r="H1690" s="13" t="s">
        <v>21</v>
      </c>
      <c r="I1690" s="13" t="s">
        <v>247</v>
      </c>
      <c r="J1690" s="13" t="str">
        <f>""</f>
        <v/>
      </c>
      <c r="K1690" s="13" t="str">
        <f>"PFES1162731427_0001"</f>
        <v>PFES1162731427_0001</v>
      </c>
      <c r="L1690" s="13">
        <v>1</v>
      </c>
      <c r="M1690" s="13">
        <v>1</v>
      </c>
      <c r="N1690" s="15"/>
    </row>
    <row r="1691" spans="1:14">
      <c r="A1691" s="6">
        <v>43847</v>
      </c>
      <c r="B1691" s="7">
        <v>0.54375000000000007</v>
      </c>
      <c r="C1691" s="13" t="str">
        <f>"FES1162731677"</f>
        <v>FES1162731677</v>
      </c>
      <c r="D1691" s="13" t="s">
        <v>19</v>
      </c>
      <c r="E1691" s="13" t="s">
        <v>293</v>
      </c>
      <c r="F1691" s="13" t="str">
        <f>"2170723998 "</f>
        <v xml:space="preserve">2170723998 </v>
      </c>
      <c r="G1691" s="13" t="str">
        <f t="shared" si="51"/>
        <v>ON1</v>
      </c>
      <c r="H1691" s="13" t="s">
        <v>21</v>
      </c>
      <c r="I1691" s="13" t="s">
        <v>294</v>
      </c>
      <c r="J1691" s="13" t="str">
        <f>""</f>
        <v/>
      </c>
      <c r="K1691" s="13" t="str">
        <f>"PFES1162731677_0001"</f>
        <v>PFES1162731677_0001</v>
      </c>
      <c r="L1691" s="13">
        <v>1</v>
      </c>
      <c r="M1691" s="13">
        <v>6</v>
      </c>
      <c r="N1691" s="15"/>
    </row>
    <row r="1692" spans="1:14">
      <c r="A1692" s="6">
        <v>43847</v>
      </c>
      <c r="B1692" s="7">
        <v>0.54375000000000007</v>
      </c>
      <c r="C1692" s="13" t="str">
        <f>"FES1162731688"</f>
        <v>FES1162731688</v>
      </c>
      <c r="D1692" s="13" t="s">
        <v>19</v>
      </c>
      <c r="E1692" s="13" t="s">
        <v>358</v>
      </c>
      <c r="F1692" s="13" t="str">
        <f>"2170724311 "</f>
        <v xml:space="preserve">2170724311 </v>
      </c>
      <c r="G1692" s="13" t="str">
        <f t="shared" si="51"/>
        <v>ON1</v>
      </c>
      <c r="H1692" s="13" t="s">
        <v>21</v>
      </c>
      <c r="I1692" s="13" t="s">
        <v>119</v>
      </c>
      <c r="J1692" s="13" t="str">
        <f>""</f>
        <v/>
      </c>
      <c r="K1692" s="13" t="str">
        <f>"PFES1162731688_0001"</f>
        <v>PFES1162731688_0001</v>
      </c>
      <c r="L1692" s="13">
        <v>1</v>
      </c>
      <c r="M1692" s="13">
        <v>4</v>
      </c>
      <c r="N1692" s="15"/>
    </row>
    <row r="1693" spans="1:14">
      <c r="A1693" s="6">
        <v>43847</v>
      </c>
      <c r="B1693" s="7">
        <v>0.54305555555555551</v>
      </c>
      <c r="C1693" s="13" t="str">
        <f>"FES1162731697"</f>
        <v>FES1162731697</v>
      </c>
      <c r="D1693" s="13" t="s">
        <v>19</v>
      </c>
      <c r="E1693" s="13" t="s">
        <v>332</v>
      </c>
      <c r="F1693" s="13" t="str">
        <f>"2170721922 "</f>
        <v xml:space="preserve">2170721922 </v>
      </c>
      <c r="G1693" s="13" t="str">
        <f t="shared" si="51"/>
        <v>ON1</v>
      </c>
      <c r="H1693" s="13" t="s">
        <v>21</v>
      </c>
      <c r="I1693" s="13" t="s">
        <v>305</v>
      </c>
      <c r="J1693" s="13" t="str">
        <f>""</f>
        <v/>
      </c>
      <c r="K1693" s="13" t="str">
        <f>"PFES1162731697_0001"</f>
        <v>PFES1162731697_0001</v>
      </c>
      <c r="L1693" s="13">
        <v>1</v>
      </c>
      <c r="M1693" s="13">
        <v>17</v>
      </c>
      <c r="N1693" s="15"/>
    </row>
    <row r="1694" spans="1:14">
      <c r="A1694" s="6">
        <v>43847</v>
      </c>
      <c r="B1694" s="7">
        <v>0.54236111111111118</v>
      </c>
      <c r="C1694" s="13" t="str">
        <f>"FES1162731686"</f>
        <v>FES1162731686</v>
      </c>
      <c r="D1694" s="13" t="s">
        <v>19</v>
      </c>
      <c r="E1694" s="13" t="s">
        <v>579</v>
      </c>
      <c r="F1694" s="13" t="str">
        <f>"2170724308 "</f>
        <v xml:space="preserve">2170724308 </v>
      </c>
      <c r="G1694" s="13" t="str">
        <f t="shared" si="51"/>
        <v>ON1</v>
      </c>
      <c r="H1694" s="13" t="s">
        <v>21</v>
      </c>
      <c r="I1694" s="13" t="s">
        <v>165</v>
      </c>
      <c r="J1694" s="13" t="str">
        <f>""</f>
        <v/>
      </c>
      <c r="K1694" s="13" t="str">
        <f>"PFES1162731686_0001"</f>
        <v>PFES1162731686_0001</v>
      </c>
      <c r="L1694" s="13">
        <v>1</v>
      </c>
      <c r="M1694" s="13">
        <v>2</v>
      </c>
      <c r="N1694" s="15"/>
    </row>
    <row r="1695" spans="1:14">
      <c r="A1695" s="6">
        <v>43847</v>
      </c>
      <c r="B1695" s="7">
        <v>0.54236111111111118</v>
      </c>
      <c r="C1695" s="13" t="str">
        <f>"FES1162731691"</f>
        <v>FES1162731691</v>
      </c>
      <c r="D1695" s="13" t="s">
        <v>19</v>
      </c>
      <c r="E1695" s="13" t="s">
        <v>240</v>
      </c>
      <c r="F1695" s="13" t="str">
        <f>"2170724322 "</f>
        <v xml:space="preserve">2170724322 </v>
      </c>
      <c r="G1695" s="13" t="str">
        <f t="shared" si="51"/>
        <v>ON1</v>
      </c>
      <c r="H1695" s="13" t="s">
        <v>21</v>
      </c>
      <c r="I1695" s="13" t="s">
        <v>241</v>
      </c>
      <c r="J1695" s="13" t="str">
        <f>""</f>
        <v/>
      </c>
      <c r="K1695" s="13" t="str">
        <f>"PFES1162731691_0001"</f>
        <v>PFES1162731691_0001</v>
      </c>
      <c r="L1695" s="13">
        <v>1</v>
      </c>
      <c r="M1695" s="13">
        <v>2</v>
      </c>
      <c r="N1695" s="15"/>
    </row>
    <row r="1696" spans="1:14">
      <c r="A1696" s="6">
        <v>43847</v>
      </c>
      <c r="B1696" s="7">
        <v>0.54166666666666663</v>
      </c>
      <c r="C1696" s="13" t="str">
        <f>"FES1162731694"</f>
        <v>FES1162731694</v>
      </c>
      <c r="D1696" s="13" t="s">
        <v>19</v>
      </c>
      <c r="E1696" s="13" t="s">
        <v>801</v>
      </c>
      <c r="F1696" s="13" t="str">
        <f>"2170724327 "</f>
        <v xml:space="preserve">2170724327 </v>
      </c>
      <c r="G1696" s="13" t="str">
        <f t="shared" si="51"/>
        <v>ON1</v>
      </c>
      <c r="H1696" s="13" t="s">
        <v>21</v>
      </c>
      <c r="I1696" s="13" t="s">
        <v>202</v>
      </c>
      <c r="J1696" s="13" t="str">
        <f>""</f>
        <v/>
      </c>
      <c r="K1696" s="13" t="str">
        <f>"PFES1162731694_0001"</f>
        <v>PFES1162731694_0001</v>
      </c>
      <c r="L1696" s="13">
        <v>1</v>
      </c>
      <c r="M1696" s="13">
        <v>6</v>
      </c>
      <c r="N1696" s="15"/>
    </row>
    <row r="1697" spans="1:14">
      <c r="A1697" s="6">
        <v>43847</v>
      </c>
      <c r="B1697" s="7">
        <v>0.54166666666666663</v>
      </c>
      <c r="C1697" s="13" t="str">
        <f>"FES1162731679"</f>
        <v>FES1162731679</v>
      </c>
      <c r="D1697" s="13" t="s">
        <v>19</v>
      </c>
      <c r="E1697" s="13" t="s">
        <v>388</v>
      </c>
      <c r="F1697" s="13" t="str">
        <f>"2170724270 "</f>
        <v xml:space="preserve">2170724270 </v>
      </c>
      <c r="G1697" s="13" t="str">
        <f t="shared" si="51"/>
        <v>ON1</v>
      </c>
      <c r="H1697" s="13" t="s">
        <v>21</v>
      </c>
      <c r="I1697" s="13" t="s">
        <v>389</v>
      </c>
      <c r="J1697" s="13" t="str">
        <f>""</f>
        <v/>
      </c>
      <c r="K1697" s="13" t="str">
        <f>"PFES1162731679_0001"</f>
        <v>PFES1162731679_0001</v>
      </c>
      <c r="L1697" s="13">
        <v>1</v>
      </c>
      <c r="M1697" s="13">
        <v>3</v>
      </c>
      <c r="N1697" s="15"/>
    </row>
    <row r="1698" spans="1:14">
      <c r="A1698" s="6">
        <v>43847</v>
      </c>
      <c r="B1698" s="7">
        <v>0.54097222222222219</v>
      </c>
      <c r="C1698" s="13" t="str">
        <f>"FES1162731707"</f>
        <v>FES1162731707</v>
      </c>
      <c r="D1698" s="13" t="s">
        <v>19</v>
      </c>
      <c r="E1698" s="13" t="s">
        <v>224</v>
      </c>
      <c r="F1698" s="13" t="str">
        <f>"2170724344 "</f>
        <v xml:space="preserve">2170724344 </v>
      </c>
      <c r="G1698" s="13" t="str">
        <f t="shared" si="51"/>
        <v>ON1</v>
      </c>
      <c r="H1698" s="13" t="s">
        <v>21</v>
      </c>
      <c r="I1698" s="13" t="s">
        <v>500</v>
      </c>
      <c r="J1698" s="13" t="str">
        <f>""</f>
        <v/>
      </c>
      <c r="K1698" s="13" t="str">
        <f>"PFES1162731707_0001"</f>
        <v>PFES1162731707_0001</v>
      </c>
      <c r="L1698" s="13">
        <v>1</v>
      </c>
      <c r="M1698" s="13">
        <v>2</v>
      </c>
      <c r="N1698" s="15"/>
    </row>
    <row r="1699" spans="1:14">
      <c r="A1699" s="6">
        <v>43847</v>
      </c>
      <c r="B1699" s="7">
        <v>0.54027777777777775</v>
      </c>
      <c r="C1699" s="13" t="str">
        <f>"FES1162731706"</f>
        <v>FES1162731706</v>
      </c>
      <c r="D1699" s="13" t="s">
        <v>19</v>
      </c>
      <c r="E1699" s="13" t="s">
        <v>224</v>
      </c>
      <c r="F1699" s="13" t="str">
        <f>"2170724323 "</f>
        <v xml:space="preserve">2170724323 </v>
      </c>
      <c r="G1699" s="13" t="str">
        <f t="shared" si="51"/>
        <v>ON1</v>
      </c>
      <c r="H1699" s="13" t="s">
        <v>21</v>
      </c>
      <c r="I1699" s="13" t="s">
        <v>500</v>
      </c>
      <c r="J1699" s="13" t="str">
        <f>""</f>
        <v/>
      </c>
      <c r="K1699" s="13" t="str">
        <f>"PFES1162731706_0001"</f>
        <v>PFES1162731706_0001</v>
      </c>
      <c r="L1699" s="13">
        <v>1</v>
      </c>
      <c r="M1699" s="13">
        <v>2</v>
      </c>
      <c r="N1699" s="15"/>
    </row>
    <row r="1700" spans="1:14">
      <c r="A1700" s="6">
        <v>43847</v>
      </c>
      <c r="B1700" s="7">
        <v>0.54027777777777775</v>
      </c>
      <c r="C1700" s="13" t="str">
        <f>"FES1162731690"</f>
        <v>FES1162731690</v>
      </c>
      <c r="D1700" s="13" t="s">
        <v>19</v>
      </c>
      <c r="E1700" s="13" t="s">
        <v>802</v>
      </c>
      <c r="F1700" s="13" t="str">
        <f>"2170724321 "</f>
        <v xml:space="preserve">2170724321 </v>
      </c>
      <c r="G1700" s="13" t="str">
        <f t="shared" si="51"/>
        <v>ON1</v>
      </c>
      <c r="H1700" s="13" t="s">
        <v>21</v>
      </c>
      <c r="I1700" s="13" t="s">
        <v>803</v>
      </c>
      <c r="J1700" s="13" t="str">
        <f>""</f>
        <v/>
      </c>
      <c r="K1700" s="13" t="str">
        <f>"PFES1162731690_0001"</f>
        <v>PFES1162731690_0001</v>
      </c>
      <c r="L1700" s="13">
        <v>1</v>
      </c>
      <c r="M1700" s="13">
        <v>3</v>
      </c>
      <c r="N1700" s="15"/>
    </row>
    <row r="1701" spans="1:14">
      <c r="A1701" s="6">
        <v>43847</v>
      </c>
      <c r="B1701" s="7">
        <v>0.5395833333333333</v>
      </c>
      <c r="C1701" s="13" t="str">
        <f>"FES1162731692"</f>
        <v>FES1162731692</v>
      </c>
      <c r="D1701" s="13" t="s">
        <v>19</v>
      </c>
      <c r="E1701" s="13" t="s">
        <v>804</v>
      </c>
      <c r="F1701" s="13" t="str">
        <f>"2170724323 "</f>
        <v xml:space="preserve">2170724323 </v>
      </c>
      <c r="G1701" s="13" t="str">
        <f t="shared" si="51"/>
        <v>ON1</v>
      </c>
      <c r="H1701" s="13" t="s">
        <v>21</v>
      </c>
      <c r="I1701" s="13" t="s">
        <v>294</v>
      </c>
      <c r="J1701" s="13" t="str">
        <f>""</f>
        <v/>
      </c>
      <c r="K1701" s="13" t="str">
        <f>"PFES1162731692_0001"</f>
        <v>PFES1162731692_0001</v>
      </c>
      <c r="L1701" s="13">
        <v>1</v>
      </c>
      <c r="M1701" s="13">
        <v>2</v>
      </c>
      <c r="N1701" s="15"/>
    </row>
    <row r="1702" spans="1:14">
      <c r="A1702" s="6">
        <v>43847</v>
      </c>
      <c r="B1702" s="7">
        <v>0.53888888888888886</v>
      </c>
      <c r="C1702" s="13" t="str">
        <f>"FES1162731720"</f>
        <v>FES1162731720</v>
      </c>
      <c r="D1702" s="13" t="s">
        <v>19</v>
      </c>
      <c r="E1702" s="13" t="s">
        <v>661</v>
      </c>
      <c r="F1702" s="13" t="str">
        <f>"2170724363 "</f>
        <v xml:space="preserve">2170724363 </v>
      </c>
      <c r="G1702" s="13" t="str">
        <f t="shared" si="51"/>
        <v>ON1</v>
      </c>
      <c r="H1702" s="13" t="s">
        <v>21</v>
      </c>
      <c r="I1702" s="13" t="s">
        <v>528</v>
      </c>
      <c r="J1702" s="13" t="str">
        <f>""</f>
        <v/>
      </c>
      <c r="K1702" s="13" t="str">
        <f>"PFES1162731720_0001"</f>
        <v>PFES1162731720_0001</v>
      </c>
      <c r="L1702" s="13">
        <v>1</v>
      </c>
      <c r="M1702" s="13">
        <v>3</v>
      </c>
      <c r="N1702" s="15"/>
    </row>
    <row r="1703" spans="1:14">
      <c r="A1703" s="6">
        <v>43847</v>
      </c>
      <c r="B1703" s="7">
        <v>0.52708333333333335</v>
      </c>
      <c r="C1703" s="13" t="str">
        <f>"FES1162731702"</f>
        <v>FES1162731702</v>
      </c>
      <c r="D1703" s="13" t="s">
        <v>19</v>
      </c>
      <c r="E1703" s="13" t="s">
        <v>805</v>
      </c>
      <c r="F1703" s="13" t="str">
        <f>"2170724337 "</f>
        <v xml:space="preserve">2170724337 </v>
      </c>
      <c r="G1703" s="13" t="str">
        <f t="shared" si="51"/>
        <v>ON1</v>
      </c>
      <c r="H1703" s="13" t="s">
        <v>21</v>
      </c>
      <c r="I1703" s="13" t="s">
        <v>183</v>
      </c>
      <c r="J1703" s="13" t="str">
        <f>""</f>
        <v/>
      </c>
      <c r="K1703" s="13" t="str">
        <f>"PFES1162731702_0001"</f>
        <v>PFES1162731702_0001</v>
      </c>
      <c r="L1703" s="13">
        <v>1</v>
      </c>
      <c r="M1703" s="13">
        <v>1</v>
      </c>
      <c r="N1703" s="15"/>
    </row>
    <row r="1704" spans="1:14">
      <c r="A1704" s="6">
        <v>43847</v>
      </c>
      <c r="B1704" s="7">
        <v>0.52708333333333335</v>
      </c>
      <c r="C1704" s="13" t="str">
        <f>"FES1162731703"</f>
        <v>FES1162731703</v>
      </c>
      <c r="D1704" s="13" t="s">
        <v>19</v>
      </c>
      <c r="E1704" s="13" t="s">
        <v>153</v>
      </c>
      <c r="F1704" s="13" t="str">
        <f>"2170724339 "</f>
        <v xml:space="preserve">2170724339 </v>
      </c>
      <c r="G1704" s="13" t="str">
        <f t="shared" si="51"/>
        <v>ON1</v>
      </c>
      <c r="H1704" s="13" t="s">
        <v>21</v>
      </c>
      <c r="I1704" s="13" t="s">
        <v>146</v>
      </c>
      <c r="J1704" s="13" t="str">
        <f>""</f>
        <v/>
      </c>
      <c r="K1704" s="13" t="str">
        <f>"PFES1162731703_0001"</f>
        <v>PFES1162731703_0001</v>
      </c>
      <c r="L1704" s="13">
        <v>1</v>
      </c>
      <c r="M1704" s="13">
        <v>1</v>
      </c>
      <c r="N1704" s="15"/>
    </row>
    <row r="1705" spans="1:14">
      <c r="A1705" s="6">
        <v>43847</v>
      </c>
      <c r="B1705" s="7">
        <v>0.52569444444444446</v>
      </c>
      <c r="C1705" s="13" t="str">
        <f>"FES1162731667"</f>
        <v>FES1162731667</v>
      </c>
      <c r="D1705" s="13" t="s">
        <v>19</v>
      </c>
      <c r="E1705" s="13" t="s">
        <v>302</v>
      </c>
      <c r="F1705" s="13" t="str">
        <f>"2170724291 "</f>
        <v xml:space="preserve">2170724291 </v>
      </c>
      <c r="G1705" s="13" t="str">
        <f t="shared" si="51"/>
        <v>ON1</v>
      </c>
      <c r="H1705" s="13" t="s">
        <v>21</v>
      </c>
      <c r="I1705" s="13" t="s">
        <v>303</v>
      </c>
      <c r="J1705" s="13" t="str">
        <f>""</f>
        <v/>
      </c>
      <c r="K1705" s="13" t="str">
        <f>"PFES1162731667_0001"</f>
        <v>PFES1162731667_0001</v>
      </c>
      <c r="L1705" s="13">
        <v>1</v>
      </c>
      <c r="M1705" s="13">
        <v>1</v>
      </c>
      <c r="N1705" s="15"/>
    </row>
    <row r="1706" spans="1:14">
      <c r="A1706" s="6">
        <v>43847</v>
      </c>
      <c r="B1706" s="7">
        <v>0.52500000000000002</v>
      </c>
      <c r="C1706" s="13" t="str">
        <f>"FES1162731657"</f>
        <v>FES1162731657</v>
      </c>
      <c r="D1706" s="13" t="s">
        <v>19</v>
      </c>
      <c r="E1706" s="13" t="s">
        <v>798</v>
      </c>
      <c r="F1706" s="13" t="str">
        <f>"2170724283 "</f>
        <v xml:space="preserve">2170724283 </v>
      </c>
      <c r="G1706" s="13" t="str">
        <f t="shared" si="51"/>
        <v>ON1</v>
      </c>
      <c r="H1706" s="13" t="s">
        <v>21</v>
      </c>
      <c r="I1706" s="13" t="s">
        <v>799</v>
      </c>
      <c r="J1706" s="13" t="str">
        <f>""</f>
        <v/>
      </c>
      <c r="K1706" s="13" t="str">
        <f>"PFES1162731657_0001"</f>
        <v>PFES1162731657_0001</v>
      </c>
      <c r="L1706" s="13">
        <v>1</v>
      </c>
      <c r="M1706" s="13">
        <v>1</v>
      </c>
      <c r="N1706" s="15"/>
    </row>
    <row r="1707" spans="1:14">
      <c r="A1707" s="6">
        <v>43847</v>
      </c>
      <c r="B1707" s="7">
        <v>0.52361111111111114</v>
      </c>
      <c r="C1707" s="13" t="str">
        <f>"FES1162731659"</f>
        <v>FES1162731659</v>
      </c>
      <c r="D1707" s="13" t="s">
        <v>19</v>
      </c>
      <c r="E1707" s="13" t="s">
        <v>806</v>
      </c>
      <c r="F1707" s="13" t="str">
        <f>"2170724286 "</f>
        <v xml:space="preserve">2170724286 </v>
      </c>
      <c r="G1707" s="13" t="str">
        <f t="shared" si="51"/>
        <v>ON1</v>
      </c>
      <c r="H1707" s="13" t="s">
        <v>21</v>
      </c>
      <c r="I1707" s="13" t="s">
        <v>807</v>
      </c>
      <c r="J1707" s="13" t="str">
        <f>""</f>
        <v/>
      </c>
      <c r="K1707" s="13" t="str">
        <f>"PFES1162731659_0001"</f>
        <v>PFES1162731659_0001</v>
      </c>
      <c r="L1707" s="13">
        <v>1</v>
      </c>
      <c r="M1707" s="13">
        <v>1</v>
      </c>
      <c r="N1707" s="15"/>
    </row>
    <row r="1708" spans="1:14">
      <c r="A1708" s="6">
        <v>43847</v>
      </c>
      <c r="B1708" s="7">
        <v>0.5229166666666667</v>
      </c>
      <c r="C1708" s="13" t="str">
        <f>"FES1162731678"</f>
        <v>FES1162731678</v>
      </c>
      <c r="D1708" s="13" t="s">
        <v>19</v>
      </c>
      <c r="E1708" s="13" t="s">
        <v>808</v>
      </c>
      <c r="F1708" s="13" t="str">
        <f>"2170724180 "</f>
        <v xml:space="preserve">2170724180 </v>
      </c>
      <c r="G1708" s="13" t="str">
        <f t="shared" si="51"/>
        <v>ON1</v>
      </c>
      <c r="H1708" s="13" t="s">
        <v>21</v>
      </c>
      <c r="I1708" s="13" t="s">
        <v>488</v>
      </c>
      <c r="J1708" s="13" t="str">
        <f>""</f>
        <v/>
      </c>
      <c r="K1708" s="13" t="str">
        <f>"PFES1162731678_0001"</f>
        <v>PFES1162731678_0001</v>
      </c>
      <c r="L1708" s="13">
        <v>1</v>
      </c>
      <c r="M1708" s="13">
        <v>1</v>
      </c>
      <c r="N1708" s="15"/>
    </row>
    <row r="1709" spans="1:14">
      <c r="A1709" s="6">
        <v>43847</v>
      </c>
      <c r="B1709" s="7">
        <v>0.52222222222222225</v>
      </c>
      <c r="C1709" s="13" t="str">
        <f>"FES1162731654"</f>
        <v>FES1162731654</v>
      </c>
      <c r="D1709" s="13" t="s">
        <v>19</v>
      </c>
      <c r="E1709" s="13" t="s">
        <v>809</v>
      </c>
      <c r="F1709" s="13" t="str">
        <f>"2170724280 "</f>
        <v xml:space="preserve">2170724280 </v>
      </c>
      <c r="G1709" s="13" t="str">
        <f t="shared" si="51"/>
        <v>ON1</v>
      </c>
      <c r="H1709" s="13" t="s">
        <v>21</v>
      </c>
      <c r="I1709" s="13" t="s">
        <v>114</v>
      </c>
      <c r="J1709" s="13" t="str">
        <f>""</f>
        <v/>
      </c>
      <c r="K1709" s="13" t="str">
        <f>"PFES1162731654_0001"</f>
        <v>PFES1162731654_0001</v>
      </c>
      <c r="L1709" s="13">
        <v>1</v>
      </c>
      <c r="M1709" s="13">
        <v>1</v>
      </c>
      <c r="N1709" s="15"/>
    </row>
    <row r="1710" spans="1:14">
      <c r="A1710" s="6">
        <v>43847</v>
      </c>
      <c r="B1710" s="7">
        <v>0.52222222222222225</v>
      </c>
      <c r="C1710" s="13" t="str">
        <f>"FES1162731661"</f>
        <v>FES1162731661</v>
      </c>
      <c r="D1710" s="13" t="s">
        <v>19</v>
      </c>
      <c r="E1710" s="13" t="s">
        <v>261</v>
      </c>
      <c r="F1710" s="13" t="str">
        <f>"2170724287 "</f>
        <v xml:space="preserve">2170724287 </v>
      </c>
      <c r="G1710" s="13" t="str">
        <f t="shared" si="51"/>
        <v>ON1</v>
      </c>
      <c r="H1710" s="13" t="s">
        <v>21</v>
      </c>
      <c r="I1710" s="13" t="s">
        <v>152</v>
      </c>
      <c r="J1710" s="13" t="str">
        <f>""</f>
        <v/>
      </c>
      <c r="K1710" s="13" t="str">
        <f>"PFES1162731661_0001"</f>
        <v>PFES1162731661_0001</v>
      </c>
      <c r="L1710" s="13">
        <v>1</v>
      </c>
      <c r="M1710" s="13">
        <v>1</v>
      </c>
      <c r="N1710" s="15"/>
    </row>
    <row r="1711" spans="1:14">
      <c r="A1711" s="6">
        <v>43847</v>
      </c>
      <c r="B1711" s="7">
        <v>0.52152777777777781</v>
      </c>
      <c r="C1711" s="13" t="str">
        <f>"FES1162731635"</f>
        <v>FES1162731635</v>
      </c>
      <c r="D1711" s="13" t="s">
        <v>19</v>
      </c>
      <c r="E1711" s="13" t="s">
        <v>153</v>
      </c>
      <c r="F1711" s="13" t="str">
        <f>"2170722961 "</f>
        <v xml:space="preserve">2170722961 </v>
      </c>
      <c r="G1711" s="13" t="str">
        <f t="shared" si="51"/>
        <v>ON1</v>
      </c>
      <c r="H1711" s="13" t="s">
        <v>21</v>
      </c>
      <c r="I1711" s="13" t="s">
        <v>146</v>
      </c>
      <c r="J1711" s="13" t="str">
        <f>""</f>
        <v/>
      </c>
      <c r="K1711" s="13" t="str">
        <f>"PFES1162731635_0001"</f>
        <v>PFES1162731635_0001</v>
      </c>
      <c r="L1711" s="13">
        <v>1</v>
      </c>
      <c r="M1711" s="13">
        <v>1</v>
      </c>
      <c r="N1711" s="15"/>
    </row>
    <row r="1712" spans="1:14">
      <c r="A1712" s="6">
        <v>43847</v>
      </c>
      <c r="B1712" s="7">
        <v>0.52083333333333337</v>
      </c>
      <c r="C1712" s="13" t="str">
        <f>"FES1162731641"</f>
        <v>FES1162731641</v>
      </c>
      <c r="D1712" s="13" t="s">
        <v>19</v>
      </c>
      <c r="E1712" s="13" t="s">
        <v>626</v>
      </c>
      <c r="F1712" s="13" t="str">
        <f>"2170724254 "</f>
        <v xml:space="preserve">2170724254 </v>
      </c>
      <c r="G1712" s="13" t="str">
        <f t="shared" si="51"/>
        <v>ON1</v>
      </c>
      <c r="H1712" s="13" t="s">
        <v>21</v>
      </c>
      <c r="I1712" s="13" t="s">
        <v>139</v>
      </c>
      <c r="J1712" s="13" t="str">
        <f>""</f>
        <v/>
      </c>
      <c r="K1712" s="13" t="str">
        <f>"PFES1162731641_0001"</f>
        <v>PFES1162731641_0001</v>
      </c>
      <c r="L1712" s="13">
        <v>1</v>
      </c>
      <c r="M1712" s="13">
        <v>1</v>
      </c>
      <c r="N1712" s="15"/>
    </row>
    <row r="1713" spans="1:14">
      <c r="A1713" s="6">
        <v>43847</v>
      </c>
      <c r="B1713" s="7">
        <v>0.52013888888888882</v>
      </c>
      <c r="C1713" s="13" t="str">
        <f>"FES1162731634"</f>
        <v>FES1162731634</v>
      </c>
      <c r="D1713" s="13" t="s">
        <v>19</v>
      </c>
      <c r="E1713" s="13" t="s">
        <v>46</v>
      </c>
      <c r="F1713" s="13" t="str">
        <f>"2170722714 "</f>
        <v xml:space="preserve">2170722714 </v>
      </c>
      <c r="G1713" s="13" t="str">
        <f t="shared" si="51"/>
        <v>ON1</v>
      </c>
      <c r="H1713" s="13" t="s">
        <v>21</v>
      </c>
      <c r="I1713" s="13" t="s">
        <v>47</v>
      </c>
      <c r="J1713" s="13" t="str">
        <f>""</f>
        <v/>
      </c>
      <c r="K1713" s="13" t="str">
        <f>"PFES1162731634_0001"</f>
        <v>PFES1162731634_0001</v>
      </c>
      <c r="L1713" s="13">
        <v>1</v>
      </c>
      <c r="M1713" s="13">
        <v>1</v>
      </c>
      <c r="N1713" s="15"/>
    </row>
    <row r="1714" spans="1:14">
      <c r="A1714" s="6">
        <v>43847</v>
      </c>
      <c r="B1714" s="7">
        <v>0.51874999999999993</v>
      </c>
      <c r="C1714" s="13" t="str">
        <f>"FES1162731639"</f>
        <v>FES1162731639</v>
      </c>
      <c r="D1714" s="13" t="s">
        <v>19</v>
      </c>
      <c r="E1714" s="13" t="s">
        <v>35</v>
      </c>
      <c r="F1714" s="13" t="str">
        <f>"2170724118 "</f>
        <v xml:space="preserve">2170724118 </v>
      </c>
      <c r="G1714" s="13" t="str">
        <f t="shared" si="51"/>
        <v>ON1</v>
      </c>
      <c r="H1714" s="13" t="s">
        <v>21</v>
      </c>
      <c r="I1714" s="13" t="s">
        <v>36</v>
      </c>
      <c r="J1714" s="13" t="str">
        <f>""</f>
        <v/>
      </c>
      <c r="K1714" s="13" t="str">
        <f>"PFES1162731639_0001"</f>
        <v>PFES1162731639_0001</v>
      </c>
      <c r="L1714" s="13">
        <v>1</v>
      </c>
      <c r="M1714" s="13">
        <v>1</v>
      </c>
      <c r="N1714" s="15"/>
    </row>
    <row r="1715" spans="1:14">
      <c r="A1715" s="6">
        <v>43847</v>
      </c>
      <c r="B1715" s="7">
        <v>0.5180555555555556</v>
      </c>
      <c r="C1715" s="13" t="str">
        <f>"FES1162731632"</f>
        <v>FES1162731632</v>
      </c>
      <c r="D1715" s="13" t="s">
        <v>19</v>
      </c>
      <c r="E1715" s="13" t="s">
        <v>289</v>
      </c>
      <c r="F1715" s="13" t="str">
        <f>"2170722672 "</f>
        <v xml:space="preserve">2170722672 </v>
      </c>
      <c r="G1715" s="13" t="str">
        <f t="shared" si="51"/>
        <v>ON1</v>
      </c>
      <c r="H1715" s="13" t="s">
        <v>21</v>
      </c>
      <c r="I1715" s="13" t="s">
        <v>233</v>
      </c>
      <c r="J1715" s="13" t="str">
        <f>""</f>
        <v/>
      </c>
      <c r="K1715" s="13" t="str">
        <f>"PFES1162731632_0001"</f>
        <v>PFES1162731632_0001</v>
      </c>
      <c r="L1715" s="13">
        <v>1</v>
      </c>
      <c r="M1715" s="13">
        <v>1</v>
      </c>
      <c r="N1715" s="15"/>
    </row>
    <row r="1716" spans="1:14">
      <c r="A1716" s="6">
        <v>43847</v>
      </c>
      <c r="B1716" s="7">
        <v>0.51736111111111105</v>
      </c>
      <c r="C1716" s="13" t="str">
        <f>"FES1162731637"</f>
        <v>FES1162731637</v>
      </c>
      <c r="D1716" s="13" t="s">
        <v>19</v>
      </c>
      <c r="E1716" s="13" t="s">
        <v>232</v>
      </c>
      <c r="F1716" s="13" t="str">
        <f>"2170723811 "</f>
        <v xml:space="preserve">2170723811 </v>
      </c>
      <c r="G1716" s="13" t="str">
        <f t="shared" si="51"/>
        <v>ON1</v>
      </c>
      <c r="H1716" s="13" t="s">
        <v>21</v>
      </c>
      <c r="I1716" s="13" t="s">
        <v>233</v>
      </c>
      <c r="J1716" s="13" t="str">
        <f>""</f>
        <v/>
      </c>
      <c r="K1716" s="13" t="str">
        <f>"PFES1162731637_0001"</f>
        <v>PFES1162731637_0001</v>
      </c>
      <c r="L1716" s="13">
        <v>1</v>
      </c>
      <c r="M1716" s="13">
        <v>1</v>
      </c>
      <c r="N1716" s="15"/>
    </row>
    <row r="1717" spans="1:14">
      <c r="A1717" s="6">
        <v>43847</v>
      </c>
      <c r="B1717" s="7">
        <v>0.51527777777777783</v>
      </c>
      <c r="C1717" s="13" t="str">
        <f>"FES1162731579"</f>
        <v>FES1162731579</v>
      </c>
      <c r="D1717" s="13" t="s">
        <v>19</v>
      </c>
      <c r="E1717" s="13" t="s">
        <v>378</v>
      </c>
      <c r="F1717" s="13" t="str">
        <f>"2170721296 "</f>
        <v xml:space="preserve">2170721296 </v>
      </c>
      <c r="G1717" s="13" t="str">
        <f t="shared" si="51"/>
        <v>ON1</v>
      </c>
      <c r="H1717" s="13" t="s">
        <v>21</v>
      </c>
      <c r="I1717" s="13" t="s">
        <v>379</v>
      </c>
      <c r="J1717" s="13" t="str">
        <f>""</f>
        <v/>
      </c>
      <c r="K1717" s="13" t="str">
        <f>"PFES1162731579_0001"</f>
        <v>PFES1162731579_0001</v>
      </c>
      <c r="L1717" s="13">
        <v>1</v>
      </c>
      <c r="M1717" s="13">
        <v>1</v>
      </c>
      <c r="N1717" s="15"/>
    </row>
    <row r="1718" spans="1:14">
      <c r="A1718" s="6">
        <v>43847</v>
      </c>
      <c r="B1718" s="7">
        <v>0.5131944444444444</v>
      </c>
      <c r="C1718" s="13" t="str">
        <f>"FES1162731675"</f>
        <v>FES1162731675</v>
      </c>
      <c r="D1718" s="13" t="s">
        <v>19</v>
      </c>
      <c r="E1718" s="13" t="s">
        <v>273</v>
      </c>
      <c r="F1718" s="13" t="str">
        <f>"2170724299 "</f>
        <v xml:space="preserve">2170724299 </v>
      </c>
      <c r="G1718" s="13" t="str">
        <f t="shared" si="51"/>
        <v>ON1</v>
      </c>
      <c r="H1718" s="13" t="s">
        <v>21</v>
      </c>
      <c r="I1718" s="13" t="s">
        <v>274</v>
      </c>
      <c r="J1718" s="13" t="str">
        <f>""</f>
        <v/>
      </c>
      <c r="K1718" s="13" t="str">
        <f>"PFES1162731675_0001"</f>
        <v>PFES1162731675_0001</v>
      </c>
      <c r="L1718" s="13">
        <v>1</v>
      </c>
      <c r="M1718" s="13">
        <v>1</v>
      </c>
      <c r="N1718" s="15"/>
    </row>
    <row r="1719" spans="1:14">
      <c r="A1719" s="6">
        <v>43847</v>
      </c>
      <c r="B1719" s="7">
        <v>0.51250000000000007</v>
      </c>
      <c r="C1719" s="13" t="str">
        <f>"FES1162731668"</f>
        <v>FES1162731668</v>
      </c>
      <c r="D1719" s="13" t="s">
        <v>19</v>
      </c>
      <c r="E1719" s="13" t="s">
        <v>261</v>
      </c>
      <c r="F1719" s="13" t="str">
        <f>"2170724293 "</f>
        <v xml:space="preserve">2170724293 </v>
      </c>
      <c r="G1719" s="13" t="str">
        <f t="shared" si="51"/>
        <v>ON1</v>
      </c>
      <c r="H1719" s="13" t="s">
        <v>21</v>
      </c>
      <c r="I1719" s="13" t="s">
        <v>152</v>
      </c>
      <c r="J1719" s="13" t="str">
        <f>""</f>
        <v/>
      </c>
      <c r="K1719" s="13" t="str">
        <f>"PFES1162731668_0001"</f>
        <v>PFES1162731668_0001</v>
      </c>
      <c r="L1719" s="13">
        <v>1</v>
      </c>
      <c r="M1719" s="13">
        <v>1</v>
      </c>
      <c r="N1719" s="15"/>
    </row>
    <row r="1720" spans="1:14">
      <c r="A1720" s="6">
        <v>43847</v>
      </c>
      <c r="B1720" s="7">
        <v>0.51041666666666663</v>
      </c>
      <c r="C1720" s="13" t="str">
        <f>"FES1162731666"</f>
        <v>FES1162731666</v>
      </c>
      <c r="D1720" s="13" t="s">
        <v>19</v>
      </c>
      <c r="E1720" s="13" t="s">
        <v>714</v>
      </c>
      <c r="F1720" s="13" t="str">
        <f>"2170724290 "</f>
        <v xml:space="preserve">2170724290 </v>
      </c>
      <c r="G1720" s="13" t="str">
        <f t="shared" si="51"/>
        <v>ON1</v>
      </c>
      <c r="H1720" s="13" t="s">
        <v>21</v>
      </c>
      <c r="I1720" s="13" t="s">
        <v>202</v>
      </c>
      <c r="J1720" s="13" t="str">
        <f>""</f>
        <v/>
      </c>
      <c r="K1720" s="13" t="str">
        <f>"PFES1162731666_0001"</f>
        <v>PFES1162731666_0001</v>
      </c>
      <c r="L1720" s="13">
        <v>1</v>
      </c>
      <c r="M1720" s="13">
        <v>1</v>
      </c>
      <c r="N1720" s="15"/>
    </row>
    <row r="1721" spans="1:14">
      <c r="A1721" s="6">
        <v>43847</v>
      </c>
      <c r="B1721" s="7">
        <v>0.50972222222222219</v>
      </c>
      <c r="C1721" s="13" t="str">
        <f>"FES1162731645"</f>
        <v>FES1162731645</v>
      </c>
      <c r="D1721" s="13" t="s">
        <v>19</v>
      </c>
      <c r="E1721" s="13" t="s">
        <v>732</v>
      </c>
      <c r="F1721" s="13" t="str">
        <f>"2170724271 "</f>
        <v xml:space="preserve">2170724271 </v>
      </c>
      <c r="G1721" s="13" t="str">
        <f t="shared" si="51"/>
        <v>ON1</v>
      </c>
      <c r="H1721" s="13" t="s">
        <v>21</v>
      </c>
      <c r="I1721" s="13" t="s">
        <v>389</v>
      </c>
      <c r="J1721" s="13" t="str">
        <f>""</f>
        <v/>
      </c>
      <c r="K1721" s="13" t="str">
        <f>"PFES1162731645_0001"</f>
        <v>PFES1162731645_0001</v>
      </c>
      <c r="L1721" s="13">
        <v>1</v>
      </c>
      <c r="M1721" s="13">
        <v>1</v>
      </c>
      <c r="N1721" s="15"/>
    </row>
    <row r="1722" spans="1:14">
      <c r="A1722" s="6">
        <v>43847</v>
      </c>
      <c r="B1722" s="7">
        <v>0.50763888888888886</v>
      </c>
      <c r="C1722" s="13" t="str">
        <f>"FES1162731680"</f>
        <v>FES1162731680</v>
      </c>
      <c r="D1722" s="13" t="s">
        <v>19</v>
      </c>
      <c r="E1722" s="13" t="s">
        <v>627</v>
      </c>
      <c r="F1722" s="13" t="str">
        <f>"2170724313 "</f>
        <v xml:space="preserve">2170724313 </v>
      </c>
      <c r="G1722" s="13" t="str">
        <f t="shared" si="51"/>
        <v>ON1</v>
      </c>
      <c r="H1722" s="13" t="s">
        <v>21</v>
      </c>
      <c r="I1722" s="13" t="s">
        <v>628</v>
      </c>
      <c r="J1722" s="13" t="str">
        <f>""</f>
        <v/>
      </c>
      <c r="K1722" s="13" t="str">
        <f>"PFES1162731680_0001"</f>
        <v>PFES1162731680_0001</v>
      </c>
      <c r="L1722" s="13">
        <v>1</v>
      </c>
      <c r="M1722" s="13">
        <v>1</v>
      </c>
      <c r="N1722" s="15"/>
    </row>
    <row r="1723" spans="1:14">
      <c r="A1723" s="6">
        <v>43847</v>
      </c>
      <c r="B1723" s="7">
        <v>0.50624999999999998</v>
      </c>
      <c r="C1723" s="13" t="str">
        <f>"FES1162731640"</f>
        <v>FES1162731640</v>
      </c>
      <c r="D1723" s="13" t="s">
        <v>19</v>
      </c>
      <c r="E1723" s="13" t="s">
        <v>126</v>
      </c>
      <c r="F1723" s="13" t="str">
        <f>"2170724210 "</f>
        <v xml:space="preserve">2170724210 </v>
      </c>
      <c r="G1723" s="13" t="str">
        <f t="shared" si="51"/>
        <v>ON1</v>
      </c>
      <c r="H1723" s="13" t="s">
        <v>21</v>
      </c>
      <c r="I1723" s="13" t="s">
        <v>127</v>
      </c>
      <c r="J1723" s="13" t="str">
        <f>""</f>
        <v/>
      </c>
      <c r="K1723" s="13" t="str">
        <f>"PFES1162731640_0001"</f>
        <v>PFES1162731640_0001</v>
      </c>
      <c r="L1723" s="13">
        <v>1</v>
      </c>
      <c r="M1723" s="13">
        <v>1</v>
      </c>
      <c r="N1723" s="15"/>
    </row>
    <row r="1724" spans="1:14">
      <c r="A1724" s="6">
        <v>43847</v>
      </c>
      <c r="B1724" s="7">
        <v>0.50624999999999998</v>
      </c>
      <c r="C1724" s="13" t="str">
        <f>"FES1162731682"</f>
        <v>FES1162731682</v>
      </c>
      <c r="D1724" s="13" t="s">
        <v>19</v>
      </c>
      <c r="E1724" s="13" t="s">
        <v>810</v>
      </c>
      <c r="F1724" s="13" t="str">
        <f>"2170724317 "</f>
        <v xml:space="preserve">2170724317 </v>
      </c>
      <c r="G1724" s="13" t="str">
        <f t="shared" si="51"/>
        <v>ON1</v>
      </c>
      <c r="H1724" s="13" t="s">
        <v>21</v>
      </c>
      <c r="I1724" s="13" t="s">
        <v>209</v>
      </c>
      <c r="J1724" s="13" t="str">
        <f>""</f>
        <v/>
      </c>
      <c r="K1724" s="13" t="str">
        <f>"PFES1162731682_0001"</f>
        <v>PFES1162731682_0001</v>
      </c>
      <c r="L1724" s="13">
        <v>1</v>
      </c>
      <c r="M1724" s="13">
        <v>1</v>
      </c>
      <c r="N1724" s="15"/>
    </row>
    <row r="1725" spans="1:14">
      <c r="A1725" s="6">
        <v>43847</v>
      </c>
      <c r="B1725" s="7">
        <v>0.50486111111111109</v>
      </c>
      <c r="C1725" s="13" t="str">
        <f>"FES1162731696"</f>
        <v>FES1162731696</v>
      </c>
      <c r="D1725" s="13" t="s">
        <v>19</v>
      </c>
      <c r="E1725" s="13" t="s">
        <v>142</v>
      </c>
      <c r="F1725" s="13" t="str">
        <f>"2170724329 "</f>
        <v xml:space="preserve">2170724329 </v>
      </c>
      <c r="G1725" s="13" t="str">
        <f t="shared" si="51"/>
        <v>ON1</v>
      </c>
      <c r="H1725" s="13" t="s">
        <v>21</v>
      </c>
      <c r="I1725" s="13" t="s">
        <v>123</v>
      </c>
      <c r="J1725" s="13" t="str">
        <f>""</f>
        <v/>
      </c>
      <c r="K1725" s="13" t="str">
        <f>"PFES1162731696_0001"</f>
        <v>PFES1162731696_0001</v>
      </c>
      <c r="L1725" s="13">
        <v>1</v>
      </c>
      <c r="M1725" s="13">
        <v>1</v>
      </c>
      <c r="N1725" s="15"/>
    </row>
    <row r="1726" spans="1:14">
      <c r="A1726" s="6">
        <v>43847</v>
      </c>
      <c r="B1726" s="7">
        <v>0.50277777777777777</v>
      </c>
      <c r="C1726" s="13" t="str">
        <f>"FES1162731704"</f>
        <v>FES1162731704</v>
      </c>
      <c r="D1726" s="13" t="s">
        <v>19</v>
      </c>
      <c r="E1726" s="13" t="s">
        <v>700</v>
      </c>
      <c r="F1726" s="13" t="str">
        <f>"2170724340 "</f>
        <v xml:space="preserve">2170724340 </v>
      </c>
      <c r="G1726" s="13" t="str">
        <f t="shared" si="51"/>
        <v>ON1</v>
      </c>
      <c r="H1726" s="13" t="s">
        <v>21</v>
      </c>
      <c r="I1726" s="13" t="s">
        <v>31</v>
      </c>
      <c r="J1726" s="13" t="str">
        <f>""</f>
        <v/>
      </c>
      <c r="K1726" s="13" t="str">
        <f>"PFES1162731704_0001"</f>
        <v>PFES1162731704_0001</v>
      </c>
      <c r="L1726" s="13">
        <v>1</v>
      </c>
      <c r="M1726" s="13">
        <v>1</v>
      </c>
      <c r="N1726" s="15"/>
    </row>
    <row r="1727" spans="1:14">
      <c r="A1727" s="6">
        <v>43847</v>
      </c>
      <c r="B1727" s="7">
        <v>0.50208333333333333</v>
      </c>
      <c r="C1727" s="13" t="str">
        <f>"FES1162731700"</f>
        <v>FES1162731700</v>
      </c>
      <c r="D1727" s="13" t="s">
        <v>19</v>
      </c>
      <c r="E1727" s="13" t="s">
        <v>120</v>
      </c>
      <c r="F1727" s="13" t="str">
        <f>"2170724334 "</f>
        <v xml:space="preserve">2170724334 </v>
      </c>
      <c r="G1727" s="13" t="str">
        <f t="shared" si="51"/>
        <v>ON1</v>
      </c>
      <c r="H1727" s="13" t="s">
        <v>21</v>
      </c>
      <c r="I1727" s="13" t="s">
        <v>121</v>
      </c>
      <c r="J1727" s="13" t="str">
        <f>""</f>
        <v/>
      </c>
      <c r="K1727" s="13" t="str">
        <f>"PFES1162731700_0001"</f>
        <v>PFES1162731700_0001</v>
      </c>
      <c r="L1727" s="13">
        <v>1</v>
      </c>
      <c r="M1727" s="13">
        <v>1</v>
      </c>
      <c r="N1727" s="15"/>
    </row>
    <row r="1728" spans="1:14">
      <c r="A1728" s="6">
        <v>43850</v>
      </c>
      <c r="B1728" s="7">
        <v>0.68611111111111101</v>
      </c>
      <c r="C1728" s="14" t="str">
        <f>"FES1162731968"</f>
        <v>FES1162731968</v>
      </c>
      <c r="D1728" s="14" t="s">
        <v>19</v>
      </c>
      <c r="E1728" s="14" t="s">
        <v>199</v>
      </c>
      <c r="F1728" s="14" t="str">
        <f>"2170731968 "</f>
        <v xml:space="preserve">2170731968 </v>
      </c>
      <c r="G1728" s="14" t="str">
        <f t="shared" si="51"/>
        <v>ON1</v>
      </c>
      <c r="H1728" s="14" t="s">
        <v>21</v>
      </c>
      <c r="I1728" s="14" t="s">
        <v>200</v>
      </c>
      <c r="J1728" s="14" t="str">
        <f>""</f>
        <v/>
      </c>
      <c r="K1728" s="14" t="str">
        <f>"PFES1162731968_0001"</f>
        <v>PFES1162731968_0001</v>
      </c>
      <c r="L1728" s="14">
        <v>1</v>
      </c>
      <c r="M1728" s="14">
        <v>0</v>
      </c>
      <c r="N1728" s="15"/>
    </row>
    <row r="1729" spans="1:14">
      <c r="A1729" s="6">
        <v>43850</v>
      </c>
      <c r="B1729" s="7">
        <v>0.68472222222222223</v>
      </c>
      <c r="C1729" s="14" t="str">
        <f>"FES11627322012"</f>
        <v>FES11627322012</v>
      </c>
      <c r="D1729" s="14" t="s">
        <v>19</v>
      </c>
      <c r="E1729" s="14" t="s">
        <v>415</v>
      </c>
      <c r="F1729" s="14" t="str">
        <f>"2170724638 "</f>
        <v xml:space="preserve">2170724638 </v>
      </c>
      <c r="G1729" s="14" t="str">
        <f t="shared" si="51"/>
        <v>ON1</v>
      </c>
      <c r="H1729" s="14" t="s">
        <v>21</v>
      </c>
      <c r="I1729" s="14" t="s">
        <v>416</v>
      </c>
      <c r="J1729" s="14" t="str">
        <f>""</f>
        <v/>
      </c>
      <c r="K1729" s="14" t="str">
        <f>"PFES11627322012_0001"</f>
        <v>PFES11627322012_0001</v>
      </c>
      <c r="L1729" s="14">
        <v>1</v>
      </c>
      <c r="M1729" s="14">
        <v>1</v>
      </c>
      <c r="N1729" s="15"/>
    </row>
    <row r="1730" spans="1:14">
      <c r="A1730" s="6">
        <v>43850</v>
      </c>
      <c r="B1730" s="7">
        <v>0.68402777777777779</v>
      </c>
      <c r="C1730" s="14" t="str">
        <f>"FES1162732012"</f>
        <v>FES1162732012</v>
      </c>
      <c r="D1730" s="14" t="s">
        <v>19</v>
      </c>
      <c r="E1730" s="14" t="s">
        <v>611</v>
      </c>
      <c r="F1730" s="14" t="str">
        <f>"2170724635 "</f>
        <v xml:space="preserve">2170724635 </v>
      </c>
      <c r="G1730" s="14" t="str">
        <f t="shared" si="51"/>
        <v>ON1</v>
      </c>
      <c r="H1730" s="14" t="s">
        <v>21</v>
      </c>
      <c r="I1730" s="14" t="s">
        <v>36</v>
      </c>
      <c r="J1730" s="14" t="str">
        <f>""</f>
        <v/>
      </c>
      <c r="K1730" s="14" t="str">
        <f>"PFES1162732012_0001"</f>
        <v>PFES1162732012_0001</v>
      </c>
      <c r="L1730" s="14">
        <v>1</v>
      </c>
      <c r="M1730" s="14">
        <v>1</v>
      </c>
      <c r="N1730" s="15"/>
    </row>
    <row r="1731" spans="1:14">
      <c r="A1731" s="6">
        <v>43850</v>
      </c>
      <c r="B1731" s="7">
        <v>0.6791666666666667</v>
      </c>
      <c r="C1731" s="14" t="str">
        <f>"FES1162731987"</f>
        <v>FES1162731987</v>
      </c>
      <c r="D1731" s="14" t="s">
        <v>19</v>
      </c>
      <c r="E1731" s="14" t="s">
        <v>470</v>
      </c>
      <c r="F1731" s="14" t="str">
        <f>"2170719954 "</f>
        <v xml:space="preserve">2170719954 </v>
      </c>
      <c r="G1731" s="14" t="str">
        <f t="shared" si="51"/>
        <v>ON1</v>
      </c>
      <c r="H1731" s="14" t="s">
        <v>21</v>
      </c>
      <c r="I1731" s="14" t="s">
        <v>471</v>
      </c>
      <c r="J1731" s="14" t="str">
        <f>""</f>
        <v/>
      </c>
      <c r="K1731" s="14" t="str">
        <f>"PFES1162731987_0001"</f>
        <v>PFES1162731987_0001</v>
      </c>
      <c r="L1731" s="14">
        <v>1</v>
      </c>
      <c r="M1731" s="14">
        <v>1</v>
      </c>
      <c r="N1731" s="15"/>
    </row>
    <row r="1732" spans="1:14">
      <c r="A1732" s="6">
        <v>43850</v>
      </c>
      <c r="B1732" s="7">
        <v>0.6791666666666667</v>
      </c>
      <c r="C1732" s="14" t="str">
        <f>"FES1162732000"</f>
        <v>FES1162732000</v>
      </c>
      <c r="D1732" s="14" t="s">
        <v>19</v>
      </c>
      <c r="E1732" s="14" t="s">
        <v>811</v>
      </c>
      <c r="F1732" s="14" t="str">
        <f>"21707243073 "</f>
        <v xml:space="preserve">21707243073 </v>
      </c>
      <c r="G1732" s="14" t="str">
        <f t="shared" si="51"/>
        <v>ON1</v>
      </c>
      <c r="H1732" s="14" t="s">
        <v>21</v>
      </c>
      <c r="I1732" s="14" t="s">
        <v>78</v>
      </c>
      <c r="J1732" s="14" t="str">
        <f>""</f>
        <v/>
      </c>
      <c r="K1732" s="14" t="str">
        <f>"PFES1162732000_0001"</f>
        <v>PFES1162732000_0001</v>
      </c>
      <c r="L1732" s="14">
        <v>1</v>
      </c>
      <c r="M1732" s="14">
        <v>3</v>
      </c>
    </row>
    <row r="1733" spans="1:14">
      <c r="A1733" s="6">
        <v>43850</v>
      </c>
      <c r="B1733" s="7">
        <v>0.6791666666666667</v>
      </c>
      <c r="C1733" s="14" t="str">
        <f>"FES1162732004"</f>
        <v>FES1162732004</v>
      </c>
      <c r="D1733" s="14" t="s">
        <v>19</v>
      </c>
      <c r="E1733" s="14" t="s">
        <v>95</v>
      </c>
      <c r="F1733" s="14" t="str">
        <f>"2170724633 "</f>
        <v xml:space="preserve">2170724633 </v>
      </c>
      <c r="G1733" s="14" t="str">
        <f t="shared" si="51"/>
        <v>ON1</v>
      </c>
      <c r="H1733" s="14" t="s">
        <v>21</v>
      </c>
      <c r="I1733" s="14" t="s">
        <v>96</v>
      </c>
      <c r="J1733" s="14" t="str">
        <f>""</f>
        <v/>
      </c>
      <c r="K1733" s="14" t="str">
        <f>"PFES1162732004_0001"</f>
        <v>PFES1162732004_0001</v>
      </c>
      <c r="L1733" s="14">
        <v>1</v>
      </c>
      <c r="M1733" s="14">
        <v>1</v>
      </c>
    </row>
    <row r="1734" spans="1:14">
      <c r="A1734" s="6">
        <v>43850</v>
      </c>
      <c r="B1734" s="7">
        <v>0.67847222222222225</v>
      </c>
      <c r="C1734" s="14" t="str">
        <f>"FES1162731970"</f>
        <v>FES1162731970</v>
      </c>
      <c r="D1734" s="14" t="s">
        <v>19</v>
      </c>
      <c r="E1734" s="14" t="s">
        <v>764</v>
      </c>
      <c r="F1734" s="14" t="str">
        <f>"2170724266 "</f>
        <v xml:space="preserve">2170724266 </v>
      </c>
      <c r="G1734" s="14" t="str">
        <f t="shared" ref="G1734:G1767" si="52">"ON1"</f>
        <v>ON1</v>
      </c>
      <c r="H1734" s="14" t="s">
        <v>21</v>
      </c>
      <c r="I1734" s="14" t="s">
        <v>348</v>
      </c>
      <c r="J1734" s="14" t="str">
        <f>""</f>
        <v/>
      </c>
      <c r="K1734" s="14" t="str">
        <f>"PFES1162731970_0001"</f>
        <v>PFES1162731970_0001</v>
      </c>
      <c r="L1734" s="14">
        <v>1</v>
      </c>
      <c r="M1734" s="14">
        <v>15</v>
      </c>
    </row>
    <row r="1735" spans="1:14">
      <c r="A1735" s="6">
        <v>43850</v>
      </c>
      <c r="B1735" s="7">
        <v>0.67847222222222225</v>
      </c>
      <c r="C1735" s="14" t="str">
        <f>"FES1162732002"</f>
        <v>FES1162732002</v>
      </c>
      <c r="D1735" s="14" t="s">
        <v>19</v>
      </c>
      <c r="E1735" s="14" t="s">
        <v>812</v>
      </c>
      <c r="F1735" s="14" t="str">
        <f>"2170724599 "</f>
        <v xml:space="preserve">2170724599 </v>
      </c>
      <c r="G1735" s="14" t="str">
        <f t="shared" si="52"/>
        <v>ON1</v>
      </c>
      <c r="H1735" s="14" t="s">
        <v>21</v>
      </c>
      <c r="I1735" s="14" t="s">
        <v>399</v>
      </c>
      <c r="J1735" s="14" t="str">
        <f>""</f>
        <v/>
      </c>
      <c r="K1735" s="14" t="str">
        <f>"PFES1162732002_0001"</f>
        <v>PFES1162732002_0001</v>
      </c>
      <c r="L1735" s="14">
        <v>1</v>
      </c>
      <c r="M1735" s="14">
        <v>1</v>
      </c>
    </row>
    <row r="1736" spans="1:14">
      <c r="A1736" s="6">
        <v>43850</v>
      </c>
      <c r="B1736" s="7">
        <v>0.67847222222222225</v>
      </c>
      <c r="C1736" s="14" t="str">
        <f>"FES1162731975"</f>
        <v>FES1162731975</v>
      </c>
      <c r="D1736" s="14" t="s">
        <v>19</v>
      </c>
      <c r="E1736" s="14" t="s">
        <v>813</v>
      </c>
      <c r="F1736" s="14" t="str">
        <f>"2170724597 "</f>
        <v xml:space="preserve">2170724597 </v>
      </c>
      <c r="G1736" s="14" t="str">
        <f t="shared" si="52"/>
        <v>ON1</v>
      </c>
      <c r="H1736" s="14" t="s">
        <v>21</v>
      </c>
      <c r="I1736" s="14" t="s">
        <v>148</v>
      </c>
      <c r="J1736" s="14" t="str">
        <f>""</f>
        <v/>
      </c>
      <c r="K1736" s="14" t="str">
        <f>"PFES1162731975_0001"</f>
        <v>PFES1162731975_0001</v>
      </c>
      <c r="L1736" s="14">
        <v>1</v>
      </c>
      <c r="M1736" s="14">
        <v>2</v>
      </c>
    </row>
    <row r="1737" spans="1:14">
      <c r="A1737" s="6">
        <v>43850</v>
      </c>
      <c r="B1737" s="7">
        <v>0.6777777777777777</v>
      </c>
      <c r="C1737" s="14" t="str">
        <f>"FES1162731999"</f>
        <v>FES1162731999</v>
      </c>
      <c r="D1737" s="14" t="s">
        <v>19</v>
      </c>
      <c r="E1737" s="14" t="s">
        <v>259</v>
      </c>
      <c r="F1737" s="14" t="str">
        <f>"2170724631 "</f>
        <v xml:space="preserve">2170724631 </v>
      </c>
      <c r="G1737" s="14" t="str">
        <f t="shared" si="52"/>
        <v>ON1</v>
      </c>
      <c r="H1737" s="14" t="s">
        <v>21</v>
      </c>
      <c r="I1737" s="14" t="s">
        <v>260</v>
      </c>
      <c r="J1737" s="14" t="str">
        <f>""</f>
        <v/>
      </c>
      <c r="K1737" s="14" t="str">
        <f>"PFES1162731999_0001"</f>
        <v>PFES1162731999_0001</v>
      </c>
      <c r="L1737" s="14">
        <v>1</v>
      </c>
      <c r="M1737" s="14">
        <v>4</v>
      </c>
    </row>
    <row r="1738" spans="1:14">
      <c r="A1738" s="6">
        <v>43850</v>
      </c>
      <c r="B1738" s="7">
        <v>0.6777777777777777</v>
      </c>
      <c r="C1738" s="14" t="str">
        <f>"FES1162731996"</f>
        <v>FES1162731996</v>
      </c>
      <c r="D1738" s="14" t="s">
        <v>19</v>
      </c>
      <c r="E1738" s="14" t="s">
        <v>794</v>
      </c>
      <c r="F1738" s="14" t="str">
        <f>"2170724627 "</f>
        <v xml:space="preserve">2170724627 </v>
      </c>
      <c r="G1738" s="14" t="str">
        <f t="shared" si="52"/>
        <v>ON1</v>
      </c>
      <c r="H1738" s="14" t="s">
        <v>21</v>
      </c>
      <c r="I1738" s="14" t="s">
        <v>795</v>
      </c>
      <c r="J1738" s="14" t="str">
        <f>""</f>
        <v/>
      </c>
      <c r="K1738" s="14" t="str">
        <f>"PFES1162731996_0001"</f>
        <v>PFES1162731996_0001</v>
      </c>
      <c r="L1738" s="14">
        <v>1</v>
      </c>
      <c r="M1738" s="14">
        <v>7</v>
      </c>
    </row>
    <row r="1739" spans="1:14">
      <c r="A1739" s="6">
        <v>43850</v>
      </c>
      <c r="B1739" s="7">
        <v>0.67638888888888893</v>
      </c>
      <c r="C1739" s="14" t="str">
        <f>"FES1162732005"</f>
        <v>FES1162732005</v>
      </c>
      <c r="D1739" s="14" t="s">
        <v>19</v>
      </c>
      <c r="E1739" s="14" t="s">
        <v>134</v>
      </c>
      <c r="F1739" s="14" t="str">
        <f>"2170724634 "</f>
        <v xml:space="preserve">2170724634 </v>
      </c>
      <c r="G1739" s="14" t="str">
        <f t="shared" si="52"/>
        <v>ON1</v>
      </c>
      <c r="H1739" s="14" t="s">
        <v>21</v>
      </c>
      <c r="I1739" s="14" t="s">
        <v>135</v>
      </c>
      <c r="J1739" s="14" t="str">
        <f>""</f>
        <v/>
      </c>
      <c r="K1739" s="14" t="str">
        <f>"PFES1162732005_0001"</f>
        <v>PFES1162732005_0001</v>
      </c>
      <c r="L1739" s="14">
        <v>1</v>
      </c>
      <c r="M1739" s="14">
        <v>1</v>
      </c>
    </row>
    <row r="1740" spans="1:14">
      <c r="A1740" s="6">
        <v>43850</v>
      </c>
      <c r="B1740" s="7">
        <v>0.67152777777777783</v>
      </c>
      <c r="C1740" s="14" t="str">
        <f>"FES1162731989"</f>
        <v>FES1162731989</v>
      </c>
      <c r="D1740" s="14" t="s">
        <v>19</v>
      </c>
      <c r="E1740" s="14" t="s">
        <v>59</v>
      </c>
      <c r="F1740" s="14" t="str">
        <f>"2170724596 "</f>
        <v xml:space="preserve">2170724596 </v>
      </c>
      <c r="G1740" s="14" t="str">
        <f t="shared" si="52"/>
        <v>ON1</v>
      </c>
      <c r="H1740" s="14" t="s">
        <v>21</v>
      </c>
      <c r="I1740" s="14" t="s">
        <v>60</v>
      </c>
      <c r="J1740" s="14" t="str">
        <f>""</f>
        <v/>
      </c>
      <c r="K1740" s="14" t="str">
        <f>"PFES1162731989_0001"</f>
        <v>PFES1162731989_0001</v>
      </c>
      <c r="L1740" s="14">
        <v>1</v>
      </c>
      <c r="M1740" s="14">
        <v>1</v>
      </c>
    </row>
    <row r="1741" spans="1:14">
      <c r="A1741" s="6">
        <v>43850</v>
      </c>
      <c r="B1741" s="7">
        <v>0.67083333333333339</v>
      </c>
      <c r="C1741" s="14" t="str">
        <f>"FES1162731990"</f>
        <v>FES1162731990</v>
      </c>
      <c r="D1741" s="14" t="s">
        <v>19</v>
      </c>
      <c r="E1741" s="14" t="s">
        <v>611</v>
      </c>
      <c r="F1741" s="14" t="str">
        <f>"2170724614 "</f>
        <v xml:space="preserve">2170724614 </v>
      </c>
      <c r="G1741" s="14" t="str">
        <f t="shared" si="52"/>
        <v>ON1</v>
      </c>
      <c r="H1741" s="14" t="s">
        <v>21</v>
      </c>
      <c r="I1741" s="14" t="s">
        <v>36</v>
      </c>
      <c r="J1741" s="14" t="str">
        <f>""</f>
        <v/>
      </c>
      <c r="K1741" s="14" t="str">
        <f>"PFES1162731990_0001"</f>
        <v>PFES1162731990_0001</v>
      </c>
      <c r="L1741" s="14">
        <v>1</v>
      </c>
      <c r="M1741" s="14">
        <v>1</v>
      </c>
    </row>
    <row r="1742" spans="1:14">
      <c r="A1742" s="6">
        <v>43850</v>
      </c>
      <c r="B1742" s="7">
        <v>0.66597222222222219</v>
      </c>
      <c r="C1742" s="14" t="str">
        <f>"FES1162731988"</f>
        <v>FES1162731988</v>
      </c>
      <c r="D1742" s="14" t="s">
        <v>19</v>
      </c>
      <c r="E1742" s="14" t="s">
        <v>696</v>
      </c>
      <c r="F1742" s="14" t="str">
        <f>"2170724579 "</f>
        <v xml:space="preserve">2170724579 </v>
      </c>
      <c r="G1742" s="14" t="str">
        <f t="shared" si="52"/>
        <v>ON1</v>
      </c>
      <c r="H1742" s="14" t="s">
        <v>21</v>
      </c>
      <c r="I1742" s="14" t="s">
        <v>323</v>
      </c>
      <c r="J1742" s="14" t="str">
        <f>""</f>
        <v/>
      </c>
      <c r="K1742" s="14" t="str">
        <f>"PFES1162731988_0001"</f>
        <v>PFES1162731988_0001</v>
      </c>
      <c r="L1742" s="14">
        <v>1</v>
      </c>
      <c r="M1742" s="14">
        <v>2</v>
      </c>
    </row>
    <row r="1743" spans="1:14">
      <c r="A1743" s="6">
        <v>43850</v>
      </c>
      <c r="B1743" s="7">
        <v>0.66597222222222219</v>
      </c>
      <c r="C1743" s="14" t="str">
        <f>"FES1162731972"</f>
        <v>FES1162731972</v>
      </c>
      <c r="D1743" s="14" t="s">
        <v>19</v>
      </c>
      <c r="E1743" s="14" t="s">
        <v>783</v>
      </c>
      <c r="F1743" s="14" t="str">
        <f>"2170724687 "</f>
        <v xml:space="preserve">2170724687 </v>
      </c>
      <c r="G1743" s="14" t="str">
        <f t="shared" si="52"/>
        <v>ON1</v>
      </c>
      <c r="H1743" s="14" t="s">
        <v>21</v>
      </c>
      <c r="I1743" s="14" t="s">
        <v>85</v>
      </c>
      <c r="J1743" s="14" t="str">
        <f>""</f>
        <v/>
      </c>
      <c r="K1743" s="14" t="str">
        <f>"PFES1162731972_0001"</f>
        <v>PFES1162731972_0001</v>
      </c>
      <c r="L1743" s="14">
        <v>1</v>
      </c>
      <c r="M1743" s="14">
        <v>5</v>
      </c>
    </row>
    <row r="1744" spans="1:14">
      <c r="A1744" s="6">
        <v>43850</v>
      </c>
      <c r="B1744" s="7">
        <v>0.66527777777777775</v>
      </c>
      <c r="C1744" s="14" t="str">
        <f>"FES1162731971"</f>
        <v>FES1162731971</v>
      </c>
      <c r="D1744" s="14" t="s">
        <v>19</v>
      </c>
      <c r="E1744" s="14" t="s">
        <v>783</v>
      </c>
      <c r="F1744" s="14" t="str">
        <f>"2170724385 "</f>
        <v xml:space="preserve">2170724385 </v>
      </c>
      <c r="G1744" s="14" t="str">
        <f t="shared" si="52"/>
        <v>ON1</v>
      </c>
      <c r="H1744" s="14" t="s">
        <v>21</v>
      </c>
      <c r="I1744" s="14" t="s">
        <v>85</v>
      </c>
      <c r="J1744" s="14" t="str">
        <f>""</f>
        <v/>
      </c>
      <c r="K1744" s="14" t="str">
        <f>"PFES1162731971_0001"</f>
        <v>PFES1162731971_0001</v>
      </c>
      <c r="L1744" s="14">
        <v>1</v>
      </c>
      <c r="M1744" s="14">
        <v>5</v>
      </c>
    </row>
    <row r="1745" spans="1:13">
      <c r="A1745" s="6">
        <v>43850</v>
      </c>
      <c r="B1745" s="7">
        <v>0.66527777777777775</v>
      </c>
      <c r="C1745" s="14" t="str">
        <f>"FES1162731986"</f>
        <v>FES1162731986</v>
      </c>
      <c r="D1745" s="14" t="s">
        <v>19</v>
      </c>
      <c r="E1745" s="14" t="s">
        <v>470</v>
      </c>
      <c r="F1745" s="14" t="str">
        <f>"2170719939 "</f>
        <v xml:space="preserve">2170719939 </v>
      </c>
      <c r="G1745" s="14" t="str">
        <f t="shared" si="52"/>
        <v>ON1</v>
      </c>
      <c r="H1745" s="14" t="s">
        <v>21</v>
      </c>
      <c r="I1745" s="14" t="s">
        <v>471</v>
      </c>
      <c r="J1745" s="14" t="str">
        <f>""</f>
        <v/>
      </c>
      <c r="K1745" s="14" t="str">
        <f>"PFES1162731986_0001"</f>
        <v>PFES1162731986_0001</v>
      </c>
      <c r="L1745" s="14">
        <v>1</v>
      </c>
      <c r="M1745" s="14">
        <v>1</v>
      </c>
    </row>
    <row r="1746" spans="1:13">
      <c r="A1746" s="6">
        <v>43850</v>
      </c>
      <c r="B1746" s="7">
        <v>0.6645833333333333</v>
      </c>
      <c r="C1746" s="14" t="str">
        <f>"FES1162731998"</f>
        <v>FES1162731998</v>
      </c>
      <c r="D1746" s="14" t="s">
        <v>19</v>
      </c>
      <c r="E1746" s="14" t="s">
        <v>472</v>
      </c>
      <c r="F1746" s="14" t="str">
        <f>"2170724629 "</f>
        <v xml:space="preserve">2170724629 </v>
      </c>
      <c r="G1746" s="14" t="str">
        <f t="shared" si="52"/>
        <v>ON1</v>
      </c>
      <c r="H1746" s="14" t="s">
        <v>21</v>
      </c>
      <c r="I1746" s="14" t="s">
        <v>85</v>
      </c>
      <c r="J1746" s="14" t="str">
        <f>""</f>
        <v/>
      </c>
      <c r="K1746" s="14" t="str">
        <f>"PFES1162731998_0001"</f>
        <v>PFES1162731998_0001</v>
      </c>
      <c r="L1746" s="14">
        <v>1</v>
      </c>
      <c r="M1746" s="14">
        <v>1</v>
      </c>
    </row>
    <row r="1747" spans="1:13">
      <c r="A1747" s="6">
        <v>43850</v>
      </c>
      <c r="B1747" s="7">
        <v>0.66319444444444442</v>
      </c>
      <c r="C1747" s="14" t="str">
        <f>"FES1162731985"</f>
        <v>FES1162731985</v>
      </c>
      <c r="D1747" s="14" t="s">
        <v>19</v>
      </c>
      <c r="E1747" s="14" t="s">
        <v>814</v>
      </c>
      <c r="F1747" s="14" t="str">
        <f>"2170719778 "</f>
        <v xml:space="preserve">2170719778 </v>
      </c>
      <c r="G1747" s="14" t="str">
        <f t="shared" si="52"/>
        <v>ON1</v>
      </c>
      <c r="H1747" s="14" t="s">
        <v>21</v>
      </c>
      <c r="I1747" s="14" t="s">
        <v>375</v>
      </c>
      <c r="J1747" s="14" t="str">
        <f>""</f>
        <v/>
      </c>
      <c r="K1747" s="14" t="str">
        <f>"PFES1162731985_0001"</f>
        <v>PFES1162731985_0001</v>
      </c>
      <c r="L1747" s="14">
        <v>1</v>
      </c>
      <c r="M1747" s="14">
        <v>1</v>
      </c>
    </row>
    <row r="1748" spans="1:13">
      <c r="A1748" s="6">
        <v>43850</v>
      </c>
      <c r="B1748" s="7">
        <v>0.66249999999999998</v>
      </c>
      <c r="C1748" s="14" t="str">
        <f>"FES1162731982"</f>
        <v>FES1162731982</v>
      </c>
      <c r="D1748" s="14" t="s">
        <v>19</v>
      </c>
      <c r="E1748" s="14" t="s">
        <v>101</v>
      </c>
      <c r="F1748" s="14" t="str">
        <f>"2170724611 "</f>
        <v xml:space="preserve">2170724611 </v>
      </c>
      <c r="G1748" s="14" t="str">
        <f t="shared" si="52"/>
        <v>ON1</v>
      </c>
      <c r="H1748" s="14" t="s">
        <v>21</v>
      </c>
      <c r="I1748" s="14" t="s">
        <v>102</v>
      </c>
      <c r="J1748" s="14" t="str">
        <f>""</f>
        <v/>
      </c>
      <c r="K1748" s="14" t="str">
        <f>"PFES1162731982_0001"</f>
        <v>PFES1162731982_0001</v>
      </c>
      <c r="L1748" s="14">
        <v>1</v>
      </c>
      <c r="M1748" s="14">
        <v>1</v>
      </c>
    </row>
    <row r="1749" spans="1:13">
      <c r="A1749" s="6">
        <v>43850</v>
      </c>
      <c r="B1749" s="7">
        <v>0.66180555555555554</v>
      </c>
      <c r="C1749" s="14" t="str">
        <f>"FES1162731997"</f>
        <v>FES1162731997</v>
      </c>
      <c r="D1749" s="14" t="s">
        <v>19</v>
      </c>
      <c r="E1749" s="14" t="s">
        <v>815</v>
      </c>
      <c r="F1749" s="14" t="str">
        <f>"2170724628 "</f>
        <v xml:space="preserve">2170724628 </v>
      </c>
      <c r="G1749" s="14" t="str">
        <f t="shared" si="52"/>
        <v>ON1</v>
      </c>
      <c r="H1749" s="14" t="s">
        <v>21</v>
      </c>
      <c r="I1749" s="14" t="s">
        <v>816</v>
      </c>
      <c r="J1749" s="14" t="str">
        <f>""</f>
        <v/>
      </c>
      <c r="K1749" s="14" t="str">
        <f>"PFES1162731997_0001"</f>
        <v>PFES1162731997_0001</v>
      </c>
      <c r="L1749" s="14">
        <v>1</v>
      </c>
      <c r="M1749" s="14">
        <v>1</v>
      </c>
    </row>
    <row r="1750" spans="1:13">
      <c r="A1750" s="6">
        <v>43850</v>
      </c>
      <c r="B1750" s="7">
        <v>0.66111111111111109</v>
      </c>
      <c r="C1750" s="14" t="str">
        <f>"FES1162731969"</f>
        <v>FES1162731969</v>
      </c>
      <c r="D1750" s="14" t="s">
        <v>19</v>
      </c>
      <c r="E1750" s="14" t="s">
        <v>147</v>
      </c>
      <c r="F1750" s="14" t="str">
        <f>"2170722502 "</f>
        <v xml:space="preserve">2170722502 </v>
      </c>
      <c r="G1750" s="14" t="str">
        <f t="shared" si="52"/>
        <v>ON1</v>
      </c>
      <c r="H1750" s="14" t="s">
        <v>21</v>
      </c>
      <c r="I1750" s="14" t="s">
        <v>148</v>
      </c>
      <c r="J1750" s="14" t="str">
        <f>""</f>
        <v/>
      </c>
      <c r="K1750" s="14" t="str">
        <f>"PFES1162731969_0001"</f>
        <v>PFES1162731969_0001</v>
      </c>
      <c r="L1750" s="14">
        <v>1</v>
      </c>
      <c r="M1750" s="14">
        <v>30</v>
      </c>
    </row>
    <row r="1751" spans="1:13">
      <c r="A1751" s="6">
        <v>43850</v>
      </c>
      <c r="B1751" s="7">
        <v>0.66111111111111109</v>
      </c>
      <c r="C1751" s="14" t="str">
        <f>"FES1162731927"</f>
        <v>FES1162731927</v>
      </c>
      <c r="D1751" s="14" t="s">
        <v>19</v>
      </c>
      <c r="E1751" s="14" t="s">
        <v>273</v>
      </c>
      <c r="F1751" s="14" t="str">
        <f>"2170722160 "</f>
        <v xml:space="preserve">2170722160 </v>
      </c>
      <c r="G1751" s="14" t="str">
        <f t="shared" si="52"/>
        <v>ON1</v>
      </c>
      <c r="H1751" s="14" t="s">
        <v>21</v>
      </c>
      <c r="I1751" s="14" t="s">
        <v>274</v>
      </c>
      <c r="J1751" s="14" t="str">
        <f>""</f>
        <v/>
      </c>
      <c r="K1751" s="14" t="str">
        <f>"PFES1162731927_0001"</f>
        <v>PFES1162731927_0001</v>
      </c>
      <c r="L1751" s="14">
        <v>1</v>
      </c>
      <c r="M1751" s="14">
        <v>1</v>
      </c>
    </row>
    <row r="1752" spans="1:13">
      <c r="A1752" s="6">
        <v>43850</v>
      </c>
      <c r="B1752" s="7">
        <v>0.66041666666666665</v>
      </c>
      <c r="C1752" s="14" t="str">
        <f>"FES1162731983"</f>
        <v>FES1162731983</v>
      </c>
      <c r="D1752" s="14" t="s">
        <v>19</v>
      </c>
      <c r="E1752" s="14" t="s">
        <v>343</v>
      </c>
      <c r="F1752" s="14" t="str">
        <f>"2170724612 "</f>
        <v xml:space="preserve">2170724612 </v>
      </c>
      <c r="G1752" s="14" t="str">
        <f t="shared" si="52"/>
        <v>ON1</v>
      </c>
      <c r="H1752" s="14" t="s">
        <v>21</v>
      </c>
      <c r="I1752" s="14" t="s">
        <v>344</v>
      </c>
      <c r="J1752" s="14" t="str">
        <f>""</f>
        <v/>
      </c>
      <c r="K1752" s="14" t="str">
        <f>"PFES1162731983_0001"</f>
        <v>PFES1162731983_0001</v>
      </c>
      <c r="L1752" s="14">
        <v>1</v>
      </c>
      <c r="M1752" s="14">
        <v>2</v>
      </c>
    </row>
    <row r="1753" spans="1:13">
      <c r="A1753" s="6">
        <v>43850</v>
      </c>
      <c r="B1753" s="7">
        <v>0.66041666666666665</v>
      </c>
      <c r="C1753" s="14" t="str">
        <f>"FES1162731815"</f>
        <v>FES1162731815</v>
      </c>
      <c r="D1753" s="14" t="s">
        <v>19</v>
      </c>
      <c r="E1753" s="14" t="s">
        <v>387</v>
      </c>
      <c r="F1753" s="14" t="str">
        <f>"2170724247 "</f>
        <v xml:space="preserve">2170724247 </v>
      </c>
      <c r="G1753" s="14" t="str">
        <f t="shared" si="52"/>
        <v>ON1</v>
      </c>
      <c r="H1753" s="14" t="s">
        <v>21</v>
      </c>
      <c r="I1753" s="14" t="s">
        <v>202</v>
      </c>
      <c r="J1753" s="14" t="str">
        <f>""</f>
        <v/>
      </c>
      <c r="K1753" s="14" t="str">
        <f>"PFES1162731815_0001"</f>
        <v>PFES1162731815_0001</v>
      </c>
      <c r="L1753" s="14">
        <v>1</v>
      </c>
      <c r="M1753" s="14">
        <v>5</v>
      </c>
    </row>
    <row r="1754" spans="1:13">
      <c r="A1754" s="6">
        <v>43850</v>
      </c>
      <c r="B1754" s="7">
        <v>0.66041666666666665</v>
      </c>
      <c r="C1754" s="14" t="str">
        <f>"FES1162731994"</f>
        <v>FES1162731994</v>
      </c>
      <c r="D1754" s="14" t="s">
        <v>19</v>
      </c>
      <c r="E1754" s="14" t="s">
        <v>626</v>
      </c>
      <c r="F1754" s="14" t="str">
        <f>"2170724623 "</f>
        <v xml:space="preserve">2170724623 </v>
      </c>
      <c r="G1754" s="14" t="str">
        <f t="shared" si="52"/>
        <v>ON1</v>
      </c>
      <c r="H1754" s="14" t="s">
        <v>21</v>
      </c>
      <c r="I1754" s="14" t="s">
        <v>139</v>
      </c>
      <c r="J1754" s="14" t="str">
        <f>""</f>
        <v/>
      </c>
      <c r="K1754" s="14" t="str">
        <f>"PFES1162731994_0001"</f>
        <v>PFES1162731994_0001</v>
      </c>
      <c r="L1754" s="14">
        <v>1</v>
      </c>
      <c r="M1754" s="14">
        <v>1</v>
      </c>
    </row>
    <row r="1755" spans="1:13">
      <c r="A1755" s="6">
        <v>43850</v>
      </c>
      <c r="B1755" s="7">
        <v>0.66041666666666665</v>
      </c>
      <c r="C1755" s="14" t="str">
        <f>"FES1162731984"</f>
        <v>FES1162731984</v>
      </c>
      <c r="D1755" s="14" t="s">
        <v>19</v>
      </c>
      <c r="E1755" s="14" t="s">
        <v>164</v>
      </c>
      <c r="F1755" s="14" t="str">
        <f>"2170724613 "</f>
        <v xml:space="preserve">2170724613 </v>
      </c>
      <c r="G1755" s="14" t="str">
        <f t="shared" si="52"/>
        <v>ON1</v>
      </c>
      <c r="H1755" s="14" t="s">
        <v>21</v>
      </c>
      <c r="I1755" s="14" t="s">
        <v>165</v>
      </c>
      <c r="J1755" s="14" t="str">
        <f>""</f>
        <v/>
      </c>
      <c r="K1755" s="14" t="str">
        <f>"PFES1162731984_0001"</f>
        <v>PFES1162731984_0001</v>
      </c>
      <c r="L1755" s="14">
        <v>1</v>
      </c>
      <c r="M1755" s="14">
        <v>2</v>
      </c>
    </row>
    <row r="1756" spans="1:13">
      <c r="A1756" s="6">
        <v>43850</v>
      </c>
      <c r="B1756" s="7">
        <v>0.65972222222222221</v>
      </c>
      <c r="C1756" s="14" t="str">
        <f>"FES1162731964"</f>
        <v>FES1162731964</v>
      </c>
      <c r="D1756" s="14" t="s">
        <v>19</v>
      </c>
      <c r="E1756" s="14" t="s">
        <v>593</v>
      </c>
      <c r="F1756" s="14" t="str">
        <f>"2170724588 "</f>
        <v xml:space="preserve">2170724588 </v>
      </c>
      <c r="G1756" s="14" t="str">
        <f t="shared" si="52"/>
        <v>ON1</v>
      </c>
      <c r="H1756" s="14" t="s">
        <v>21</v>
      </c>
      <c r="I1756" s="14" t="s">
        <v>179</v>
      </c>
      <c r="J1756" s="14" t="str">
        <f>""</f>
        <v/>
      </c>
      <c r="K1756" s="14" t="str">
        <f>"PFES1162731964_0001"</f>
        <v>PFES1162731964_0001</v>
      </c>
      <c r="L1756" s="14">
        <v>1</v>
      </c>
      <c r="M1756" s="14">
        <v>16</v>
      </c>
    </row>
    <row r="1757" spans="1:13">
      <c r="A1757" s="6">
        <v>43850</v>
      </c>
      <c r="B1757" s="7">
        <v>0.65972222222222221</v>
      </c>
      <c r="C1757" s="14" t="str">
        <f>"FES1162731992"</f>
        <v>FES1162731992</v>
      </c>
      <c r="D1757" s="14" t="s">
        <v>19</v>
      </c>
      <c r="E1757" s="14" t="s">
        <v>259</v>
      </c>
      <c r="F1757" s="14" t="str">
        <f>"2170724619 "</f>
        <v xml:space="preserve">2170724619 </v>
      </c>
      <c r="G1757" s="14" t="str">
        <f t="shared" si="52"/>
        <v>ON1</v>
      </c>
      <c r="H1757" s="14" t="s">
        <v>21</v>
      </c>
      <c r="I1757" s="14" t="s">
        <v>260</v>
      </c>
      <c r="J1757" s="14" t="str">
        <f>""</f>
        <v/>
      </c>
      <c r="K1757" s="14" t="str">
        <f>"PFES1162731992_0001"</f>
        <v>PFES1162731992_0001</v>
      </c>
      <c r="L1757" s="14">
        <v>1</v>
      </c>
      <c r="M1757" s="14">
        <v>1</v>
      </c>
    </row>
    <row r="1758" spans="1:13">
      <c r="A1758" s="6">
        <v>43850</v>
      </c>
      <c r="B1758" s="7">
        <v>0.65902777777777777</v>
      </c>
      <c r="C1758" s="14" t="str">
        <f>"FES1162731993"</f>
        <v>FES1162731993</v>
      </c>
      <c r="D1758" s="14" t="s">
        <v>19</v>
      </c>
      <c r="E1758" s="14" t="s">
        <v>259</v>
      </c>
      <c r="F1758" s="14" t="str">
        <f>"2170724620 "</f>
        <v xml:space="preserve">2170724620 </v>
      </c>
      <c r="G1758" s="14" t="str">
        <f t="shared" si="52"/>
        <v>ON1</v>
      </c>
      <c r="H1758" s="14" t="s">
        <v>21</v>
      </c>
      <c r="I1758" s="14" t="s">
        <v>260</v>
      </c>
      <c r="J1758" s="14" t="str">
        <f>""</f>
        <v/>
      </c>
      <c r="K1758" s="14" t="str">
        <f>"PFES1162731993_0001"</f>
        <v>PFES1162731993_0001</v>
      </c>
      <c r="L1758" s="14">
        <v>1</v>
      </c>
      <c r="M1758" s="14">
        <v>1</v>
      </c>
    </row>
    <row r="1759" spans="1:13">
      <c r="A1759" s="6">
        <v>43850</v>
      </c>
      <c r="B1759" s="7">
        <v>0.63680555555555551</v>
      </c>
      <c r="C1759" s="14" t="str">
        <f>"FES1162731967"</f>
        <v>FES1162731967</v>
      </c>
      <c r="D1759" s="14" t="s">
        <v>19</v>
      </c>
      <c r="E1759" s="14" t="s">
        <v>664</v>
      </c>
      <c r="F1759" s="14" t="str">
        <f>"2170724592 "</f>
        <v xml:space="preserve">2170724592 </v>
      </c>
      <c r="G1759" s="14" t="str">
        <f t="shared" si="52"/>
        <v>ON1</v>
      </c>
      <c r="H1759" s="14" t="s">
        <v>21</v>
      </c>
      <c r="I1759" s="14" t="s">
        <v>137</v>
      </c>
      <c r="J1759" s="14" t="str">
        <f>""</f>
        <v/>
      </c>
      <c r="K1759" s="14" t="str">
        <f>"PFES1162731967_0001"</f>
        <v>PFES1162731967_0001</v>
      </c>
      <c r="L1759" s="14">
        <v>1</v>
      </c>
      <c r="M1759" s="14">
        <v>6</v>
      </c>
    </row>
    <row r="1760" spans="1:13">
      <c r="A1760" s="6">
        <v>43850</v>
      </c>
      <c r="B1760" s="7">
        <v>0.63611111111111118</v>
      </c>
      <c r="C1760" s="14" t="str">
        <f>"FES1162731961"</f>
        <v>FES1162731961</v>
      </c>
      <c r="D1760" s="14" t="s">
        <v>19</v>
      </c>
      <c r="E1760" s="14" t="s">
        <v>817</v>
      </c>
      <c r="F1760" s="14" t="str">
        <f>"2170722087 "</f>
        <v xml:space="preserve">2170722087 </v>
      </c>
      <c r="G1760" s="14" t="str">
        <f t="shared" si="52"/>
        <v>ON1</v>
      </c>
      <c r="H1760" s="14" t="s">
        <v>21</v>
      </c>
      <c r="I1760" s="14" t="s">
        <v>818</v>
      </c>
      <c r="J1760" s="14" t="str">
        <f>""</f>
        <v/>
      </c>
      <c r="K1760" s="14" t="str">
        <f>"PFES1162731961_0001"</f>
        <v>PFES1162731961_0001</v>
      </c>
      <c r="L1760" s="14">
        <v>1</v>
      </c>
      <c r="M1760" s="14">
        <v>2</v>
      </c>
    </row>
    <row r="1761" spans="1:13">
      <c r="A1761" s="6">
        <v>43850</v>
      </c>
      <c r="B1761" s="7">
        <v>0.63611111111111118</v>
      </c>
      <c r="C1761" s="14" t="str">
        <f>"FES1162731956"</f>
        <v>FES1162731956</v>
      </c>
      <c r="D1761" s="14" t="s">
        <v>19</v>
      </c>
      <c r="E1761" s="14" t="s">
        <v>46</v>
      </c>
      <c r="F1761" s="14" t="str">
        <f>"2170724578 "</f>
        <v xml:space="preserve">2170724578 </v>
      </c>
      <c r="G1761" s="14" t="str">
        <f t="shared" si="52"/>
        <v>ON1</v>
      </c>
      <c r="H1761" s="14" t="s">
        <v>21</v>
      </c>
      <c r="I1761" s="14" t="s">
        <v>47</v>
      </c>
      <c r="J1761" s="14" t="str">
        <f>""</f>
        <v/>
      </c>
      <c r="K1761" s="14" t="str">
        <f>"PFES1162731956_0001"</f>
        <v>PFES1162731956_0001</v>
      </c>
      <c r="L1761" s="14">
        <v>1</v>
      </c>
      <c r="M1761" s="14">
        <v>1</v>
      </c>
    </row>
    <row r="1762" spans="1:13">
      <c r="A1762" s="6">
        <v>43850</v>
      </c>
      <c r="B1762" s="7">
        <v>0.63541666666666663</v>
      </c>
      <c r="C1762" s="14" t="str">
        <f>"FES1162731930"</f>
        <v>FES1162731930</v>
      </c>
      <c r="D1762" s="14" t="s">
        <v>19</v>
      </c>
      <c r="E1762" s="14" t="s">
        <v>365</v>
      </c>
      <c r="F1762" s="14" t="str">
        <f>"2170723561 "</f>
        <v xml:space="preserve">2170723561 </v>
      </c>
      <c r="G1762" s="14" t="str">
        <f t="shared" si="52"/>
        <v>ON1</v>
      </c>
      <c r="H1762" s="14" t="s">
        <v>21</v>
      </c>
      <c r="I1762" s="14" t="s">
        <v>366</v>
      </c>
      <c r="J1762" s="14" t="str">
        <f>""</f>
        <v/>
      </c>
      <c r="K1762" s="14" t="str">
        <f>"PFES1162731930_0001"</f>
        <v>PFES1162731930_0001</v>
      </c>
      <c r="L1762" s="14">
        <v>1</v>
      </c>
      <c r="M1762" s="14">
        <v>2</v>
      </c>
    </row>
    <row r="1763" spans="1:13">
      <c r="A1763" s="6">
        <v>43850</v>
      </c>
      <c r="B1763" s="7">
        <v>0.63541666666666663</v>
      </c>
      <c r="C1763" s="14" t="str">
        <f>"FES1162731962"</f>
        <v>FES1162731962</v>
      </c>
      <c r="D1763" s="14" t="s">
        <v>19</v>
      </c>
      <c r="E1763" s="14" t="s">
        <v>218</v>
      </c>
      <c r="F1763" s="14" t="str">
        <f>"2170724583 "</f>
        <v xml:space="preserve">2170724583 </v>
      </c>
      <c r="G1763" s="14" t="str">
        <f t="shared" si="52"/>
        <v>ON1</v>
      </c>
      <c r="H1763" s="14" t="s">
        <v>21</v>
      </c>
      <c r="I1763" s="14" t="s">
        <v>49</v>
      </c>
      <c r="J1763" s="14" t="str">
        <f>""</f>
        <v/>
      </c>
      <c r="K1763" s="14" t="str">
        <f>"PFES1162731962_0001"</f>
        <v>PFES1162731962_0001</v>
      </c>
      <c r="L1763" s="14">
        <v>1</v>
      </c>
      <c r="M1763" s="14">
        <v>1</v>
      </c>
    </row>
    <row r="1764" spans="1:13">
      <c r="A1764" s="6">
        <v>43850</v>
      </c>
      <c r="B1764" s="7">
        <v>0.63541666666666663</v>
      </c>
      <c r="C1764" s="14" t="str">
        <f>"FES1162731973"</f>
        <v>FES1162731973</v>
      </c>
      <c r="D1764" s="14" t="s">
        <v>19</v>
      </c>
      <c r="E1764" s="14" t="s">
        <v>242</v>
      </c>
      <c r="F1764" s="14" t="str">
        <f>"2170724594 "</f>
        <v xml:space="preserve">2170724594 </v>
      </c>
      <c r="G1764" s="14" t="str">
        <f t="shared" si="52"/>
        <v>ON1</v>
      </c>
      <c r="H1764" s="14" t="s">
        <v>21</v>
      </c>
      <c r="I1764" s="14" t="s">
        <v>85</v>
      </c>
      <c r="J1764" s="14" t="str">
        <f>""</f>
        <v/>
      </c>
      <c r="K1764" s="14" t="str">
        <f>"PFES1162731973_0001"</f>
        <v>PFES1162731973_0001</v>
      </c>
      <c r="L1764" s="14">
        <v>1</v>
      </c>
      <c r="M1764" s="14">
        <v>2</v>
      </c>
    </row>
    <row r="1765" spans="1:13">
      <c r="A1765" s="6">
        <v>43850</v>
      </c>
      <c r="B1765" s="7">
        <v>0.63472222222222219</v>
      </c>
      <c r="C1765" s="14" t="str">
        <f>"FES1162731977"</f>
        <v>FES1162731977</v>
      </c>
      <c r="D1765" s="14" t="s">
        <v>19</v>
      </c>
      <c r="E1765" s="14" t="s">
        <v>293</v>
      </c>
      <c r="F1765" s="14" t="str">
        <f>"2170724600 "</f>
        <v xml:space="preserve">2170724600 </v>
      </c>
      <c r="G1765" s="14" t="str">
        <f t="shared" si="52"/>
        <v>ON1</v>
      </c>
      <c r="H1765" s="14" t="s">
        <v>21</v>
      </c>
      <c r="I1765" s="14" t="s">
        <v>294</v>
      </c>
      <c r="J1765" s="14" t="str">
        <f>""</f>
        <v/>
      </c>
      <c r="K1765" s="14" t="str">
        <f>"PFES1162731977_0001"</f>
        <v>PFES1162731977_0001</v>
      </c>
      <c r="L1765" s="14">
        <v>1</v>
      </c>
      <c r="M1765" s="14">
        <v>3</v>
      </c>
    </row>
    <row r="1766" spans="1:13">
      <c r="A1766" s="6">
        <v>43850</v>
      </c>
      <c r="B1766" s="7">
        <v>0.63402777777777775</v>
      </c>
      <c r="C1766" s="14" t="str">
        <f>"FES1162731941"</f>
        <v>FES1162731941</v>
      </c>
      <c r="D1766" s="14" t="s">
        <v>19</v>
      </c>
      <c r="E1766" s="14" t="s">
        <v>665</v>
      </c>
      <c r="F1766" s="14" t="str">
        <f>"2170724564 "</f>
        <v xml:space="preserve">2170724564 </v>
      </c>
      <c r="G1766" s="14" t="str">
        <f t="shared" si="52"/>
        <v>ON1</v>
      </c>
      <c r="H1766" s="14" t="s">
        <v>21</v>
      </c>
      <c r="I1766" s="14" t="s">
        <v>499</v>
      </c>
      <c r="J1766" s="14" t="str">
        <f>""</f>
        <v/>
      </c>
      <c r="K1766" s="14" t="str">
        <f>"PFES1162731941_0001"</f>
        <v>PFES1162731941_0001</v>
      </c>
      <c r="L1766" s="14">
        <v>1</v>
      </c>
      <c r="M1766" s="14">
        <v>1</v>
      </c>
    </row>
    <row r="1767" spans="1:13">
      <c r="A1767" s="6">
        <v>43850</v>
      </c>
      <c r="B1767" s="7">
        <v>0.6333333333333333</v>
      </c>
      <c r="C1767" s="14" t="str">
        <f>"FES1162731976"</f>
        <v>FES1162731976</v>
      </c>
      <c r="D1767" s="14" t="s">
        <v>19</v>
      </c>
      <c r="E1767" s="14" t="s">
        <v>819</v>
      </c>
      <c r="F1767" s="14" t="str">
        <f>"2170724598 "</f>
        <v xml:space="preserve">2170724598 </v>
      </c>
      <c r="G1767" s="14" t="str">
        <f t="shared" si="52"/>
        <v>ON1</v>
      </c>
      <c r="H1767" s="14" t="s">
        <v>21</v>
      </c>
      <c r="I1767" s="14" t="s">
        <v>277</v>
      </c>
      <c r="J1767" s="14" t="str">
        <f>""</f>
        <v/>
      </c>
      <c r="K1767" s="14" t="str">
        <f>"PFES1162731976_0001"</f>
        <v>PFES1162731976_0001</v>
      </c>
      <c r="L1767" s="14">
        <v>1</v>
      </c>
      <c r="M1767" s="14">
        <v>1</v>
      </c>
    </row>
    <row r="1768" spans="1:13">
      <c r="A1768" s="6">
        <v>43850</v>
      </c>
      <c r="B1768" s="7">
        <v>0.61944444444444446</v>
      </c>
      <c r="C1768" s="14" t="str">
        <f>"FES1162731936"</f>
        <v>FES1162731936</v>
      </c>
      <c r="D1768" s="14" t="s">
        <v>19</v>
      </c>
      <c r="E1768" s="14" t="s">
        <v>611</v>
      </c>
      <c r="F1768" s="14" t="str">
        <f>"2170724558 "</f>
        <v xml:space="preserve">2170724558 </v>
      </c>
      <c r="G1768" s="14" t="str">
        <f>"DBC"</f>
        <v>DBC</v>
      </c>
      <c r="H1768" s="14" t="s">
        <v>21</v>
      </c>
      <c r="I1768" s="14" t="s">
        <v>36</v>
      </c>
      <c r="J1768" s="14" t="str">
        <f>"OIL"</f>
        <v>OIL</v>
      </c>
      <c r="K1768" s="14" t="str">
        <f>"PFES1162731936_0001"</f>
        <v>PFES1162731936_0001</v>
      </c>
      <c r="L1768" s="14">
        <v>2</v>
      </c>
      <c r="M1768" s="14">
        <v>5</v>
      </c>
    </row>
    <row r="1769" spans="1:13">
      <c r="A1769" s="6">
        <v>43496</v>
      </c>
      <c r="B1769" s="7">
        <v>0.63541666666666663</v>
      </c>
      <c r="C1769" s="14" t="str">
        <f>"FES1162731936"</f>
        <v>FES1162731936</v>
      </c>
      <c r="D1769" s="14" t="s">
        <v>19</v>
      </c>
      <c r="E1769" s="14" t="s">
        <v>820</v>
      </c>
      <c r="F1769" s="14" t="str">
        <f>"2170670523 "</f>
        <v xml:space="preserve">2170670523 </v>
      </c>
      <c r="G1769" s="14" t="str">
        <f t="shared" ref="G1769:G1832" si="53">"ON1"</f>
        <v>ON1</v>
      </c>
      <c r="H1769" s="14" t="s">
        <v>21</v>
      </c>
      <c r="I1769" s="14" t="s">
        <v>272</v>
      </c>
      <c r="J1769" s="14" t="str">
        <f>""</f>
        <v/>
      </c>
      <c r="K1769" s="14" t="str">
        <f>"PFES1162731936_0002"</f>
        <v>PFES1162731936_0002</v>
      </c>
      <c r="L1769" s="14">
        <v>1</v>
      </c>
      <c r="M1769" s="14">
        <v>4</v>
      </c>
    </row>
    <row r="1770" spans="1:13">
      <c r="A1770" s="6">
        <v>43850</v>
      </c>
      <c r="B1770" s="7">
        <v>0.61805555555555558</v>
      </c>
      <c r="C1770" s="14" t="str">
        <f>"FES1162731954"</f>
        <v>FES1162731954</v>
      </c>
      <c r="D1770" s="14" t="s">
        <v>19</v>
      </c>
      <c r="E1770" s="14" t="s">
        <v>293</v>
      </c>
      <c r="F1770" s="14" t="str">
        <f>"2170724576 "</f>
        <v xml:space="preserve">2170724576 </v>
      </c>
      <c r="G1770" s="14" t="str">
        <f t="shared" si="53"/>
        <v>ON1</v>
      </c>
      <c r="H1770" s="14" t="s">
        <v>21</v>
      </c>
      <c r="I1770" s="14" t="s">
        <v>294</v>
      </c>
      <c r="J1770" s="14" t="str">
        <f>""</f>
        <v/>
      </c>
      <c r="K1770" s="14" t="str">
        <f>"PFES1162731954_0001"</f>
        <v>PFES1162731954_0001</v>
      </c>
      <c r="L1770" s="14">
        <v>1</v>
      </c>
      <c r="M1770" s="14">
        <v>3</v>
      </c>
    </row>
    <row r="1771" spans="1:13">
      <c r="A1771" s="6">
        <v>43850</v>
      </c>
      <c r="B1771" s="7">
        <v>0.61805555555555558</v>
      </c>
      <c r="C1771" s="14" t="str">
        <f>"FES1162731943"</f>
        <v>FES1162731943</v>
      </c>
      <c r="D1771" s="14" t="s">
        <v>19</v>
      </c>
      <c r="E1771" s="14" t="s">
        <v>46</v>
      </c>
      <c r="F1771" s="14" t="str">
        <f>"21707245656 "</f>
        <v xml:space="preserve">21707245656 </v>
      </c>
      <c r="G1771" s="14" t="str">
        <f t="shared" si="53"/>
        <v>ON1</v>
      </c>
      <c r="H1771" s="14" t="s">
        <v>21</v>
      </c>
      <c r="I1771" s="14" t="s">
        <v>47</v>
      </c>
      <c r="J1771" s="14" t="str">
        <f>""</f>
        <v/>
      </c>
      <c r="K1771" s="14" t="str">
        <f>"PFES1162731943_0001"</f>
        <v>PFES1162731943_0001</v>
      </c>
      <c r="L1771" s="14">
        <v>1</v>
      </c>
      <c r="M1771" s="14">
        <v>16</v>
      </c>
    </row>
    <row r="1772" spans="1:13">
      <c r="A1772" s="6">
        <v>43850</v>
      </c>
      <c r="B1772" s="7">
        <v>0.61736111111111114</v>
      </c>
      <c r="C1772" s="14" t="str">
        <f>"FES1162731917"</f>
        <v>FES1162731917</v>
      </c>
      <c r="D1772" s="14" t="s">
        <v>19</v>
      </c>
      <c r="E1772" s="14" t="s">
        <v>101</v>
      </c>
      <c r="F1772" s="14" t="str">
        <f>"2170724548 "</f>
        <v xml:space="preserve">2170724548 </v>
      </c>
      <c r="G1772" s="14" t="str">
        <f t="shared" si="53"/>
        <v>ON1</v>
      </c>
      <c r="H1772" s="14" t="s">
        <v>21</v>
      </c>
      <c r="I1772" s="14" t="s">
        <v>102</v>
      </c>
      <c r="J1772" s="14" t="str">
        <f>""</f>
        <v/>
      </c>
      <c r="K1772" s="14" t="str">
        <f>"PFES1162731917_0001"</f>
        <v>PFES1162731917_0001</v>
      </c>
      <c r="L1772" s="14">
        <v>1</v>
      </c>
      <c r="M1772" s="14">
        <v>2</v>
      </c>
    </row>
    <row r="1773" spans="1:13">
      <c r="A1773" s="6">
        <v>43850</v>
      </c>
      <c r="B1773" s="7">
        <v>0.61736111111111114</v>
      </c>
      <c r="C1773" s="14" t="str">
        <f>"FES1162731948"</f>
        <v>FES1162731948</v>
      </c>
      <c r="D1773" s="14" t="s">
        <v>19</v>
      </c>
      <c r="E1773" s="14" t="s">
        <v>142</v>
      </c>
      <c r="F1773" s="14" t="str">
        <f>"2170724571 "</f>
        <v xml:space="preserve">2170724571 </v>
      </c>
      <c r="G1773" s="14" t="str">
        <f t="shared" si="53"/>
        <v>ON1</v>
      </c>
      <c r="H1773" s="14" t="s">
        <v>21</v>
      </c>
      <c r="I1773" s="14" t="s">
        <v>123</v>
      </c>
      <c r="J1773" s="14" t="str">
        <f>""</f>
        <v/>
      </c>
      <c r="K1773" s="14" t="str">
        <f>"PFES1162731948_0001"</f>
        <v>PFES1162731948_0001</v>
      </c>
      <c r="L1773" s="14">
        <v>1</v>
      </c>
      <c r="M1773" s="14">
        <v>2</v>
      </c>
    </row>
    <row r="1774" spans="1:13">
      <c r="A1774" s="6">
        <v>43850</v>
      </c>
      <c r="B1774" s="7">
        <v>0.60902777777777783</v>
      </c>
      <c r="C1774" s="14" t="str">
        <f>"FES1162731952"</f>
        <v>FES1162731952</v>
      </c>
      <c r="D1774" s="14" t="s">
        <v>19</v>
      </c>
      <c r="E1774" s="14" t="s">
        <v>216</v>
      </c>
      <c r="F1774" s="14" t="str">
        <f>"2170724566 "</f>
        <v xml:space="preserve">2170724566 </v>
      </c>
      <c r="G1774" s="14" t="str">
        <f t="shared" si="53"/>
        <v>ON1</v>
      </c>
      <c r="H1774" s="14" t="s">
        <v>21</v>
      </c>
      <c r="I1774" s="14" t="s">
        <v>217</v>
      </c>
      <c r="J1774" s="14" t="str">
        <f>""</f>
        <v/>
      </c>
      <c r="K1774" s="14" t="str">
        <f>"PFES1162731952_0001"</f>
        <v>PFES1162731952_0001</v>
      </c>
      <c r="L1774" s="14">
        <v>1</v>
      </c>
      <c r="M1774" s="14">
        <v>1</v>
      </c>
    </row>
    <row r="1775" spans="1:13">
      <c r="A1775" s="6">
        <v>43850</v>
      </c>
      <c r="B1775" s="7">
        <v>0.60833333333333328</v>
      </c>
      <c r="C1775" s="14" t="str">
        <f>"FES1162731931"</f>
        <v>FES1162731931</v>
      </c>
      <c r="D1775" s="14" t="s">
        <v>19</v>
      </c>
      <c r="E1775" s="14" t="s">
        <v>124</v>
      </c>
      <c r="F1775" s="14" t="str">
        <f>"2170724549 "</f>
        <v xml:space="preserve">2170724549 </v>
      </c>
      <c r="G1775" s="14" t="str">
        <f t="shared" si="53"/>
        <v>ON1</v>
      </c>
      <c r="H1775" s="14" t="s">
        <v>21</v>
      </c>
      <c r="I1775" s="14" t="s">
        <v>125</v>
      </c>
      <c r="J1775" s="14" t="str">
        <f>""</f>
        <v/>
      </c>
      <c r="K1775" s="14" t="str">
        <f>"PFES1162731931_0001"</f>
        <v>PFES1162731931_0001</v>
      </c>
      <c r="L1775" s="14">
        <v>1</v>
      </c>
      <c r="M1775" s="14">
        <v>1</v>
      </c>
    </row>
    <row r="1776" spans="1:13">
      <c r="A1776" s="6">
        <v>43850</v>
      </c>
      <c r="B1776" s="7">
        <v>0.60763888888888895</v>
      </c>
      <c r="C1776" s="14" t="str">
        <f>"FES1162731909"</f>
        <v>FES1162731909</v>
      </c>
      <c r="D1776" s="14" t="s">
        <v>19</v>
      </c>
      <c r="E1776" s="14" t="s">
        <v>537</v>
      </c>
      <c r="F1776" s="14" t="str">
        <f>"2170724539 "</f>
        <v xml:space="preserve">2170724539 </v>
      </c>
      <c r="G1776" s="14" t="str">
        <f t="shared" si="53"/>
        <v>ON1</v>
      </c>
      <c r="H1776" s="14" t="s">
        <v>21</v>
      </c>
      <c r="I1776" s="14" t="s">
        <v>209</v>
      </c>
      <c r="J1776" s="14" t="str">
        <f>""</f>
        <v/>
      </c>
      <c r="K1776" s="14" t="str">
        <f>"PFES1162731909_0001"</f>
        <v>PFES1162731909_0001</v>
      </c>
      <c r="L1776" s="14">
        <v>1</v>
      </c>
      <c r="M1776" s="14">
        <v>1</v>
      </c>
    </row>
    <row r="1777" spans="1:13">
      <c r="A1777" s="6">
        <v>43850</v>
      </c>
      <c r="B1777" s="7">
        <v>0.6</v>
      </c>
      <c r="C1777" s="14" t="str">
        <f>"FES1162731942"</f>
        <v>FES1162731942</v>
      </c>
      <c r="D1777" s="14" t="s">
        <v>19</v>
      </c>
      <c r="E1777" s="14" t="s">
        <v>44</v>
      </c>
      <c r="F1777" s="14" t="str">
        <f>"21707242310 "</f>
        <v xml:space="preserve">21707242310 </v>
      </c>
      <c r="G1777" s="14" t="str">
        <f t="shared" si="53"/>
        <v>ON1</v>
      </c>
      <c r="H1777" s="14" t="s">
        <v>21</v>
      </c>
      <c r="I1777" s="14" t="s">
        <v>63</v>
      </c>
      <c r="J1777" s="14" t="str">
        <f>""</f>
        <v/>
      </c>
      <c r="K1777" s="14" t="str">
        <f>"PFES1162731942_0001"</f>
        <v>PFES1162731942_0001</v>
      </c>
      <c r="L1777" s="14">
        <v>1</v>
      </c>
      <c r="M1777" s="14">
        <v>3</v>
      </c>
    </row>
    <row r="1778" spans="1:13">
      <c r="A1778" s="6">
        <v>43850</v>
      </c>
      <c r="B1778" s="7">
        <v>0.59930555555555554</v>
      </c>
      <c r="C1778" s="14" t="str">
        <f>"FES1162731946"</f>
        <v>FES1162731946</v>
      </c>
      <c r="D1778" s="14" t="s">
        <v>19</v>
      </c>
      <c r="E1778" s="14" t="s">
        <v>821</v>
      </c>
      <c r="F1778" s="14" t="str">
        <f>"2170724108 "</f>
        <v xml:space="preserve">2170724108 </v>
      </c>
      <c r="G1778" s="14" t="str">
        <f t="shared" si="53"/>
        <v>ON1</v>
      </c>
      <c r="H1778" s="14" t="s">
        <v>21</v>
      </c>
      <c r="I1778" s="14" t="s">
        <v>459</v>
      </c>
      <c r="J1778" s="14" t="str">
        <f>""</f>
        <v/>
      </c>
      <c r="K1778" s="14" t="str">
        <f>"PFES1162731946_0001"</f>
        <v>PFES1162731946_0001</v>
      </c>
      <c r="L1778" s="14">
        <v>1</v>
      </c>
      <c r="M1778" s="14">
        <v>2</v>
      </c>
    </row>
    <row r="1779" spans="1:13">
      <c r="A1779" s="6">
        <v>43850</v>
      </c>
      <c r="B1779" s="7">
        <v>0.59930555555555554</v>
      </c>
      <c r="C1779" s="14" t="str">
        <f>"FES1162731924"</f>
        <v>FES1162731924</v>
      </c>
      <c r="D1779" s="14" t="s">
        <v>19</v>
      </c>
      <c r="E1779" s="14" t="s">
        <v>822</v>
      </c>
      <c r="F1779" s="14" t="str">
        <f>"2170720975 "</f>
        <v xml:space="preserve">2170720975 </v>
      </c>
      <c r="G1779" s="14" t="str">
        <f t="shared" si="53"/>
        <v>ON1</v>
      </c>
      <c r="H1779" s="14" t="s">
        <v>21</v>
      </c>
      <c r="I1779" s="14" t="s">
        <v>823</v>
      </c>
      <c r="J1779" s="14" t="str">
        <f>""</f>
        <v/>
      </c>
      <c r="K1779" s="14" t="str">
        <f>"PFES1162731924_0001"</f>
        <v>PFES1162731924_0001</v>
      </c>
      <c r="L1779" s="14">
        <v>1</v>
      </c>
      <c r="M1779" s="14">
        <v>2</v>
      </c>
    </row>
    <row r="1780" spans="1:13">
      <c r="A1780" s="6">
        <v>43850</v>
      </c>
      <c r="B1780" s="7">
        <v>0.59930555555555554</v>
      </c>
      <c r="C1780" s="14" t="str">
        <f>"FES1162731922"</f>
        <v>FES1162731922</v>
      </c>
      <c r="D1780" s="14" t="s">
        <v>19</v>
      </c>
      <c r="E1780" s="14" t="s">
        <v>551</v>
      </c>
      <c r="F1780" s="14" t="str">
        <f>"2170720660 "</f>
        <v xml:space="preserve">2170720660 </v>
      </c>
      <c r="G1780" s="14" t="str">
        <f t="shared" si="53"/>
        <v>ON1</v>
      </c>
      <c r="H1780" s="14" t="s">
        <v>21</v>
      </c>
      <c r="I1780" s="14" t="s">
        <v>294</v>
      </c>
      <c r="J1780" s="14" t="str">
        <f>""</f>
        <v/>
      </c>
      <c r="K1780" s="14" t="str">
        <f>"PFES1162731922_0001"</f>
        <v>PFES1162731922_0001</v>
      </c>
      <c r="L1780" s="14">
        <v>1</v>
      </c>
      <c r="M1780" s="14">
        <v>2</v>
      </c>
    </row>
    <row r="1781" spans="1:13">
      <c r="A1781" s="6">
        <v>43850</v>
      </c>
      <c r="B1781" s="7">
        <v>0.59861111111111109</v>
      </c>
      <c r="C1781" s="14" t="str">
        <f>"FES1162731901"</f>
        <v>FES1162731901</v>
      </c>
      <c r="D1781" s="14" t="s">
        <v>19</v>
      </c>
      <c r="E1781" s="14" t="s">
        <v>714</v>
      </c>
      <c r="F1781" s="14" t="str">
        <f>"2170724466 "</f>
        <v xml:space="preserve">2170724466 </v>
      </c>
      <c r="G1781" s="14" t="str">
        <f t="shared" si="53"/>
        <v>ON1</v>
      </c>
      <c r="H1781" s="14" t="s">
        <v>21</v>
      </c>
      <c r="I1781" s="14" t="s">
        <v>202</v>
      </c>
      <c r="J1781" s="14" t="str">
        <f>""</f>
        <v/>
      </c>
      <c r="K1781" s="14" t="str">
        <f>"PFES1162731901_0001"</f>
        <v>PFES1162731901_0001</v>
      </c>
      <c r="L1781" s="14">
        <v>1</v>
      </c>
      <c r="M1781" s="14">
        <v>2</v>
      </c>
    </row>
    <row r="1782" spans="1:13">
      <c r="A1782" s="6">
        <v>43850</v>
      </c>
      <c r="B1782" s="7">
        <v>0.59791666666666665</v>
      </c>
      <c r="C1782" s="14" t="str">
        <f>"FES1162731950"</f>
        <v>FES1162731950</v>
      </c>
      <c r="D1782" s="14" t="s">
        <v>19</v>
      </c>
      <c r="E1782" s="14" t="s">
        <v>239</v>
      </c>
      <c r="F1782" s="14" t="str">
        <f>"2170724573 "</f>
        <v xml:space="preserve">2170724573 </v>
      </c>
      <c r="G1782" s="14" t="str">
        <f t="shared" si="53"/>
        <v>ON1</v>
      </c>
      <c r="H1782" s="14" t="s">
        <v>21</v>
      </c>
      <c r="I1782" s="14" t="s">
        <v>165</v>
      </c>
      <c r="J1782" s="14" t="str">
        <f>""</f>
        <v/>
      </c>
      <c r="K1782" s="14" t="str">
        <f>"PFES1162731950_0001"</f>
        <v>PFES1162731950_0001</v>
      </c>
      <c r="L1782" s="14">
        <v>1</v>
      </c>
      <c r="M1782" s="14">
        <v>4</v>
      </c>
    </row>
    <row r="1783" spans="1:13">
      <c r="A1783" s="6">
        <v>43850</v>
      </c>
      <c r="B1783" s="7">
        <v>0.59722222222222221</v>
      </c>
      <c r="C1783" s="14" t="str">
        <f>"FES1162731912"</f>
        <v>FES1162731912</v>
      </c>
      <c r="D1783" s="14" t="s">
        <v>19</v>
      </c>
      <c r="E1783" s="14" t="s">
        <v>285</v>
      </c>
      <c r="F1783" s="14" t="str">
        <f>"2170724543 "</f>
        <v xml:space="preserve">2170724543 </v>
      </c>
      <c r="G1783" s="14" t="str">
        <f t="shared" si="53"/>
        <v>ON1</v>
      </c>
      <c r="H1783" s="14" t="s">
        <v>21</v>
      </c>
      <c r="I1783" s="14" t="s">
        <v>165</v>
      </c>
      <c r="J1783" s="14" t="str">
        <f>""</f>
        <v/>
      </c>
      <c r="K1783" s="14" t="str">
        <f>"PFES1162731912_0001"</f>
        <v>PFES1162731912_0001</v>
      </c>
      <c r="L1783" s="14">
        <v>1</v>
      </c>
      <c r="M1783" s="14">
        <v>8</v>
      </c>
    </row>
    <row r="1784" spans="1:13">
      <c r="A1784" s="6">
        <v>43850</v>
      </c>
      <c r="B1784" s="7">
        <v>0.59722222222222221</v>
      </c>
      <c r="C1784" s="14" t="str">
        <f>"FES1162731933"</f>
        <v>FES1162731933</v>
      </c>
      <c r="D1784" s="14" t="s">
        <v>19</v>
      </c>
      <c r="E1784" s="14" t="s">
        <v>633</v>
      </c>
      <c r="F1784" s="14" t="str">
        <f>"2170724554 "</f>
        <v xml:space="preserve">2170724554 </v>
      </c>
      <c r="G1784" s="14" t="str">
        <f t="shared" si="53"/>
        <v>ON1</v>
      </c>
      <c r="H1784" s="14" t="s">
        <v>21</v>
      </c>
      <c r="I1784" s="14" t="s">
        <v>139</v>
      </c>
      <c r="J1784" s="14" t="str">
        <f>""</f>
        <v/>
      </c>
      <c r="K1784" s="14" t="str">
        <f>"PFES1162731933_0001"</f>
        <v>PFES1162731933_0001</v>
      </c>
      <c r="L1784" s="14">
        <v>1</v>
      </c>
      <c r="M1784" s="14">
        <v>2</v>
      </c>
    </row>
    <row r="1785" spans="1:13">
      <c r="A1785" s="6">
        <v>43850</v>
      </c>
      <c r="B1785" s="7">
        <v>0.59652777777777777</v>
      </c>
      <c r="C1785" s="14" t="str">
        <f>"FES1162731914"</f>
        <v>FES1162731914</v>
      </c>
      <c r="D1785" s="14" t="s">
        <v>19</v>
      </c>
      <c r="E1785" s="14" t="s">
        <v>178</v>
      </c>
      <c r="F1785" s="14" t="str">
        <f>"2170724542 "</f>
        <v xml:space="preserve">2170724542 </v>
      </c>
      <c r="G1785" s="14" t="str">
        <f t="shared" si="53"/>
        <v>ON1</v>
      </c>
      <c r="H1785" s="14" t="s">
        <v>21</v>
      </c>
      <c r="I1785" s="14" t="s">
        <v>179</v>
      </c>
      <c r="J1785" s="14" t="str">
        <f>""</f>
        <v/>
      </c>
      <c r="K1785" s="14" t="str">
        <f>"PFES1162731914_0001"</f>
        <v>PFES1162731914_0001</v>
      </c>
      <c r="L1785" s="14">
        <v>1</v>
      </c>
      <c r="M1785" s="14">
        <v>7</v>
      </c>
    </row>
    <row r="1786" spans="1:13">
      <c r="A1786" s="6">
        <v>43850</v>
      </c>
      <c r="B1786" s="7">
        <v>0.58680555555555558</v>
      </c>
      <c r="C1786" s="14" t="str">
        <f>"FES1162731944"</f>
        <v>FES1162731944</v>
      </c>
      <c r="D1786" s="14" t="s">
        <v>19</v>
      </c>
      <c r="E1786" s="14" t="s">
        <v>397</v>
      </c>
      <c r="F1786" s="14" t="str">
        <f>"2170724567 "</f>
        <v xml:space="preserve">2170724567 </v>
      </c>
      <c r="G1786" s="14" t="str">
        <f t="shared" si="53"/>
        <v>ON1</v>
      </c>
      <c r="H1786" s="14" t="s">
        <v>21</v>
      </c>
      <c r="I1786" s="14" t="s">
        <v>204</v>
      </c>
      <c r="J1786" s="14" t="str">
        <f>""</f>
        <v/>
      </c>
      <c r="K1786" s="14" t="str">
        <f>"PFES1162731944_0001"</f>
        <v>PFES1162731944_0001</v>
      </c>
      <c r="L1786" s="14">
        <v>1</v>
      </c>
      <c r="M1786" s="14">
        <v>1</v>
      </c>
    </row>
    <row r="1787" spans="1:13">
      <c r="A1787" s="6">
        <v>43850</v>
      </c>
      <c r="B1787" s="7">
        <v>0.58611111111111114</v>
      </c>
      <c r="C1787" s="14" t="str">
        <f>"FES1162731903"</f>
        <v>FES1162731903</v>
      </c>
      <c r="D1787" s="14" t="s">
        <v>19</v>
      </c>
      <c r="E1787" s="14" t="s">
        <v>222</v>
      </c>
      <c r="F1787" s="14" t="str">
        <f>"2170724534 "</f>
        <v xml:space="preserve">2170724534 </v>
      </c>
      <c r="G1787" s="14" t="str">
        <f t="shared" si="53"/>
        <v>ON1</v>
      </c>
      <c r="H1787" s="14" t="s">
        <v>21</v>
      </c>
      <c r="I1787" s="14" t="s">
        <v>28</v>
      </c>
      <c r="J1787" s="14" t="str">
        <f>""</f>
        <v/>
      </c>
      <c r="K1787" s="14" t="str">
        <f>"PFES1162731903_0001"</f>
        <v>PFES1162731903_0001</v>
      </c>
      <c r="L1787" s="14">
        <v>1</v>
      </c>
      <c r="M1787" s="14">
        <v>1</v>
      </c>
    </row>
    <row r="1788" spans="1:13">
      <c r="A1788" s="6">
        <v>43850</v>
      </c>
      <c r="B1788" s="7">
        <v>0.5854166666666667</v>
      </c>
      <c r="C1788" s="14" t="str">
        <f>"FES1162731918"</f>
        <v>FES1162731918</v>
      </c>
      <c r="D1788" s="14" t="s">
        <v>19</v>
      </c>
      <c r="E1788" s="14" t="s">
        <v>256</v>
      </c>
      <c r="F1788" s="14" t="str">
        <f>"2170724540 "</f>
        <v xml:space="preserve">2170724540 </v>
      </c>
      <c r="G1788" s="14" t="str">
        <f t="shared" si="53"/>
        <v>ON1</v>
      </c>
      <c r="H1788" s="14" t="s">
        <v>21</v>
      </c>
      <c r="I1788" s="14" t="s">
        <v>257</v>
      </c>
      <c r="J1788" s="14" t="str">
        <f>""</f>
        <v/>
      </c>
      <c r="K1788" s="14" t="str">
        <f>"PFES1162731918_0001"</f>
        <v>PFES1162731918_0001</v>
      </c>
      <c r="L1788" s="14">
        <v>1</v>
      </c>
      <c r="M1788" s="14">
        <v>1</v>
      </c>
    </row>
    <row r="1789" spans="1:13">
      <c r="A1789" s="6">
        <v>43850</v>
      </c>
      <c r="B1789" s="7">
        <v>0.58472222222222225</v>
      </c>
      <c r="C1789" s="14" t="str">
        <f>"FES1162731945"</f>
        <v>FES1162731945</v>
      </c>
      <c r="D1789" s="14" t="s">
        <v>19</v>
      </c>
      <c r="E1789" s="14" t="s">
        <v>44</v>
      </c>
      <c r="F1789" s="14" t="str">
        <f>"2170724569 "</f>
        <v xml:space="preserve">2170724569 </v>
      </c>
      <c r="G1789" s="14" t="str">
        <f t="shared" si="53"/>
        <v>ON1</v>
      </c>
      <c r="H1789" s="14" t="s">
        <v>21</v>
      </c>
      <c r="I1789" s="14" t="s">
        <v>45</v>
      </c>
      <c r="J1789" s="14" t="str">
        <f>""</f>
        <v/>
      </c>
      <c r="K1789" s="14" t="str">
        <f>"PFES1162731945_0001"</f>
        <v>PFES1162731945_0001</v>
      </c>
      <c r="L1789" s="14">
        <v>1</v>
      </c>
      <c r="M1789" s="14">
        <v>1</v>
      </c>
    </row>
    <row r="1790" spans="1:13">
      <c r="A1790" s="6">
        <v>43850</v>
      </c>
      <c r="B1790" s="7">
        <v>0.58402777777777781</v>
      </c>
      <c r="C1790" s="14" t="str">
        <f>"FES1162731908"</f>
        <v>FES1162731908</v>
      </c>
      <c r="D1790" s="14" t="s">
        <v>19</v>
      </c>
      <c r="E1790" s="14" t="s">
        <v>222</v>
      </c>
      <c r="F1790" s="14" t="str">
        <f>"2170724538 "</f>
        <v xml:space="preserve">2170724538 </v>
      </c>
      <c r="G1790" s="14" t="str">
        <f t="shared" si="53"/>
        <v>ON1</v>
      </c>
      <c r="H1790" s="14" t="s">
        <v>21</v>
      </c>
      <c r="I1790" s="14" t="s">
        <v>28</v>
      </c>
      <c r="J1790" s="14" t="str">
        <f>""</f>
        <v/>
      </c>
      <c r="K1790" s="14" t="str">
        <f>"PFES1162731908_0001"</f>
        <v>PFES1162731908_0001</v>
      </c>
      <c r="L1790" s="14">
        <v>1</v>
      </c>
      <c r="M1790" s="14">
        <v>1</v>
      </c>
    </row>
    <row r="1791" spans="1:13">
      <c r="A1791" s="6">
        <v>43850</v>
      </c>
      <c r="B1791" s="7">
        <v>0.56874999999999998</v>
      </c>
      <c r="C1791" s="14" t="str">
        <f>"FES1162731920"</f>
        <v>FES1162731920</v>
      </c>
      <c r="D1791" s="14" t="s">
        <v>19</v>
      </c>
      <c r="E1791" s="14" t="s">
        <v>824</v>
      </c>
      <c r="F1791" s="14" t="str">
        <f>"2170724552 "</f>
        <v xml:space="preserve">2170724552 </v>
      </c>
      <c r="G1791" s="14" t="str">
        <f t="shared" si="53"/>
        <v>ON1</v>
      </c>
      <c r="H1791" s="14" t="s">
        <v>21</v>
      </c>
      <c r="I1791" s="14" t="s">
        <v>825</v>
      </c>
      <c r="J1791" s="14" t="str">
        <f>""</f>
        <v/>
      </c>
      <c r="K1791" s="14" t="str">
        <f>"PFES1162731920_0001"</f>
        <v>PFES1162731920_0001</v>
      </c>
      <c r="L1791" s="14">
        <v>1</v>
      </c>
      <c r="M1791" s="14">
        <v>1</v>
      </c>
    </row>
    <row r="1792" spans="1:13">
      <c r="A1792" s="6">
        <v>43850</v>
      </c>
      <c r="B1792" s="7">
        <v>0.5541666666666667</v>
      </c>
      <c r="C1792" s="14" t="str">
        <f>"FES1162731855"</f>
        <v>FES1162731855</v>
      </c>
      <c r="D1792" s="14" t="s">
        <v>19</v>
      </c>
      <c r="E1792" s="14" t="s">
        <v>30</v>
      </c>
      <c r="F1792" s="14" t="str">
        <f>"2170724474 "</f>
        <v xml:space="preserve">2170724474 </v>
      </c>
      <c r="G1792" s="14" t="str">
        <f t="shared" si="53"/>
        <v>ON1</v>
      </c>
      <c r="H1792" s="14" t="s">
        <v>21</v>
      </c>
      <c r="I1792" s="14" t="s">
        <v>31</v>
      </c>
      <c r="J1792" s="14" t="str">
        <f>""</f>
        <v/>
      </c>
      <c r="K1792" s="14" t="str">
        <f>"PFES1162731855_0001"</f>
        <v>PFES1162731855_0001</v>
      </c>
      <c r="L1792" s="14">
        <v>1</v>
      </c>
      <c r="M1792" s="14">
        <v>7</v>
      </c>
    </row>
    <row r="1793" spans="1:13">
      <c r="A1793" s="6">
        <v>43850</v>
      </c>
      <c r="B1793" s="7">
        <v>0.55347222222222225</v>
      </c>
      <c r="C1793" s="14" t="str">
        <f>"FES1162731853"</f>
        <v>FES1162731853</v>
      </c>
      <c r="D1793" s="14" t="s">
        <v>19</v>
      </c>
      <c r="E1793" s="14" t="s">
        <v>164</v>
      </c>
      <c r="F1793" s="14" t="str">
        <f>"2170724471 "</f>
        <v xml:space="preserve">2170724471 </v>
      </c>
      <c r="G1793" s="14" t="str">
        <f t="shared" si="53"/>
        <v>ON1</v>
      </c>
      <c r="H1793" s="14" t="s">
        <v>21</v>
      </c>
      <c r="I1793" s="14" t="s">
        <v>165</v>
      </c>
      <c r="J1793" s="14" t="str">
        <f>""</f>
        <v/>
      </c>
      <c r="K1793" s="14" t="str">
        <f>"PFES1162731853_0001"</f>
        <v>PFES1162731853_0001</v>
      </c>
      <c r="L1793" s="14">
        <v>1</v>
      </c>
      <c r="M1793" s="14">
        <v>7</v>
      </c>
    </row>
    <row r="1794" spans="1:13">
      <c r="A1794" s="6">
        <v>43850</v>
      </c>
      <c r="B1794" s="7">
        <v>0.55277777777777781</v>
      </c>
      <c r="C1794" s="14" t="str">
        <f>"FES1162731916"</f>
        <v>FES1162731916</v>
      </c>
      <c r="D1794" s="14" t="s">
        <v>19</v>
      </c>
      <c r="E1794" s="14" t="s">
        <v>806</v>
      </c>
      <c r="F1794" s="14" t="str">
        <f>"2170724546 "</f>
        <v xml:space="preserve">2170724546 </v>
      </c>
      <c r="G1794" s="14" t="str">
        <f t="shared" si="53"/>
        <v>ON1</v>
      </c>
      <c r="H1794" s="14" t="s">
        <v>21</v>
      </c>
      <c r="I1794" s="14" t="s">
        <v>807</v>
      </c>
      <c r="J1794" s="14" t="str">
        <f>""</f>
        <v/>
      </c>
      <c r="K1794" s="14" t="str">
        <f>"PFES1162731916_0001"</f>
        <v>PFES1162731916_0001</v>
      </c>
      <c r="L1794" s="14">
        <v>1</v>
      </c>
      <c r="M1794" s="14">
        <v>2</v>
      </c>
    </row>
    <row r="1795" spans="1:13">
      <c r="A1795" s="6">
        <v>43850</v>
      </c>
      <c r="B1795" s="7">
        <v>0.55208333333333337</v>
      </c>
      <c r="C1795" s="14" t="str">
        <f>"FES1162731900"</f>
        <v>FES1162731900</v>
      </c>
      <c r="D1795" s="14" t="s">
        <v>19</v>
      </c>
      <c r="E1795" s="14" t="s">
        <v>826</v>
      </c>
      <c r="F1795" s="14" t="str">
        <f>"2170724491 "</f>
        <v xml:space="preserve">2170724491 </v>
      </c>
      <c r="G1795" s="14" t="str">
        <f t="shared" si="53"/>
        <v>ON1</v>
      </c>
      <c r="H1795" s="14" t="s">
        <v>21</v>
      </c>
      <c r="I1795" s="14" t="s">
        <v>179</v>
      </c>
      <c r="J1795" s="14" t="str">
        <f>""</f>
        <v/>
      </c>
      <c r="K1795" s="14" t="str">
        <f>"PFES1162731900_0001"</f>
        <v>PFES1162731900_0001</v>
      </c>
      <c r="L1795" s="14">
        <v>1</v>
      </c>
      <c r="M1795" s="14">
        <v>6</v>
      </c>
    </row>
    <row r="1796" spans="1:13">
      <c r="A1796" s="6">
        <v>43850</v>
      </c>
      <c r="B1796" s="7">
        <v>0.55208333333333337</v>
      </c>
      <c r="C1796" s="14" t="str">
        <f>"FES1162731859"</f>
        <v>FES1162731859</v>
      </c>
      <c r="D1796" s="14" t="s">
        <v>19</v>
      </c>
      <c r="E1796" s="14" t="s">
        <v>827</v>
      </c>
      <c r="F1796" s="14" t="str">
        <f>"2170724480 "</f>
        <v xml:space="preserve">2170724480 </v>
      </c>
      <c r="G1796" s="14" t="str">
        <f t="shared" si="53"/>
        <v>ON1</v>
      </c>
      <c r="H1796" s="14" t="s">
        <v>21</v>
      </c>
      <c r="I1796" s="14" t="s">
        <v>828</v>
      </c>
      <c r="J1796" s="14" t="str">
        <f>""</f>
        <v/>
      </c>
      <c r="K1796" s="14" t="str">
        <f>"PFES1162731859_0001"</f>
        <v>PFES1162731859_0001</v>
      </c>
      <c r="L1796" s="14">
        <v>1</v>
      </c>
      <c r="M1796" s="14">
        <v>2</v>
      </c>
    </row>
    <row r="1797" spans="1:13">
      <c r="A1797" s="6">
        <v>43850</v>
      </c>
      <c r="B1797" s="7">
        <v>0.55138888888888882</v>
      </c>
      <c r="C1797" s="14" t="str">
        <f>"FES1162731840"</f>
        <v>FES1162731840</v>
      </c>
      <c r="D1797" s="14" t="s">
        <v>19</v>
      </c>
      <c r="E1797" s="14" t="s">
        <v>304</v>
      </c>
      <c r="F1797" s="14" t="str">
        <f>"2170722798 "</f>
        <v xml:space="preserve">2170722798 </v>
      </c>
      <c r="G1797" s="14" t="str">
        <f t="shared" si="53"/>
        <v>ON1</v>
      </c>
      <c r="H1797" s="14" t="s">
        <v>21</v>
      </c>
      <c r="I1797" s="14" t="s">
        <v>305</v>
      </c>
      <c r="J1797" s="14" t="str">
        <f>""</f>
        <v/>
      </c>
      <c r="K1797" s="14" t="str">
        <f>"PFES1162731840_0001"</f>
        <v>PFES1162731840_0001</v>
      </c>
      <c r="L1797" s="14">
        <v>1</v>
      </c>
      <c r="M1797" s="14">
        <v>2</v>
      </c>
    </row>
    <row r="1798" spans="1:13">
      <c r="A1798" s="6">
        <v>43850</v>
      </c>
      <c r="B1798" s="7">
        <v>0.55069444444444449</v>
      </c>
      <c r="C1798" s="14" t="str">
        <f>"FES1162731851"</f>
        <v>FES1162731851</v>
      </c>
      <c r="D1798" s="14" t="s">
        <v>19</v>
      </c>
      <c r="E1798" s="14" t="s">
        <v>87</v>
      </c>
      <c r="F1798" s="14" t="str">
        <f>"2170722911 "</f>
        <v xml:space="preserve">2170722911 </v>
      </c>
      <c r="G1798" s="14" t="str">
        <f t="shared" si="53"/>
        <v>ON1</v>
      </c>
      <c r="H1798" s="14" t="s">
        <v>21</v>
      </c>
      <c r="I1798" s="14" t="s">
        <v>88</v>
      </c>
      <c r="J1798" s="14" t="str">
        <f>""</f>
        <v/>
      </c>
      <c r="K1798" s="14" t="str">
        <f>"PFES1162731851_0001"</f>
        <v>PFES1162731851_0001</v>
      </c>
      <c r="L1798" s="14">
        <v>1</v>
      </c>
      <c r="M1798" s="14">
        <v>8</v>
      </c>
    </row>
    <row r="1799" spans="1:13">
      <c r="A1799" s="6">
        <v>43850</v>
      </c>
      <c r="B1799" s="7">
        <v>0.55069444444444449</v>
      </c>
      <c r="C1799" s="14" t="str">
        <f>"FES1162731907"</f>
        <v>FES1162731907</v>
      </c>
      <c r="D1799" s="14" t="s">
        <v>19</v>
      </c>
      <c r="E1799" s="14" t="s">
        <v>252</v>
      </c>
      <c r="F1799" s="14" t="str">
        <f>"2170724485 "</f>
        <v xml:space="preserve">2170724485 </v>
      </c>
      <c r="G1799" s="14" t="str">
        <f t="shared" si="53"/>
        <v>ON1</v>
      </c>
      <c r="H1799" s="14" t="s">
        <v>21</v>
      </c>
      <c r="I1799" s="14" t="s">
        <v>253</v>
      </c>
      <c r="J1799" s="14" t="str">
        <f>""</f>
        <v/>
      </c>
      <c r="K1799" s="14" t="str">
        <f>"PFES1162731907_0001"</f>
        <v>PFES1162731907_0001</v>
      </c>
      <c r="L1799" s="14">
        <v>1</v>
      </c>
      <c r="M1799" s="14">
        <v>1</v>
      </c>
    </row>
    <row r="1800" spans="1:13">
      <c r="A1800" s="6">
        <v>43850</v>
      </c>
      <c r="B1800" s="7">
        <v>0.54999999999999993</v>
      </c>
      <c r="C1800" s="14" t="str">
        <f>"FES1162731905"</f>
        <v>FES1162731905</v>
      </c>
      <c r="D1800" s="14" t="s">
        <v>19</v>
      </c>
      <c r="E1800" s="14" t="s">
        <v>134</v>
      </c>
      <c r="F1800" s="14" t="str">
        <f>"2170724536 "</f>
        <v xml:space="preserve">2170724536 </v>
      </c>
      <c r="G1800" s="14" t="str">
        <f t="shared" si="53"/>
        <v>ON1</v>
      </c>
      <c r="H1800" s="14" t="s">
        <v>21</v>
      </c>
      <c r="I1800" s="14" t="s">
        <v>135</v>
      </c>
      <c r="J1800" s="14" t="str">
        <f>""</f>
        <v/>
      </c>
      <c r="K1800" s="14" t="str">
        <f>"PFES1162731905_0001"</f>
        <v>PFES1162731905_0001</v>
      </c>
      <c r="L1800" s="14">
        <v>1</v>
      </c>
      <c r="M1800" s="14">
        <v>1</v>
      </c>
    </row>
    <row r="1801" spans="1:13">
      <c r="A1801" s="6">
        <v>43850</v>
      </c>
      <c r="B1801" s="7">
        <v>0.5493055555555556</v>
      </c>
      <c r="C1801" s="14" t="str">
        <f>"FES1162731865"</f>
        <v>FES1162731865</v>
      </c>
      <c r="D1801" s="14" t="s">
        <v>19</v>
      </c>
      <c r="E1801" s="14" t="s">
        <v>829</v>
      </c>
      <c r="F1801" s="14" t="str">
        <f>"217074488 "</f>
        <v xml:space="preserve">217074488 </v>
      </c>
      <c r="G1801" s="14" t="str">
        <f t="shared" si="53"/>
        <v>ON1</v>
      </c>
      <c r="H1801" s="14" t="s">
        <v>21</v>
      </c>
      <c r="I1801" s="14" t="s">
        <v>96</v>
      </c>
      <c r="J1801" s="14" t="str">
        <f>""</f>
        <v/>
      </c>
      <c r="K1801" s="14" t="str">
        <f>"PFES1162731865_0001"</f>
        <v>PFES1162731865_0001</v>
      </c>
      <c r="L1801" s="14">
        <v>1</v>
      </c>
      <c r="M1801" s="14">
        <v>1</v>
      </c>
    </row>
    <row r="1802" spans="1:13">
      <c r="A1802" s="6">
        <v>43850</v>
      </c>
      <c r="B1802" s="7">
        <v>0.54791666666666672</v>
      </c>
      <c r="C1802" s="14" t="str">
        <f>"FES1162731820"</f>
        <v>FES1162731820</v>
      </c>
      <c r="D1802" s="14" t="s">
        <v>19</v>
      </c>
      <c r="E1802" s="14" t="s">
        <v>101</v>
      </c>
      <c r="F1802" s="14" t="str">
        <f>"21707214456 "</f>
        <v xml:space="preserve">21707214456 </v>
      </c>
      <c r="G1802" s="14" t="str">
        <f t="shared" si="53"/>
        <v>ON1</v>
      </c>
      <c r="H1802" s="14" t="s">
        <v>21</v>
      </c>
      <c r="I1802" s="14" t="s">
        <v>102</v>
      </c>
      <c r="J1802" s="14" t="str">
        <f>""</f>
        <v/>
      </c>
      <c r="K1802" s="14" t="str">
        <f>"PFES1162731820_0001"</f>
        <v>PFES1162731820_0001</v>
      </c>
      <c r="L1802" s="14">
        <v>1</v>
      </c>
      <c r="M1802" s="14">
        <v>3</v>
      </c>
    </row>
    <row r="1803" spans="1:13">
      <c r="A1803" s="6">
        <v>43850</v>
      </c>
      <c r="B1803" s="7">
        <v>0.54722222222222217</v>
      </c>
      <c r="C1803" s="14" t="str">
        <f>"FES1162731894"</f>
        <v>FES1162731894</v>
      </c>
      <c r="D1803" s="14" t="s">
        <v>19</v>
      </c>
      <c r="E1803" s="14" t="s">
        <v>659</v>
      </c>
      <c r="F1803" s="14" t="str">
        <f>"2170724525 "</f>
        <v xml:space="preserve">2170724525 </v>
      </c>
      <c r="G1803" s="14" t="str">
        <f t="shared" si="53"/>
        <v>ON1</v>
      </c>
      <c r="H1803" s="14" t="s">
        <v>21</v>
      </c>
      <c r="I1803" s="14" t="s">
        <v>795</v>
      </c>
      <c r="J1803" s="14" t="str">
        <f>""</f>
        <v/>
      </c>
      <c r="K1803" s="14" t="str">
        <f>"PFES1162731894_0001"</f>
        <v>PFES1162731894_0001</v>
      </c>
      <c r="L1803" s="14">
        <v>1</v>
      </c>
      <c r="M1803" s="14">
        <v>1</v>
      </c>
    </row>
    <row r="1804" spans="1:13">
      <c r="A1804" s="6">
        <v>43850</v>
      </c>
      <c r="B1804" s="7">
        <v>0.54722222222222217</v>
      </c>
      <c r="C1804" s="14" t="str">
        <f>"FES1162731854"</f>
        <v>FES1162731854</v>
      </c>
      <c r="D1804" s="14" t="s">
        <v>19</v>
      </c>
      <c r="E1804" s="14" t="s">
        <v>680</v>
      </c>
      <c r="F1804" s="14" t="str">
        <f>"2170724473 "</f>
        <v xml:space="preserve">2170724473 </v>
      </c>
      <c r="G1804" s="14" t="str">
        <f t="shared" si="53"/>
        <v>ON1</v>
      </c>
      <c r="H1804" s="14" t="s">
        <v>21</v>
      </c>
      <c r="I1804" s="14" t="s">
        <v>681</v>
      </c>
      <c r="J1804" s="14" t="str">
        <f>""</f>
        <v/>
      </c>
      <c r="K1804" s="14" t="str">
        <f>"PFES1162731854_0001"</f>
        <v>PFES1162731854_0001</v>
      </c>
      <c r="L1804" s="14">
        <v>1</v>
      </c>
      <c r="M1804" s="14">
        <v>4</v>
      </c>
    </row>
    <row r="1805" spans="1:13">
      <c r="A1805" s="6">
        <v>43850</v>
      </c>
      <c r="B1805" s="7">
        <v>0.54652777777777783</v>
      </c>
      <c r="C1805" s="14" t="str">
        <f>"FES1162731890"</f>
        <v>FES1162731890</v>
      </c>
      <c r="D1805" s="14" t="s">
        <v>19</v>
      </c>
      <c r="E1805" s="14" t="s">
        <v>354</v>
      </c>
      <c r="F1805" s="14" t="str">
        <f>"2170724519 "</f>
        <v xml:space="preserve">2170724519 </v>
      </c>
      <c r="G1805" s="14" t="str">
        <f t="shared" si="53"/>
        <v>ON1</v>
      </c>
      <c r="H1805" s="14" t="s">
        <v>21</v>
      </c>
      <c r="I1805" s="14" t="s">
        <v>355</v>
      </c>
      <c r="J1805" s="14" t="str">
        <f>""</f>
        <v/>
      </c>
      <c r="K1805" s="14" t="str">
        <f>"PFES1162731890_0001"</f>
        <v>PFES1162731890_0001</v>
      </c>
      <c r="L1805" s="14">
        <v>1</v>
      </c>
      <c r="M1805" s="14">
        <v>2</v>
      </c>
    </row>
    <row r="1806" spans="1:13">
      <c r="A1806" s="6">
        <v>43850</v>
      </c>
      <c r="B1806" s="7">
        <v>0.54652777777777783</v>
      </c>
      <c r="C1806" s="14" t="str">
        <f>"FES1162731886"</f>
        <v>FES1162731886</v>
      </c>
      <c r="D1806" s="14" t="s">
        <v>19</v>
      </c>
      <c r="E1806" s="14" t="s">
        <v>32</v>
      </c>
      <c r="F1806" s="14" t="str">
        <f>"2170724510 "</f>
        <v xml:space="preserve">2170724510 </v>
      </c>
      <c r="G1806" s="14" t="str">
        <f t="shared" si="53"/>
        <v>ON1</v>
      </c>
      <c r="H1806" s="14" t="s">
        <v>21</v>
      </c>
      <c r="I1806" s="14" t="s">
        <v>22</v>
      </c>
      <c r="J1806" s="14" t="str">
        <f>""</f>
        <v/>
      </c>
      <c r="K1806" s="14" t="str">
        <f>"PFES1162731886_0001"</f>
        <v>PFES1162731886_0001</v>
      </c>
      <c r="L1806" s="14">
        <v>1</v>
      </c>
      <c r="M1806" s="14">
        <v>1</v>
      </c>
    </row>
    <row r="1807" spans="1:13">
      <c r="A1807" s="6">
        <v>43850</v>
      </c>
      <c r="B1807" s="7">
        <v>0.54583333333333328</v>
      </c>
      <c r="C1807" s="14" t="str">
        <f>"FES1162731888"</f>
        <v>FES1162731888</v>
      </c>
      <c r="D1807" s="14" t="s">
        <v>19</v>
      </c>
      <c r="E1807" s="14" t="s">
        <v>72</v>
      </c>
      <c r="F1807" s="14" t="str">
        <f>"2170724512 "</f>
        <v xml:space="preserve">2170724512 </v>
      </c>
      <c r="G1807" s="14" t="str">
        <f t="shared" si="53"/>
        <v>ON1</v>
      </c>
      <c r="H1807" s="14" t="s">
        <v>21</v>
      </c>
      <c r="I1807" s="14" t="s">
        <v>73</v>
      </c>
      <c r="J1807" s="14" t="str">
        <f>""</f>
        <v/>
      </c>
      <c r="K1807" s="14" t="str">
        <f>"PFES1162731888_0001"</f>
        <v>PFES1162731888_0001</v>
      </c>
      <c r="L1807" s="14">
        <v>1</v>
      </c>
      <c r="M1807" s="14">
        <v>2</v>
      </c>
    </row>
    <row r="1808" spans="1:13">
      <c r="A1808" s="6">
        <v>43850</v>
      </c>
      <c r="B1808" s="7">
        <v>0.54513888888888895</v>
      </c>
      <c r="C1808" s="14" t="str">
        <f>"FES1162731874"</f>
        <v>FES1162731874</v>
      </c>
      <c r="D1808" s="14" t="s">
        <v>19</v>
      </c>
      <c r="E1808" s="14" t="s">
        <v>62</v>
      </c>
      <c r="F1808" s="14" t="str">
        <f>"2170724495 "</f>
        <v xml:space="preserve">2170724495 </v>
      </c>
      <c r="G1808" s="14" t="str">
        <f t="shared" si="53"/>
        <v>ON1</v>
      </c>
      <c r="H1808" s="14" t="s">
        <v>21</v>
      </c>
      <c r="I1808" s="14" t="s">
        <v>297</v>
      </c>
      <c r="J1808" s="14" t="str">
        <f>""</f>
        <v/>
      </c>
      <c r="K1808" s="14" t="str">
        <f>"PFES1162731874_0001"</f>
        <v>PFES1162731874_0001</v>
      </c>
      <c r="L1808" s="14">
        <v>1</v>
      </c>
      <c r="M1808" s="14">
        <v>1</v>
      </c>
    </row>
    <row r="1809" spans="1:13">
      <c r="A1809" s="6">
        <v>43850</v>
      </c>
      <c r="B1809" s="7">
        <v>0.5444444444444444</v>
      </c>
      <c r="C1809" s="14" t="str">
        <f>"FES1162731889"</f>
        <v>FES1162731889</v>
      </c>
      <c r="D1809" s="14" t="s">
        <v>19</v>
      </c>
      <c r="E1809" s="14" t="s">
        <v>287</v>
      </c>
      <c r="F1809" s="14" t="str">
        <f>"2170724513 "</f>
        <v xml:space="preserve">2170724513 </v>
      </c>
      <c r="G1809" s="14" t="str">
        <f t="shared" si="53"/>
        <v>ON1</v>
      </c>
      <c r="H1809" s="14" t="s">
        <v>21</v>
      </c>
      <c r="I1809" s="14" t="s">
        <v>288</v>
      </c>
      <c r="J1809" s="14" t="str">
        <f>""</f>
        <v/>
      </c>
      <c r="K1809" s="14" t="str">
        <f>"PFES1162731889_0001"</f>
        <v>PFES1162731889_0001</v>
      </c>
      <c r="L1809" s="14">
        <v>1</v>
      </c>
      <c r="M1809" s="14">
        <v>3</v>
      </c>
    </row>
    <row r="1810" spans="1:13">
      <c r="A1810" s="6">
        <v>43850</v>
      </c>
      <c r="B1810" s="7">
        <v>0.54375000000000007</v>
      </c>
      <c r="C1810" s="14" t="str">
        <f>"FES1162731868"</f>
        <v>FES1162731868</v>
      </c>
      <c r="D1810" s="14" t="s">
        <v>19</v>
      </c>
      <c r="E1810" s="14" t="s">
        <v>287</v>
      </c>
      <c r="F1810" s="14" t="str">
        <f>"2170724489 "</f>
        <v xml:space="preserve">2170724489 </v>
      </c>
      <c r="G1810" s="14" t="str">
        <f t="shared" si="53"/>
        <v>ON1</v>
      </c>
      <c r="H1810" s="14" t="s">
        <v>21</v>
      </c>
      <c r="I1810" s="14" t="s">
        <v>288</v>
      </c>
      <c r="J1810" s="14" t="str">
        <f>""</f>
        <v/>
      </c>
      <c r="K1810" s="14" t="str">
        <f>"PFES1162731868_0001"</f>
        <v>PFES1162731868_0001</v>
      </c>
      <c r="L1810" s="14">
        <v>1</v>
      </c>
      <c r="M1810" s="14">
        <v>1</v>
      </c>
    </row>
    <row r="1811" spans="1:13">
      <c r="A1811" s="6">
        <v>43850</v>
      </c>
      <c r="B1811" s="7">
        <v>0.54305555555555551</v>
      </c>
      <c r="C1811" s="14" t="str">
        <f>"FES1162731915"</f>
        <v>FES1162731915</v>
      </c>
      <c r="D1811" s="14" t="s">
        <v>19</v>
      </c>
      <c r="E1811" s="14" t="s">
        <v>37</v>
      </c>
      <c r="F1811" s="14" t="str">
        <f>"2170724544 "</f>
        <v xml:space="preserve">2170724544 </v>
      </c>
      <c r="G1811" s="14" t="str">
        <f t="shared" si="53"/>
        <v>ON1</v>
      </c>
      <c r="H1811" s="14" t="s">
        <v>21</v>
      </c>
      <c r="I1811" s="14" t="s">
        <v>38</v>
      </c>
      <c r="J1811" s="14" t="str">
        <f>""</f>
        <v/>
      </c>
      <c r="K1811" s="14" t="str">
        <f>"PFES1162731915_0001"</f>
        <v>PFES1162731915_0001</v>
      </c>
      <c r="L1811" s="14">
        <v>1</v>
      </c>
      <c r="M1811" s="14">
        <v>1</v>
      </c>
    </row>
    <row r="1812" spans="1:13">
      <c r="A1812" s="6">
        <v>43850</v>
      </c>
      <c r="B1812" s="7">
        <v>0.54236111111111118</v>
      </c>
      <c r="C1812" s="14" t="str">
        <f>"FES1162731867"</f>
        <v>FES1162731867</v>
      </c>
      <c r="D1812" s="14" t="s">
        <v>19</v>
      </c>
      <c r="E1812" s="14" t="s">
        <v>606</v>
      </c>
      <c r="F1812" s="14" t="str">
        <f>"2170724222 "</f>
        <v xml:space="preserve">2170724222 </v>
      </c>
      <c r="G1812" s="14" t="str">
        <f t="shared" si="53"/>
        <v>ON1</v>
      </c>
      <c r="H1812" s="14" t="s">
        <v>21</v>
      </c>
      <c r="I1812" s="14" t="s">
        <v>235</v>
      </c>
      <c r="J1812" s="14" t="str">
        <f>""</f>
        <v/>
      </c>
      <c r="K1812" s="14" t="str">
        <f>"PFES1162731867_0001"</f>
        <v>PFES1162731867_0001</v>
      </c>
      <c r="L1812" s="14">
        <v>1</v>
      </c>
      <c r="M1812" s="14">
        <v>1</v>
      </c>
    </row>
    <row r="1813" spans="1:13">
      <c r="A1813" s="6">
        <v>43850</v>
      </c>
      <c r="B1813" s="7">
        <v>0.54166666666666663</v>
      </c>
      <c r="C1813" s="14" t="str">
        <f>"FES1162731856"</f>
        <v>FES1162731856</v>
      </c>
      <c r="D1813" s="14" t="s">
        <v>19</v>
      </c>
      <c r="E1813" s="14" t="s">
        <v>708</v>
      </c>
      <c r="F1813" s="14" t="str">
        <f>"2170724476 "</f>
        <v xml:space="preserve">2170724476 </v>
      </c>
      <c r="G1813" s="14" t="str">
        <f t="shared" si="53"/>
        <v>ON1</v>
      </c>
      <c r="H1813" s="14" t="s">
        <v>21</v>
      </c>
      <c r="I1813" s="14" t="s">
        <v>601</v>
      </c>
      <c r="J1813" s="14" t="str">
        <f>""</f>
        <v/>
      </c>
      <c r="K1813" s="14" t="str">
        <f>"PFES1162731856_0001"</f>
        <v>PFES1162731856_0001</v>
      </c>
      <c r="L1813" s="14">
        <v>1</v>
      </c>
      <c r="M1813" s="14">
        <v>1</v>
      </c>
    </row>
    <row r="1814" spans="1:13">
      <c r="A1814" s="6">
        <v>43850</v>
      </c>
      <c r="B1814" s="7">
        <v>0.54027777777777775</v>
      </c>
      <c r="C1814" s="14" t="str">
        <f>"FES1162731891"</f>
        <v>FES1162731891</v>
      </c>
      <c r="D1814" s="14" t="s">
        <v>19</v>
      </c>
      <c r="E1814" s="14" t="s">
        <v>72</v>
      </c>
      <c r="F1814" s="14" t="str">
        <f>"2170724521 "</f>
        <v xml:space="preserve">2170724521 </v>
      </c>
      <c r="G1814" s="14" t="str">
        <f t="shared" si="53"/>
        <v>ON1</v>
      </c>
      <c r="H1814" s="14" t="s">
        <v>21</v>
      </c>
      <c r="I1814" s="14" t="s">
        <v>73</v>
      </c>
      <c r="J1814" s="14" t="str">
        <f>""</f>
        <v/>
      </c>
      <c r="K1814" s="14" t="str">
        <f>"PFES1162731891_0001"</f>
        <v>PFES1162731891_0001</v>
      </c>
      <c r="L1814" s="14">
        <v>1</v>
      </c>
      <c r="M1814" s="14">
        <v>1</v>
      </c>
    </row>
    <row r="1815" spans="1:13">
      <c r="A1815" s="6">
        <v>43850</v>
      </c>
      <c r="B1815" s="7">
        <v>0.5395833333333333</v>
      </c>
      <c r="C1815" s="14" t="str">
        <f>"FES1162731885"</f>
        <v>FES1162731885</v>
      </c>
      <c r="D1815" s="14" t="s">
        <v>19</v>
      </c>
      <c r="E1815" s="14" t="s">
        <v>770</v>
      </c>
      <c r="F1815" s="14" t="str">
        <f>"2170724506 "</f>
        <v xml:space="preserve">2170724506 </v>
      </c>
      <c r="G1815" s="14" t="str">
        <f t="shared" si="53"/>
        <v>ON1</v>
      </c>
      <c r="H1815" s="14" t="s">
        <v>21</v>
      </c>
      <c r="I1815" s="14" t="s">
        <v>249</v>
      </c>
      <c r="J1815" s="14" t="str">
        <f>""</f>
        <v/>
      </c>
      <c r="K1815" s="14" t="str">
        <f>"PFES1162731885_0001"</f>
        <v>PFES1162731885_0001</v>
      </c>
      <c r="L1815" s="14">
        <v>1</v>
      </c>
      <c r="M1815" s="14">
        <v>1</v>
      </c>
    </row>
    <row r="1816" spans="1:13">
      <c r="A1816" s="6">
        <v>43850</v>
      </c>
      <c r="B1816" s="7">
        <v>0.53819444444444442</v>
      </c>
      <c r="C1816" s="14" t="str">
        <f>"FES1162731899"</f>
        <v>FES1162731899</v>
      </c>
      <c r="D1816" s="14" t="s">
        <v>19</v>
      </c>
      <c r="E1816" s="14" t="s">
        <v>555</v>
      </c>
      <c r="F1816" s="14" t="str">
        <f>"2170724531 "</f>
        <v xml:space="preserve">2170724531 </v>
      </c>
      <c r="G1816" s="14" t="str">
        <f t="shared" si="53"/>
        <v>ON1</v>
      </c>
      <c r="H1816" s="14" t="s">
        <v>21</v>
      </c>
      <c r="I1816" s="14" t="s">
        <v>112</v>
      </c>
      <c r="J1816" s="14" t="str">
        <f>""</f>
        <v/>
      </c>
      <c r="K1816" s="14" t="str">
        <f>"PFES1162731899_0001"</f>
        <v>PFES1162731899_0001</v>
      </c>
      <c r="L1816" s="14">
        <v>1</v>
      </c>
      <c r="M1816" s="14">
        <v>1</v>
      </c>
    </row>
    <row r="1817" spans="1:13">
      <c r="A1817" s="6">
        <v>43850</v>
      </c>
      <c r="B1817" s="7">
        <v>0.53680555555555554</v>
      </c>
      <c r="C1817" s="14" t="str">
        <f>"FES1162731893"</f>
        <v>FES1162731893</v>
      </c>
      <c r="D1817" s="14" t="s">
        <v>19</v>
      </c>
      <c r="E1817" s="14" t="s">
        <v>446</v>
      </c>
      <c r="F1817" s="14" t="str">
        <f>"2170724523 "</f>
        <v xml:space="preserve">2170724523 </v>
      </c>
      <c r="G1817" s="14" t="str">
        <f t="shared" si="53"/>
        <v>ON1</v>
      </c>
      <c r="H1817" s="14" t="s">
        <v>21</v>
      </c>
      <c r="I1817" s="14" t="s">
        <v>53</v>
      </c>
      <c r="J1817" s="14" t="str">
        <f>""</f>
        <v/>
      </c>
      <c r="K1817" s="14" t="str">
        <f>"PFES1162731893_0001"</f>
        <v>PFES1162731893_0001</v>
      </c>
      <c r="L1817" s="14">
        <v>1</v>
      </c>
      <c r="M1817" s="14">
        <v>1</v>
      </c>
    </row>
    <row r="1818" spans="1:13">
      <c r="A1818" s="6">
        <v>43850</v>
      </c>
      <c r="B1818" s="7">
        <v>0.53611111111111109</v>
      </c>
      <c r="C1818" s="14" t="str">
        <f>"FES1162731839"</f>
        <v>FES1162731839</v>
      </c>
      <c r="D1818" s="14" t="s">
        <v>19</v>
      </c>
      <c r="E1818" s="14" t="s">
        <v>365</v>
      </c>
      <c r="F1818" s="14" t="str">
        <f>"2170722699 "</f>
        <v xml:space="preserve">2170722699 </v>
      </c>
      <c r="G1818" s="14" t="str">
        <f t="shared" si="53"/>
        <v>ON1</v>
      </c>
      <c r="H1818" s="14" t="s">
        <v>21</v>
      </c>
      <c r="I1818" s="14" t="s">
        <v>366</v>
      </c>
      <c r="J1818" s="14" t="str">
        <f>""</f>
        <v/>
      </c>
      <c r="K1818" s="14" t="str">
        <f>"PFES1162731839_0001"</f>
        <v>PFES1162731839_0001</v>
      </c>
      <c r="L1818" s="14">
        <v>1</v>
      </c>
      <c r="M1818" s="14">
        <v>1</v>
      </c>
    </row>
    <row r="1819" spans="1:13">
      <c r="A1819" s="6">
        <v>43850</v>
      </c>
      <c r="B1819" s="7">
        <v>0.53472222222222221</v>
      </c>
      <c r="C1819" s="14" t="str">
        <f>"FES1162731892"</f>
        <v>FES1162731892</v>
      </c>
      <c r="D1819" s="14" t="s">
        <v>19</v>
      </c>
      <c r="E1819" s="14" t="s">
        <v>72</v>
      </c>
      <c r="F1819" s="14" t="str">
        <f>"2170724522 "</f>
        <v xml:space="preserve">2170724522 </v>
      </c>
      <c r="G1819" s="14" t="str">
        <f t="shared" si="53"/>
        <v>ON1</v>
      </c>
      <c r="H1819" s="14" t="s">
        <v>21</v>
      </c>
      <c r="I1819" s="14" t="s">
        <v>73</v>
      </c>
      <c r="J1819" s="14" t="str">
        <f>""</f>
        <v/>
      </c>
      <c r="K1819" s="14" t="str">
        <f>"PFES1162731892_0001"</f>
        <v>PFES1162731892_0001</v>
      </c>
      <c r="L1819" s="14">
        <v>1</v>
      </c>
      <c r="M1819" s="14">
        <v>1</v>
      </c>
    </row>
    <row r="1820" spans="1:13">
      <c r="A1820" s="6">
        <v>43850</v>
      </c>
      <c r="B1820" s="7">
        <v>0.50624999999999998</v>
      </c>
      <c r="C1820" s="14" t="str">
        <f>"FES1162731898"</f>
        <v>FES1162731898</v>
      </c>
      <c r="D1820" s="14" t="s">
        <v>19</v>
      </c>
      <c r="E1820" s="14" t="s">
        <v>279</v>
      </c>
      <c r="F1820" s="14" t="str">
        <f>"21707234529 "</f>
        <v xml:space="preserve">21707234529 </v>
      </c>
      <c r="G1820" s="14" t="str">
        <f t="shared" si="53"/>
        <v>ON1</v>
      </c>
      <c r="H1820" s="14" t="s">
        <v>21</v>
      </c>
      <c r="I1820" s="14" t="s">
        <v>69</v>
      </c>
      <c r="J1820" s="14" t="str">
        <f>""</f>
        <v/>
      </c>
      <c r="K1820" s="14" t="str">
        <f>"PFES1162731898_0001"</f>
        <v>PFES1162731898_0001</v>
      </c>
      <c r="L1820" s="14">
        <v>1</v>
      </c>
      <c r="M1820" s="14">
        <v>4</v>
      </c>
    </row>
    <row r="1821" spans="1:13">
      <c r="A1821" s="6">
        <v>43850</v>
      </c>
      <c r="B1821" s="7">
        <v>0.50555555555555554</v>
      </c>
      <c r="C1821" s="14" t="str">
        <f>"FES1162731896"</f>
        <v>FES1162731896</v>
      </c>
      <c r="D1821" s="14" t="s">
        <v>19</v>
      </c>
      <c r="E1821" s="14" t="s">
        <v>259</v>
      </c>
      <c r="F1821" s="14" t="str">
        <f>"2170724528 "</f>
        <v xml:space="preserve">2170724528 </v>
      </c>
      <c r="G1821" s="14" t="str">
        <f t="shared" si="53"/>
        <v>ON1</v>
      </c>
      <c r="H1821" s="14" t="s">
        <v>21</v>
      </c>
      <c r="I1821" s="14" t="s">
        <v>260</v>
      </c>
      <c r="J1821" s="14" t="str">
        <f>""</f>
        <v/>
      </c>
      <c r="K1821" s="14" t="str">
        <f>"PFES1162731896_0001"</f>
        <v>PFES1162731896_0001</v>
      </c>
      <c r="L1821" s="14">
        <v>1</v>
      </c>
      <c r="M1821" s="14">
        <v>1</v>
      </c>
    </row>
    <row r="1822" spans="1:13">
      <c r="A1822" s="6">
        <v>43850</v>
      </c>
      <c r="B1822" s="7">
        <v>0.50555555555555554</v>
      </c>
      <c r="C1822" s="14" t="str">
        <f>"FES1162731825"</f>
        <v>FES1162731825</v>
      </c>
      <c r="D1822" s="14" t="s">
        <v>19</v>
      </c>
      <c r="E1822" s="14" t="s">
        <v>549</v>
      </c>
      <c r="F1822" s="14" t="str">
        <f>"2170724432 "</f>
        <v xml:space="preserve">2170724432 </v>
      </c>
      <c r="G1822" s="14" t="str">
        <f t="shared" si="53"/>
        <v>ON1</v>
      </c>
      <c r="H1822" s="14" t="s">
        <v>21</v>
      </c>
      <c r="I1822" s="14" t="s">
        <v>550</v>
      </c>
      <c r="J1822" s="14" t="str">
        <f>""</f>
        <v/>
      </c>
      <c r="K1822" s="14" t="str">
        <f>"PFES1162731825_0001"</f>
        <v>PFES1162731825_0001</v>
      </c>
      <c r="L1822" s="14">
        <v>1</v>
      </c>
      <c r="M1822" s="14">
        <v>2</v>
      </c>
    </row>
    <row r="1823" spans="1:13">
      <c r="A1823" s="6">
        <v>43850</v>
      </c>
      <c r="B1823" s="7">
        <v>0.50555555555555554</v>
      </c>
      <c r="C1823" s="14" t="str">
        <f>"FES1162731804"</f>
        <v>FES1162731804</v>
      </c>
      <c r="D1823" s="14" t="s">
        <v>19</v>
      </c>
      <c r="E1823" s="14" t="s">
        <v>735</v>
      </c>
      <c r="F1823" s="14" t="str">
        <f>"2170724445 "</f>
        <v xml:space="preserve">2170724445 </v>
      </c>
      <c r="G1823" s="14" t="str">
        <f t="shared" si="53"/>
        <v>ON1</v>
      </c>
      <c r="H1823" s="14" t="s">
        <v>21</v>
      </c>
      <c r="I1823" s="14" t="s">
        <v>175</v>
      </c>
      <c r="J1823" s="14" t="str">
        <f>""</f>
        <v/>
      </c>
      <c r="K1823" s="14" t="str">
        <f>"PFES1162731804_0001"</f>
        <v>PFES1162731804_0001</v>
      </c>
      <c r="L1823" s="14">
        <v>1</v>
      </c>
      <c r="M1823" s="14">
        <v>2</v>
      </c>
    </row>
    <row r="1824" spans="1:13">
      <c r="A1824" s="6">
        <v>43850</v>
      </c>
      <c r="B1824" s="7">
        <v>0.50486111111111109</v>
      </c>
      <c r="C1824" s="14" t="str">
        <f>"FES1162730639"</f>
        <v>FES1162730639</v>
      </c>
      <c r="D1824" s="14" t="s">
        <v>19</v>
      </c>
      <c r="E1824" s="14" t="s">
        <v>830</v>
      </c>
      <c r="F1824" s="14" t="str">
        <f>"2170722450 "</f>
        <v xml:space="preserve">2170722450 </v>
      </c>
      <c r="G1824" s="14" t="str">
        <f t="shared" si="53"/>
        <v>ON1</v>
      </c>
      <c r="H1824" s="14" t="s">
        <v>21</v>
      </c>
      <c r="I1824" s="14" t="s">
        <v>247</v>
      </c>
      <c r="J1824" s="14" t="str">
        <f>""</f>
        <v/>
      </c>
      <c r="K1824" s="14" t="str">
        <f>"PFES1162730639_0001"</f>
        <v>PFES1162730639_0001</v>
      </c>
      <c r="L1824" s="14">
        <v>1</v>
      </c>
      <c r="M1824" s="14">
        <v>4</v>
      </c>
    </row>
    <row r="1825" spans="1:13">
      <c r="A1825" s="6">
        <v>43850</v>
      </c>
      <c r="B1825" s="7">
        <v>0.50486111111111109</v>
      </c>
      <c r="C1825" s="14" t="str">
        <f>"FES1162731881"</f>
        <v>FES1162731881</v>
      </c>
      <c r="D1825" s="14" t="s">
        <v>19</v>
      </c>
      <c r="E1825" s="14" t="s">
        <v>273</v>
      </c>
      <c r="F1825" s="14" t="str">
        <f>"2170724502 "</f>
        <v xml:space="preserve">2170724502 </v>
      </c>
      <c r="G1825" s="14" t="str">
        <f t="shared" si="53"/>
        <v>ON1</v>
      </c>
      <c r="H1825" s="14" t="s">
        <v>21</v>
      </c>
      <c r="I1825" s="14" t="s">
        <v>274</v>
      </c>
      <c r="J1825" s="14" t="str">
        <f>""</f>
        <v/>
      </c>
      <c r="K1825" s="14" t="str">
        <f>"PFES1162731881_0001"</f>
        <v>PFES1162731881_0001</v>
      </c>
      <c r="L1825" s="14">
        <v>1</v>
      </c>
      <c r="M1825" s="14">
        <v>1</v>
      </c>
    </row>
    <row r="1826" spans="1:13">
      <c r="A1826" s="6">
        <v>43850</v>
      </c>
      <c r="B1826" s="7">
        <v>0.50486111111111109</v>
      </c>
      <c r="C1826" s="14" t="str">
        <f>"FES1162731823"</f>
        <v>FES1162731823</v>
      </c>
      <c r="D1826" s="14" t="s">
        <v>19</v>
      </c>
      <c r="E1826" s="14" t="s">
        <v>101</v>
      </c>
      <c r="F1826" s="14" t="str">
        <f>"2170724460 "</f>
        <v xml:space="preserve">2170724460 </v>
      </c>
      <c r="G1826" s="14" t="str">
        <f t="shared" si="53"/>
        <v>ON1</v>
      </c>
      <c r="H1826" s="14" t="s">
        <v>21</v>
      </c>
      <c r="I1826" s="14" t="s">
        <v>102</v>
      </c>
      <c r="J1826" s="14" t="str">
        <f>""</f>
        <v/>
      </c>
      <c r="K1826" s="14" t="str">
        <f>"PFES1162731823_0001"</f>
        <v>PFES1162731823_0001</v>
      </c>
      <c r="L1826" s="14">
        <v>1</v>
      </c>
      <c r="M1826" s="14">
        <v>4</v>
      </c>
    </row>
    <row r="1827" spans="1:13">
      <c r="A1827" s="6">
        <v>43850</v>
      </c>
      <c r="B1827" s="7">
        <v>0.50416666666666665</v>
      </c>
      <c r="C1827" s="14" t="str">
        <f>"FES1162731842"</f>
        <v>FES1162731842</v>
      </c>
      <c r="D1827" s="14" t="s">
        <v>19</v>
      </c>
      <c r="E1827" s="14" t="s">
        <v>214</v>
      </c>
      <c r="F1827" s="14" t="str">
        <f>"21707228814 "</f>
        <v xml:space="preserve">21707228814 </v>
      </c>
      <c r="G1827" s="14" t="str">
        <f t="shared" si="53"/>
        <v>ON1</v>
      </c>
      <c r="H1827" s="14" t="s">
        <v>21</v>
      </c>
      <c r="I1827" s="14" t="s">
        <v>215</v>
      </c>
      <c r="J1827" s="14" t="str">
        <f>""</f>
        <v/>
      </c>
      <c r="K1827" s="14" t="str">
        <f>"PFES1162731842_0001"</f>
        <v>PFES1162731842_0001</v>
      </c>
      <c r="L1827" s="14">
        <v>1</v>
      </c>
      <c r="M1827" s="14">
        <v>1</v>
      </c>
    </row>
    <row r="1828" spans="1:13">
      <c r="A1828" s="6">
        <v>43850</v>
      </c>
      <c r="B1828" s="7">
        <v>0.50416666666666665</v>
      </c>
      <c r="C1828" s="14" t="str">
        <f>"FES1162731846"</f>
        <v>FES1162731846</v>
      </c>
      <c r="D1828" s="14" t="s">
        <v>19</v>
      </c>
      <c r="E1828" s="14" t="s">
        <v>214</v>
      </c>
      <c r="F1828" s="14" t="str">
        <f>"2170722862 "</f>
        <v xml:space="preserve">2170722862 </v>
      </c>
      <c r="G1828" s="14" t="str">
        <f t="shared" si="53"/>
        <v>ON1</v>
      </c>
      <c r="H1828" s="14" t="s">
        <v>21</v>
      </c>
      <c r="I1828" s="14" t="s">
        <v>215</v>
      </c>
      <c r="J1828" s="14" t="str">
        <f>""</f>
        <v/>
      </c>
      <c r="K1828" s="14" t="str">
        <f>"PFES1162731846_0001"</f>
        <v>PFES1162731846_0001</v>
      </c>
      <c r="L1828" s="14">
        <v>1</v>
      </c>
      <c r="M1828" s="14">
        <v>2</v>
      </c>
    </row>
    <row r="1829" spans="1:13">
      <c r="A1829" s="6">
        <v>43850</v>
      </c>
      <c r="B1829" s="7">
        <v>0.50347222222222221</v>
      </c>
      <c r="C1829" s="14" t="str">
        <f>"FES1162731847"</f>
        <v>FES1162731847</v>
      </c>
      <c r="D1829" s="14" t="s">
        <v>19</v>
      </c>
      <c r="E1829" s="14" t="s">
        <v>831</v>
      </c>
      <c r="F1829" s="14" t="str">
        <f>"2170722864 "</f>
        <v xml:space="preserve">2170722864 </v>
      </c>
      <c r="G1829" s="14" t="str">
        <f t="shared" si="53"/>
        <v>ON1</v>
      </c>
      <c r="H1829" s="14" t="s">
        <v>21</v>
      </c>
      <c r="I1829" s="14" t="s">
        <v>121</v>
      </c>
      <c r="J1829" s="14" t="str">
        <f>""</f>
        <v/>
      </c>
      <c r="K1829" s="14" t="str">
        <f>"PFES1162731847_0001"</f>
        <v>PFES1162731847_0001</v>
      </c>
      <c r="L1829" s="14">
        <v>1</v>
      </c>
      <c r="M1829" s="14">
        <v>2</v>
      </c>
    </row>
    <row r="1830" spans="1:13">
      <c r="A1830" s="6">
        <v>43850</v>
      </c>
      <c r="B1830" s="7">
        <v>0.50347222222222221</v>
      </c>
      <c r="C1830" s="14" t="str">
        <f>"FES1162731806"</f>
        <v>FES1162731806</v>
      </c>
      <c r="D1830" s="14" t="s">
        <v>19</v>
      </c>
      <c r="E1830" s="14" t="s">
        <v>62</v>
      </c>
      <c r="F1830" s="14" t="str">
        <f>"2170719697 "</f>
        <v xml:space="preserve">2170719697 </v>
      </c>
      <c r="G1830" s="14" t="str">
        <f t="shared" si="53"/>
        <v>ON1</v>
      </c>
      <c r="H1830" s="14" t="s">
        <v>21</v>
      </c>
      <c r="I1830" s="14" t="s">
        <v>63</v>
      </c>
      <c r="J1830" s="14" t="str">
        <f>""</f>
        <v/>
      </c>
      <c r="K1830" s="14" t="str">
        <f>"PFES1162731806_0001"</f>
        <v>PFES1162731806_0001</v>
      </c>
      <c r="L1830" s="14">
        <v>1</v>
      </c>
      <c r="M1830" s="14">
        <v>8</v>
      </c>
    </row>
    <row r="1831" spans="1:13">
      <c r="A1831" s="6">
        <v>43850</v>
      </c>
      <c r="B1831" s="7">
        <v>0.6069444444444444</v>
      </c>
      <c r="C1831" s="14" t="str">
        <f>"FES1162731934"</f>
        <v>FES1162731934</v>
      </c>
      <c r="D1831" s="14" t="s">
        <v>19</v>
      </c>
      <c r="E1831" s="14" t="s">
        <v>768</v>
      </c>
      <c r="F1831" s="14" t="str">
        <f>"2170724555 "</f>
        <v xml:space="preserve">2170724555 </v>
      </c>
      <c r="G1831" s="14" t="str">
        <f t="shared" si="53"/>
        <v>ON1</v>
      </c>
      <c r="H1831" s="14" t="s">
        <v>21</v>
      </c>
      <c r="I1831" s="14" t="s">
        <v>769</v>
      </c>
      <c r="J1831" s="14" t="str">
        <f>""</f>
        <v/>
      </c>
      <c r="K1831" s="14" t="str">
        <f>"PFES1162731934_0001"</f>
        <v>PFES1162731934_0001</v>
      </c>
      <c r="L1831" s="14">
        <v>1</v>
      </c>
      <c r="M1831" s="14">
        <v>1</v>
      </c>
    </row>
    <row r="1832" spans="1:13">
      <c r="A1832" s="6">
        <v>43850</v>
      </c>
      <c r="B1832" s="7">
        <v>0.60625000000000007</v>
      </c>
      <c r="C1832" s="14" t="str">
        <f>"FES1162731902"</f>
        <v>FES1162731902</v>
      </c>
      <c r="D1832" s="14" t="s">
        <v>19</v>
      </c>
      <c r="E1832" s="14" t="s">
        <v>199</v>
      </c>
      <c r="F1832" s="14" t="str">
        <f>"2170724532 "</f>
        <v xml:space="preserve">2170724532 </v>
      </c>
      <c r="G1832" s="14" t="str">
        <f t="shared" si="53"/>
        <v>ON1</v>
      </c>
      <c r="H1832" s="14" t="s">
        <v>21</v>
      </c>
      <c r="I1832" s="14" t="s">
        <v>200</v>
      </c>
      <c r="J1832" s="14" t="str">
        <f>""</f>
        <v/>
      </c>
      <c r="K1832" s="14" t="str">
        <f>"PFES1162731902_0001"</f>
        <v>PFES1162731902_0001</v>
      </c>
      <c r="L1832" s="14">
        <v>1</v>
      </c>
      <c r="M1832" s="14">
        <v>1</v>
      </c>
    </row>
    <row r="1833" spans="1:13">
      <c r="A1833" s="6">
        <v>43850</v>
      </c>
      <c r="B1833" s="7">
        <v>0.60555555555555551</v>
      </c>
      <c r="C1833" s="14" t="str">
        <f>"FES1162731947"</f>
        <v>FES1162731947</v>
      </c>
      <c r="D1833" s="14" t="s">
        <v>19</v>
      </c>
      <c r="E1833" s="14" t="s">
        <v>832</v>
      </c>
      <c r="F1833" s="14" t="str">
        <f>"2170724570 "</f>
        <v xml:space="preserve">2170724570 </v>
      </c>
      <c r="G1833" s="14" t="str">
        <f t="shared" ref="G1833:G1894" si="54">"ON1"</f>
        <v>ON1</v>
      </c>
      <c r="H1833" s="14" t="s">
        <v>21</v>
      </c>
      <c r="I1833" s="14" t="s">
        <v>833</v>
      </c>
      <c r="J1833" s="14" t="str">
        <f>""</f>
        <v/>
      </c>
      <c r="K1833" s="14" t="str">
        <f>"PFES1162731947_0001"</f>
        <v>PFES1162731947_0001</v>
      </c>
      <c r="L1833" s="14">
        <v>1</v>
      </c>
      <c r="M1833" s="14">
        <v>1</v>
      </c>
    </row>
    <row r="1834" spans="1:13">
      <c r="A1834" s="6">
        <v>43850</v>
      </c>
      <c r="B1834" s="7">
        <v>0.60486111111111118</v>
      </c>
      <c r="C1834" s="14" t="str">
        <f>"FES1162731949"</f>
        <v>FES1162731949</v>
      </c>
      <c r="D1834" s="14" t="s">
        <v>19</v>
      </c>
      <c r="E1834" s="14" t="s">
        <v>450</v>
      </c>
      <c r="F1834" s="14" t="str">
        <f>"2170724572 "</f>
        <v xml:space="preserve">2170724572 </v>
      </c>
      <c r="G1834" s="14" t="str">
        <f t="shared" si="54"/>
        <v>ON1</v>
      </c>
      <c r="H1834" s="14" t="s">
        <v>21</v>
      </c>
      <c r="I1834" s="14" t="s">
        <v>451</v>
      </c>
      <c r="J1834" s="14" t="str">
        <f>""</f>
        <v/>
      </c>
      <c r="K1834" s="14" t="str">
        <f>"PFES1162731949_0001"</f>
        <v>PFES1162731949_0001</v>
      </c>
      <c r="L1834" s="14">
        <v>1</v>
      </c>
      <c r="M1834" s="14">
        <v>1</v>
      </c>
    </row>
    <row r="1835" spans="1:13">
      <c r="A1835" s="6">
        <v>43850</v>
      </c>
      <c r="B1835" s="7">
        <v>0.60416666666666663</v>
      </c>
      <c r="C1835" s="14" t="str">
        <f>"FES1162731955"</f>
        <v>FES1162731955</v>
      </c>
      <c r="D1835" s="14" t="s">
        <v>19</v>
      </c>
      <c r="E1835" s="14" t="s">
        <v>113</v>
      </c>
      <c r="F1835" s="14" t="str">
        <f>"2170724577 "</f>
        <v xml:space="preserve">2170724577 </v>
      </c>
      <c r="G1835" s="14" t="str">
        <f t="shared" si="54"/>
        <v>ON1</v>
      </c>
      <c r="H1835" s="14" t="s">
        <v>21</v>
      </c>
      <c r="I1835" s="14" t="s">
        <v>114</v>
      </c>
      <c r="J1835" s="14" t="str">
        <f>""</f>
        <v/>
      </c>
      <c r="K1835" s="14" t="str">
        <f>"PFES1162731955_0001"</f>
        <v>PFES1162731955_0001</v>
      </c>
      <c r="L1835" s="14">
        <v>1</v>
      </c>
      <c r="M1835" s="14">
        <v>1</v>
      </c>
    </row>
    <row r="1836" spans="1:13">
      <c r="A1836" s="6">
        <v>43850</v>
      </c>
      <c r="B1836" s="7">
        <v>0.50277777777777777</v>
      </c>
      <c r="C1836" s="14" t="str">
        <f>"FES1162731831"</f>
        <v>FES1162731831</v>
      </c>
      <c r="D1836" s="14" t="s">
        <v>19</v>
      </c>
      <c r="E1836" s="14" t="s">
        <v>218</v>
      </c>
      <c r="F1836" s="14" t="str">
        <f>"2170719968 "</f>
        <v xml:space="preserve">2170719968 </v>
      </c>
      <c r="G1836" s="14" t="str">
        <f t="shared" si="54"/>
        <v>ON1</v>
      </c>
      <c r="H1836" s="14" t="s">
        <v>21</v>
      </c>
      <c r="I1836" s="14" t="s">
        <v>49</v>
      </c>
      <c r="J1836" s="14" t="str">
        <f>""</f>
        <v/>
      </c>
      <c r="K1836" s="14" t="str">
        <f>"PFES1162731831_0001"</f>
        <v>PFES1162731831_0001</v>
      </c>
      <c r="L1836" s="14">
        <v>1</v>
      </c>
      <c r="M1836" s="14">
        <v>6</v>
      </c>
    </row>
    <row r="1837" spans="1:13">
      <c r="A1837" s="6">
        <v>43850</v>
      </c>
      <c r="B1837" s="7">
        <v>0.50277777777777777</v>
      </c>
      <c r="C1837" s="14" t="str">
        <f>"FES1162731830"</f>
        <v>FES1162731830</v>
      </c>
      <c r="D1837" s="14" t="s">
        <v>19</v>
      </c>
      <c r="E1837" s="14" t="s">
        <v>62</v>
      </c>
      <c r="F1837" s="14" t="str">
        <f>"2170722827 "</f>
        <v xml:space="preserve">2170722827 </v>
      </c>
      <c r="G1837" s="14" t="str">
        <f t="shared" si="54"/>
        <v>ON1</v>
      </c>
      <c r="H1837" s="14" t="s">
        <v>21</v>
      </c>
      <c r="I1837" s="14" t="s">
        <v>63</v>
      </c>
      <c r="J1837" s="14" t="str">
        <f>""</f>
        <v/>
      </c>
      <c r="K1837" s="14" t="str">
        <f>"PFES1162731830_0001"</f>
        <v>PFES1162731830_0001</v>
      </c>
      <c r="L1837" s="14">
        <v>1</v>
      </c>
      <c r="M1837" s="14">
        <v>3</v>
      </c>
    </row>
    <row r="1838" spans="1:13">
      <c r="A1838" s="6">
        <v>43850</v>
      </c>
      <c r="B1838" s="7">
        <v>0.50208333333333333</v>
      </c>
      <c r="C1838" s="14" t="str">
        <f>"FES1162731789"</f>
        <v>FES1162731789</v>
      </c>
      <c r="D1838" s="14" t="s">
        <v>19</v>
      </c>
      <c r="E1838" s="14" t="s">
        <v>427</v>
      </c>
      <c r="F1838" s="14" t="str">
        <f>"2170724360 "</f>
        <v xml:space="preserve">2170724360 </v>
      </c>
      <c r="G1838" s="14" t="str">
        <f t="shared" si="54"/>
        <v>ON1</v>
      </c>
      <c r="H1838" s="14" t="s">
        <v>21</v>
      </c>
      <c r="I1838" s="14" t="s">
        <v>428</v>
      </c>
      <c r="J1838" s="14" t="str">
        <f>""</f>
        <v/>
      </c>
      <c r="K1838" s="14" t="str">
        <f>"PFES1162731789_0001"</f>
        <v>PFES1162731789_0001</v>
      </c>
      <c r="L1838" s="14">
        <v>1</v>
      </c>
      <c r="M1838" s="14">
        <v>1</v>
      </c>
    </row>
    <row r="1839" spans="1:13">
      <c r="A1839" s="6">
        <v>43850</v>
      </c>
      <c r="B1839" s="7">
        <v>0.50138888888888888</v>
      </c>
      <c r="C1839" s="14" t="str">
        <f>"FES1162731783"</f>
        <v>FES1162731783</v>
      </c>
      <c r="D1839" s="14" t="s">
        <v>19</v>
      </c>
      <c r="E1839" s="14" t="s">
        <v>598</v>
      </c>
      <c r="F1839" s="14" t="str">
        <f>"2170723583 "</f>
        <v xml:space="preserve">2170723583 </v>
      </c>
      <c r="G1839" s="14" t="str">
        <f t="shared" si="54"/>
        <v>ON1</v>
      </c>
      <c r="H1839" s="14" t="s">
        <v>21</v>
      </c>
      <c r="I1839" s="14" t="s">
        <v>31</v>
      </c>
      <c r="J1839" s="14" t="str">
        <f>""</f>
        <v/>
      </c>
      <c r="K1839" s="14" t="str">
        <f>"PFES1162731783_0001"</f>
        <v>PFES1162731783_0001</v>
      </c>
      <c r="L1839" s="14">
        <v>1</v>
      </c>
      <c r="M1839" s="14">
        <v>1</v>
      </c>
    </row>
    <row r="1840" spans="1:13">
      <c r="A1840" s="6">
        <v>43850</v>
      </c>
      <c r="B1840" s="7">
        <v>0.50138888888888888</v>
      </c>
      <c r="C1840" s="14" t="str">
        <f>"FES1162731782"</f>
        <v>FES1162731782</v>
      </c>
      <c r="D1840" s="14" t="s">
        <v>19</v>
      </c>
      <c r="E1840" s="14" t="s">
        <v>598</v>
      </c>
      <c r="F1840" s="14" t="str">
        <f>"2170723582 "</f>
        <v xml:space="preserve">2170723582 </v>
      </c>
      <c r="G1840" s="14" t="str">
        <f t="shared" si="54"/>
        <v>ON1</v>
      </c>
      <c r="H1840" s="14" t="s">
        <v>21</v>
      </c>
      <c r="I1840" s="14" t="s">
        <v>31</v>
      </c>
      <c r="J1840" s="14" t="str">
        <f>""</f>
        <v/>
      </c>
      <c r="K1840" s="14" t="str">
        <f>"PFES1162731782_0001"</f>
        <v>PFES1162731782_0001</v>
      </c>
      <c r="L1840" s="14">
        <v>1</v>
      </c>
      <c r="M1840" s="14">
        <v>3</v>
      </c>
    </row>
    <row r="1841" spans="1:13">
      <c r="A1841" s="6">
        <v>43850</v>
      </c>
      <c r="B1841" s="7">
        <v>0.5</v>
      </c>
      <c r="C1841" s="14" t="str">
        <f>"FES1162731809"</f>
        <v>FES1162731809</v>
      </c>
      <c r="D1841" s="14" t="s">
        <v>19</v>
      </c>
      <c r="E1841" s="14" t="s">
        <v>304</v>
      </c>
      <c r="F1841" s="14" t="str">
        <f>"2170722081 "</f>
        <v xml:space="preserve">2170722081 </v>
      </c>
      <c r="G1841" s="14" t="str">
        <f t="shared" si="54"/>
        <v>ON1</v>
      </c>
      <c r="H1841" s="14" t="s">
        <v>21</v>
      </c>
      <c r="I1841" s="14" t="s">
        <v>305</v>
      </c>
      <c r="J1841" s="14" t="str">
        <f>""</f>
        <v/>
      </c>
      <c r="K1841" s="14" t="str">
        <f>"PFES1162731809_0001"</f>
        <v>PFES1162731809_0001</v>
      </c>
      <c r="L1841" s="14">
        <v>1</v>
      </c>
      <c r="M1841" s="14">
        <v>1</v>
      </c>
    </row>
    <row r="1842" spans="1:13">
      <c r="A1842" s="6">
        <v>43850</v>
      </c>
      <c r="B1842" s="7">
        <v>0.4993055555555555</v>
      </c>
      <c r="C1842" s="14" t="str">
        <f>"FES1162731794"</f>
        <v>FES1162731794</v>
      </c>
      <c r="D1842" s="14" t="s">
        <v>19</v>
      </c>
      <c r="E1842" s="14" t="s">
        <v>331</v>
      </c>
      <c r="F1842" s="14" t="str">
        <f>"2170724425 "</f>
        <v xml:space="preserve">2170724425 </v>
      </c>
      <c r="G1842" s="14" t="str">
        <f t="shared" si="54"/>
        <v>ON1</v>
      </c>
      <c r="H1842" s="14" t="s">
        <v>21</v>
      </c>
      <c r="I1842" s="14" t="s">
        <v>303</v>
      </c>
      <c r="J1842" s="14" t="str">
        <f>""</f>
        <v/>
      </c>
      <c r="K1842" s="14" t="str">
        <f>"PFES1162731794_0001"</f>
        <v>PFES1162731794_0001</v>
      </c>
      <c r="L1842" s="14">
        <v>1</v>
      </c>
      <c r="M1842" s="14">
        <v>2</v>
      </c>
    </row>
    <row r="1843" spans="1:13">
      <c r="A1843" s="6">
        <v>43850</v>
      </c>
      <c r="B1843" s="7">
        <v>0.49861111111111112</v>
      </c>
      <c r="C1843" s="14" t="str">
        <f>"FES1162731845"</f>
        <v>FES1162731845</v>
      </c>
      <c r="D1843" s="14" t="s">
        <v>19</v>
      </c>
      <c r="E1843" s="14" t="s">
        <v>164</v>
      </c>
      <c r="F1843" s="14" t="str">
        <f>"2170722837 "</f>
        <v xml:space="preserve">2170722837 </v>
      </c>
      <c r="G1843" s="14" t="str">
        <f t="shared" si="54"/>
        <v>ON1</v>
      </c>
      <c r="H1843" s="14" t="s">
        <v>21</v>
      </c>
      <c r="I1843" s="14" t="s">
        <v>165</v>
      </c>
      <c r="J1843" s="14" t="str">
        <f>""</f>
        <v/>
      </c>
      <c r="K1843" s="14" t="str">
        <f>"PFES1162731845_0001"</f>
        <v>PFES1162731845_0001</v>
      </c>
      <c r="L1843" s="14">
        <v>1</v>
      </c>
      <c r="M1843" s="14">
        <v>2</v>
      </c>
    </row>
    <row r="1844" spans="1:13">
      <c r="A1844" s="6">
        <v>43850</v>
      </c>
      <c r="B1844" s="7">
        <v>0.49861111111111112</v>
      </c>
      <c r="C1844" s="14" t="str">
        <f>"FES1162731785"</f>
        <v>FES1162731785</v>
      </c>
      <c r="D1844" s="14" t="s">
        <v>19</v>
      </c>
      <c r="E1844" s="14" t="s">
        <v>470</v>
      </c>
      <c r="F1844" s="14" t="str">
        <f>"2170723634 "</f>
        <v xml:space="preserve">2170723634 </v>
      </c>
      <c r="G1844" s="14" t="str">
        <f t="shared" si="54"/>
        <v>ON1</v>
      </c>
      <c r="H1844" s="14" t="s">
        <v>21</v>
      </c>
      <c r="I1844" s="14" t="s">
        <v>471</v>
      </c>
      <c r="J1844" s="14" t="str">
        <f>""</f>
        <v/>
      </c>
      <c r="K1844" s="14" t="str">
        <f>"PFES1162731785_0001"</f>
        <v>PFES1162731785_0001</v>
      </c>
      <c r="L1844" s="14">
        <v>1</v>
      </c>
      <c r="M1844" s="14">
        <v>2</v>
      </c>
    </row>
    <row r="1845" spans="1:13">
      <c r="A1845" s="6">
        <v>43850</v>
      </c>
      <c r="B1845" s="7">
        <v>0.49791666666666662</v>
      </c>
      <c r="C1845" s="14" t="str">
        <f>"FES1162731786"</f>
        <v>FES1162731786</v>
      </c>
      <c r="D1845" s="14" t="s">
        <v>19</v>
      </c>
      <c r="E1845" s="14" t="s">
        <v>470</v>
      </c>
      <c r="F1845" s="14" t="str">
        <f>"21707236325 "</f>
        <v xml:space="preserve">21707236325 </v>
      </c>
      <c r="G1845" s="14" t="str">
        <f t="shared" si="54"/>
        <v>ON1</v>
      </c>
      <c r="H1845" s="14" t="s">
        <v>21</v>
      </c>
      <c r="I1845" s="14" t="s">
        <v>471</v>
      </c>
      <c r="J1845" s="14" t="str">
        <f>""</f>
        <v/>
      </c>
      <c r="K1845" s="14" t="str">
        <f>"PFES1162731786_0001"</f>
        <v>PFES1162731786_0001</v>
      </c>
      <c r="L1845" s="14">
        <v>1</v>
      </c>
      <c r="M1845" s="14">
        <v>2</v>
      </c>
    </row>
    <row r="1846" spans="1:13">
      <c r="A1846" s="6">
        <v>43850</v>
      </c>
      <c r="B1846" s="7">
        <v>0.49791666666666662</v>
      </c>
      <c r="C1846" s="14" t="str">
        <f>"FES1162731807"</f>
        <v>FES1162731807</v>
      </c>
      <c r="D1846" s="14" t="s">
        <v>19</v>
      </c>
      <c r="E1846" s="14" t="s">
        <v>23</v>
      </c>
      <c r="F1846" s="14" t="str">
        <f>"21707206677 "</f>
        <v xml:space="preserve">21707206677 </v>
      </c>
      <c r="G1846" s="14" t="str">
        <f t="shared" si="54"/>
        <v>ON1</v>
      </c>
      <c r="H1846" s="14" t="s">
        <v>21</v>
      </c>
      <c r="I1846" s="14" t="s">
        <v>127</v>
      </c>
      <c r="J1846" s="14" t="str">
        <f>""</f>
        <v/>
      </c>
      <c r="K1846" s="14" t="str">
        <f>"PFES1162731807_0001"</f>
        <v>PFES1162731807_0001</v>
      </c>
      <c r="L1846" s="14">
        <v>1</v>
      </c>
      <c r="M1846" s="14">
        <v>4</v>
      </c>
    </row>
    <row r="1847" spans="1:13">
      <c r="A1847" s="6">
        <v>43850</v>
      </c>
      <c r="B1847" s="7">
        <v>0.49722222222222223</v>
      </c>
      <c r="C1847" s="14" t="str">
        <f>"FES1162731795"</f>
        <v>FES1162731795</v>
      </c>
      <c r="D1847" s="14" t="s">
        <v>19</v>
      </c>
      <c r="E1847" s="14" t="s">
        <v>751</v>
      </c>
      <c r="F1847" s="14" t="str">
        <f>"2170724428 "</f>
        <v xml:space="preserve">2170724428 </v>
      </c>
      <c r="G1847" s="14" t="str">
        <f t="shared" si="54"/>
        <v>ON1</v>
      </c>
      <c r="H1847" s="14" t="s">
        <v>21</v>
      </c>
      <c r="I1847" s="14" t="s">
        <v>96</v>
      </c>
      <c r="J1847" s="14" t="str">
        <f>""</f>
        <v/>
      </c>
      <c r="K1847" s="14" t="str">
        <f>"PFES1162731795_0001"</f>
        <v>PFES1162731795_0001</v>
      </c>
      <c r="L1847" s="14">
        <v>1</v>
      </c>
      <c r="M1847" s="14">
        <v>1</v>
      </c>
    </row>
    <row r="1848" spans="1:13">
      <c r="A1848" s="6">
        <v>43850</v>
      </c>
      <c r="B1848" s="7">
        <v>0.49722222222222223</v>
      </c>
      <c r="C1848" s="14" t="str">
        <f>"FES1162731829"</f>
        <v>FES1162731829</v>
      </c>
      <c r="D1848" s="14" t="s">
        <v>19</v>
      </c>
      <c r="E1848" s="14" t="s">
        <v>269</v>
      </c>
      <c r="F1848" s="14" t="str">
        <f>"2170721578 "</f>
        <v xml:space="preserve">2170721578 </v>
      </c>
      <c r="G1848" s="14" t="str">
        <f t="shared" si="54"/>
        <v>ON1</v>
      </c>
      <c r="H1848" s="14" t="s">
        <v>21</v>
      </c>
      <c r="I1848" s="14" t="s">
        <v>270</v>
      </c>
      <c r="J1848" s="14" t="str">
        <f>""</f>
        <v/>
      </c>
      <c r="K1848" s="14" t="str">
        <f>"PFES1162731829_0001"</f>
        <v>PFES1162731829_0001</v>
      </c>
      <c r="L1848" s="14">
        <v>1</v>
      </c>
      <c r="M1848" s="14">
        <v>11</v>
      </c>
    </row>
    <row r="1849" spans="1:13">
      <c r="A1849" s="6">
        <v>43850</v>
      </c>
      <c r="B1849" s="7">
        <v>0.49652777777777773</v>
      </c>
      <c r="C1849" s="14" t="str">
        <f>"FES1162731838"</f>
        <v>FES1162731838</v>
      </c>
      <c r="D1849" s="14" t="s">
        <v>19</v>
      </c>
      <c r="E1849" s="14" t="s">
        <v>147</v>
      </c>
      <c r="F1849" s="14" t="str">
        <f>"2170722426 "</f>
        <v xml:space="preserve">2170722426 </v>
      </c>
      <c r="G1849" s="14" t="str">
        <f t="shared" si="54"/>
        <v>ON1</v>
      </c>
      <c r="H1849" s="14" t="s">
        <v>21</v>
      </c>
      <c r="I1849" s="14" t="s">
        <v>148</v>
      </c>
      <c r="J1849" s="14" t="str">
        <f>""</f>
        <v/>
      </c>
      <c r="K1849" s="14" t="str">
        <f>"PFES1162731838_0001"</f>
        <v>PFES1162731838_0001</v>
      </c>
      <c r="L1849" s="14">
        <v>1</v>
      </c>
      <c r="M1849" s="14">
        <v>2</v>
      </c>
    </row>
    <row r="1850" spans="1:13">
      <c r="A1850" s="6">
        <v>43850</v>
      </c>
      <c r="B1850" s="7">
        <v>0.49652777777777773</v>
      </c>
      <c r="C1850" s="14" t="str">
        <f>"FES1162731844"</f>
        <v>FES1162731844</v>
      </c>
      <c r="D1850" s="14" t="s">
        <v>19</v>
      </c>
      <c r="E1850" s="14" t="s">
        <v>352</v>
      </c>
      <c r="F1850" s="14" t="str">
        <f>"21720722834 "</f>
        <v xml:space="preserve">21720722834 </v>
      </c>
      <c r="G1850" s="14" t="str">
        <f t="shared" si="54"/>
        <v>ON1</v>
      </c>
      <c r="H1850" s="14" t="s">
        <v>21</v>
      </c>
      <c r="I1850" s="14" t="s">
        <v>114</v>
      </c>
      <c r="J1850" s="14" t="str">
        <f>""</f>
        <v/>
      </c>
      <c r="K1850" s="14" t="str">
        <f>"PFES1162731844_0001"</f>
        <v>PFES1162731844_0001</v>
      </c>
      <c r="L1850" s="14">
        <v>1</v>
      </c>
      <c r="M1850" s="14">
        <v>4</v>
      </c>
    </row>
    <row r="1851" spans="1:13">
      <c r="A1851" s="6">
        <v>43850</v>
      </c>
      <c r="B1851" s="7">
        <v>0.49652777777777773</v>
      </c>
      <c r="C1851" s="14" t="str">
        <f>"FES1162731793"</f>
        <v>FES1162731793</v>
      </c>
      <c r="D1851" s="14" t="s">
        <v>19</v>
      </c>
      <c r="E1851" s="14" t="s">
        <v>834</v>
      </c>
      <c r="F1851" s="14" t="str">
        <f>"2170724424 "</f>
        <v xml:space="preserve">2170724424 </v>
      </c>
      <c r="G1851" s="14" t="str">
        <f t="shared" si="54"/>
        <v>ON1</v>
      </c>
      <c r="H1851" s="14" t="s">
        <v>21</v>
      </c>
      <c r="I1851" s="14" t="s">
        <v>663</v>
      </c>
      <c r="J1851" s="14" t="str">
        <f>""</f>
        <v/>
      </c>
      <c r="K1851" s="14" t="str">
        <f>"PFES1162731793_0001"</f>
        <v>PFES1162731793_0001</v>
      </c>
      <c r="L1851" s="14">
        <v>1</v>
      </c>
      <c r="M1851" s="14">
        <v>4</v>
      </c>
    </row>
    <row r="1852" spans="1:13">
      <c r="A1852" s="6">
        <v>43850</v>
      </c>
      <c r="B1852" s="7">
        <v>0.49513888888888885</v>
      </c>
      <c r="C1852" s="14" t="str">
        <f>"FES1162731816"</f>
        <v>FES1162731816</v>
      </c>
      <c r="D1852" s="14" t="s">
        <v>19</v>
      </c>
      <c r="E1852" s="14" t="s">
        <v>835</v>
      </c>
      <c r="F1852" s="14" t="str">
        <f>"2170724219 "</f>
        <v xml:space="preserve">2170724219 </v>
      </c>
      <c r="G1852" s="14" t="str">
        <f t="shared" si="54"/>
        <v>ON1</v>
      </c>
      <c r="H1852" s="14" t="s">
        <v>21</v>
      </c>
      <c r="I1852" s="14" t="s">
        <v>36</v>
      </c>
      <c r="J1852" s="14" t="str">
        <f>""</f>
        <v/>
      </c>
      <c r="K1852" s="14" t="str">
        <f>"PFES1162731816_0001"</f>
        <v>PFES1162731816_0001</v>
      </c>
      <c r="L1852" s="14">
        <v>3</v>
      </c>
      <c r="M1852" s="14">
        <v>17</v>
      </c>
    </row>
    <row r="1853" spans="1:13">
      <c r="A1853" s="6">
        <v>43850</v>
      </c>
      <c r="B1853" s="7">
        <v>0.49513888888888885</v>
      </c>
      <c r="C1853" s="14" t="str">
        <f>"FES1162731816"</f>
        <v>FES1162731816</v>
      </c>
      <c r="D1853" s="14" t="s">
        <v>19</v>
      </c>
      <c r="E1853" s="14" t="s">
        <v>835</v>
      </c>
      <c r="F1853" s="14" t="str">
        <f t="shared" ref="F1853:F1854" si="55">"2170724219 "</f>
        <v xml:space="preserve">2170724219 </v>
      </c>
      <c r="G1853" s="14" t="str">
        <f t="shared" si="54"/>
        <v>ON1</v>
      </c>
      <c r="H1853" s="14" t="s">
        <v>21</v>
      </c>
      <c r="I1853" s="14" t="s">
        <v>36</v>
      </c>
      <c r="J1853" s="14"/>
      <c r="K1853" s="14" t="str">
        <f>"PFES1162731816_0002"</f>
        <v>PFES1162731816_0002</v>
      </c>
      <c r="L1853" s="14">
        <v>3</v>
      </c>
      <c r="M1853" s="14">
        <v>17</v>
      </c>
    </row>
    <row r="1854" spans="1:13">
      <c r="A1854" s="6">
        <v>43850</v>
      </c>
      <c r="B1854" s="7">
        <v>0.49513888888888885</v>
      </c>
      <c r="C1854" s="14" t="str">
        <f>"FES1162731816"</f>
        <v>FES1162731816</v>
      </c>
      <c r="D1854" s="14" t="s">
        <v>19</v>
      </c>
      <c r="E1854" s="14" t="s">
        <v>835</v>
      </c>
      <c r="F1854" s="14" t="str">
        <f t="shared" si="55"/>
        <v xml:space="preserve">2170724219 </v>
      </c>
      <c r="G1854" s="14" t="str">
        <f t="shared" si="54"/>
        <v>ON1</v>
      </c>
      <c r="H1854" s="14" t="s">
        <v>21</v>
      </c>
      <c r="I1854" s="14" t="s">
        <v>36</v>
      </c>
      <c r="J1854" s="14"/>
      <c r="K1854" s="14" t="str">
        <f>"PFES1162731816_0003"</f>
        <v>PFES1162731816_0003</v>
      </c>
      <c r="L1854" s="14">
        <v>3</v>
      </c>
      <c r="M1854" s="14">
        <v>17</v>
      </c>
    </row>
    <row r="1855" spans="1:13">
      <c r="A1855" s="6">
        <v>43850</v>
      </c>
      <c r="B1855" s="7">
        <v>0.49444444444444446</v>
      </c>
      <c r="C1855" s="14" t="str">
        <f>"FES1162731798"</f>
        <v>FES1162731798</v>
      </c>
      <c r="D1855" s="14" t="s">
        <v>19</v>
      </c>
      <c r="E1855" s="14" t="s">
        <v>298</v>
      </c>
      <c r="F1855" s="14" t="str">
        <f>"2170724439 "</f>
        <v xml:space="preserve">2170724439 </v>
      </c>
      <c r="G1855" s="14" t="str">
        <f t="shared" si="54"/>
        <v>ON1</v>
      </c>
      <c r="H1855" s="14" t="s">
        <v>21</v>
      </c>
      <c r="I1855" s="14" t="s">
        <v>299</v>
      </c>
      <c r="J1855" s="14" t="str">
        <f>""</f>
        <v/>
      </c>
      <c r="K1855" s="14" t="str">
        <f>"PFES1162731798_0001"</f>
        <v>PFES1162731798_0001</v>
      </c>
      <c r="L1855" s="14">
        <v>1</v>
      </c>
      <c r="M1855" s="14">
        <v>21</v>
      </c>
    </row>
    <row r="1856" spans="1:13">
      <c r="A1856" s="6">
        <v>43850</v>
      </c>
      <c r="B1856" s="7">
        <v>0.49027777777777781</v>
      </c>
      <c r="C1856" s="14" t="str">
        <f>"FES1162731850"</f>
        <v>FES1162731850</v>
      </c>
      <c r="D1856" s="14" t="s">
        <v>19</v>
      </c>
      <c r="E1856" s="14" t="s">
        <v>324</v>
      </c>
      <c r="F1856" s="14" t="str">
        <f>"2170722896 "</f>
        <v xml:space="preserve">2170722896 </v>
      </c>
      <c r="G1856" s="14" t="str">
        <f t="shared" si="54"/>
        <v>ON1</v>
      </c>
      <c r="H1856" s="14" t="s">
        <v>21</v>
      </c>
      <c r="I1856" s="14" t="s">
        <v>325</v>
      </c>
      <c r="J1856" s="14" t="str">
        <f>""</f>
        <v/>
      </c>
      <c r="K1856" s="14" t="str">
        <f>"PFES1162731850_0001"</f>
        <v>PFES1162731850_0001</v>
      </c>
      <c r="L1856" s="14">
        <v>1</v>
      </c>
      <c r="M1856" s="14">
        <v>1</v>
      </c>
    </row>
    <row r="1857" spans="1:13">
      <c r="A1857" s="6">
        <v>43850</v>
      </c>
      <c r="B1857" s="7">
        <v>0.48958333333333331</v>
      </c>
      <c r="C1857" s="14" t="str">
        <f>"FES1162731792"</f>
        <v>FES1162731792</v>
      </c>
      <c r="D1857" s="14" t="s">
        <v>19</v>
      </c>
      <c r="E1857" s="14" t="s">
        <v>216</v>
      </c>
      <c r="F1857" s="14" t="str">
        <f>"2170724423 "</f>
        <v xml:space="preserve">2170724423 </v>
      </c>
      <c r="G1857" s="14" t="str">
        <f t="shared" si="54"/>
        <v>ON1</v>
      </c>
      <c r="H1857" s="14" t="s">
        <v>21</v>
      </c>
      <c r="I1857" s="14" t="s">
        <v>217</v>
      </c>
      <c r="J1857" s="14" t="str">
        <f>""</f>
        <v/>
      </c>
      <c r="K1857" s="14" t="str">
        <f>"PFES1162731792_0001"</f>
        <v>PFES1162731792_0001</v>
      </c>
      <c r="L1857" s="14">
        <v>1</v>
      </c>
      <c r="M1857" s="14">
        <v>1</v>
      </c>
    </row>
    <row r="1858" spans="1:13">
      <c r="A1858" s="6">
        <v>43850</v>
      </c>
      <c r="B1858" s="7">
        <v>0.48888888888888887</v>
      </c>
      <c r="C1858" s="14" t="str">
        <f>"FES1162731843"</f>
        <v>FES1162731843</v>
      </c>
      <c r="D1858" s="14" t="s">
        <v>19</v>
      </c>
      <c r="E1858" s="14" t="s">
        <v>322</v>
      </c>
      <c r="F1858" s="14" t="str">
        <f>"2170722826 "</f>
        <v xml:space="preserve">2170722826 </v>
      </c>
      <c r="G1858" s="14" t="str">
        <f t="shared" si="54"/>
        <v>ON1</v>
      </c>
      <c r="H1858" s="14" t="s">
        <v>21</v>
      </c>
      <c r="I1858" s="14" t="s">
        <v>323</v>
      </c>
      <c r="J1858" s="14" t="str">
        <f>""</f>
        <v/>
      </c>
      <c r="K1858" s="14" t="str">
        <f>"PFES1162731843_0001"</f>
        <v>PFES1162731843_0001</v>
      </c>
      <c r="L1858" s="14">
        <v>1</v>
      </c>
      <c r="M1858" s="14">
        <v>1</v>
      </c>
    </row>
    <row r="1859" spans="1:13">
      <c r="A1859" s="6">
        <v>43850</v>
      </c>
      <c r="B1859" s="7">
        <v>0.48819444444444443</v>
      </c>
      <c r="C1859" s="14" t="str">
        <f>"FES1162731849"</f>
        <v>FES1162731849</v>
      </c>
      <c r="D1859" s="14" t="s">
        <v>19</v>
      </c>
      <c r="E1859" s="14" t="s">
        <v>324</v>
      </c>
      <c r="F1859" s="14" t="str">
        <f>"2170722890 "</f>
        <v xml:space="preserve">2170722890 </v>
      </c>
      <c r="G1859" s="14" t="str">
        <f t="shared" si="54"/>
        <v>ON1</v>
      </c>
      <c r="H1859" s="14" t="s">
        <v>21</v>
      </c>
      <c r="I1859" s="14" t="s">
        <v>325</v>
      </c>
      <c r="J1859" s="14" t="str">
        <f>""</f>
        <v/>
      </c>
      <c r="K1859" s="14" t="str">
        <f>"PFES1162731849_0001"</f>
        <v>PFES1162731849_0001</v>
      </c>
      <c r="L1859" s="14">
        <v>1</v>
      </c>
      <c r="M1859" s="14">
        <v>1</v>
      </c>
    </row>
    <row r="1860" spans="1:13">
      <c r="A1860" s="6">
        <v>43850</v>
      </c>
      <c r="B1860" s="7">
        <v>0.48749999999999999</v>
      </c>
      <c r="C1860" s="14" t="str">
        <f>"FES1162731813"</f>
        <v>FES1162731813</v>
      </c>
      <c r="D1860" s="14" t="s">
        <v>19</v>
      </c>
      <c r="E1860" s="14" t="s">
        <v>836</v>
      </c>
      <c r="F1860" s="14" t="str">
        <f>"2170724450 "</f>
        <v xml:space="preserve">2170724450 </v>
      </c>
      <c r="G1860" s="14" t="str">
        <f t="shared" si="54"/>
        <v>ON1</v>
      </c>
      <c r="H1860" s="14" t="s">
        <v>21</v>
      </c>
      <c r="I1860" s="14" t="s">
        <v>255</v>
      </c>
      <c r="J1860" s="14" t="str">
        <f>""</f>
        <v/>
      </c>
      <c r="K1860" s="14" t="str">
        <f>"PFES1162731813_0001"</f>
        <v>PFES1162731813_0001</v>
      </c>
      <c r="L1860" s="14">
        <v>1</v>
      </c>
      <c r="M1860" s="14">
        <v>1</v>
      </c>
    </row>
    <row r="1861" spans="1:13">
      <c r="A1861" s="6">
        <v>43850</v>
      </c>
      <c r="B1861" s="7">
        <v>0.48680555555555555</v>
      </c>
      <c r="C1861" s="14" t="str">
        <f>"FES1162731777"</f>
        <v>FES1162731777</v>
      </c>
      <c r="D1861" s="14" t="s">
        <v>19</v>
      </c>
      <c r="E1861" s="14" t="s">
        <v>293</v>
      </c>
      <c r="F1861" s="14" t="str">
        <f>"2170724420 "</f>
        <v xml:space="preserve">2170724420 </v>
      </c>
      <c r="G1861" s="14" t="str">
        <f t="shared" si="54"/>
        <v>ON1</v>
      </c>
      <c r="H1861" s="14" t="s">
        <v>21</v>
      </c>
      <c r="I1861" s="14" t="s">
        <v>294</v>
      </c>
      <c r="J1861" s="14" t="str">
        <f>""</f>
        <v/>
      </c>
      <c r="K1861" s="14" t="str">
        <f>"PFES1162731777_0001"</f>
        <v>PFES1162731777_0001</v>
      </c>
      <c r="L1861" s="14">
        <v>1</v>
      </c>
      <c r="M1861" s="14">
        <v>1</v>
      </c>
    </row>
    <row r="1862" spans="1:13">
      <c r="A1862" s="6">
        <v>43850</v>
      </c>
      <c r="B1862" s="7">
        <v>0.4861111111111111</v>
      </c>
      <c r="C1862" s="14" t="str">
        <f>"FES1162731797"</f>
        <v>FES1162731797</v>
      </c>
      <c r="D1862" s="14" t="s">
        <v>19</v>
      </c>
      <c r="E1862" s="14" t="s">
        <v>837</v>
      </c>
      <c r="F1862" s="14" t="str">
        <f>"2170724437 "</f>
        <v xml:space="preserve">2170724437 </v>
      </c>
      <c r="G1862" s="14" t="str">
        <f t="shared" si="54"/>
        <v>ON1</v>
      </c>
      <c r="H1862" s="14" t="s">
        <v>21</v>
      </c>
      <c r="I1862" s="14" t="s">
        <v>838</v>
      </c>
      <c r="J1862" s="14" t="str">
        <f>""</f>
        <v/>
      </c>
      <c r="K1862" s="14" t="str">
        <f>"PFES1162731797_0001"</f>
        <v>PFES1162731797_0001</v>
      </c>
      <c r="L1862" s="14">
        <v>1</v>
      </c>
      <c r="M1862" s="14">
        <v>1</v>
      </c>
    </row>
    <row r="1863" spans="1:13">
      <c r="A1863" s="6">
        <v>43850</v>
      </c>
      <c r="B1863" s="7">
        <v>0.48472222222222222</v>
      </c>
      <c r="C1863" s="14" t="str">
        <f>"FES1162731803"</f>
        <v>FES1162731803</v>
      </c>
      <c r="D1863" s="14" t="s">
        <v>19</v>
      </c>
      <c r="E1863" s="14" t="s">
        <v>216</v>
      </c>
      <c r="F1863" s="14" t="str">
        <f>"2170724434 "</f>
        <v xml:space="preserve">2170724434 </v>
      </c>
      <c r="G1863" s="14" t="str">
        <f t="shared" si="54"/>
        <v>ON1</v>
      </c>
      <c r="H1863" s="14" t="s">
        <v>21</v>
      </c>
      <c r="I1863" s="14" t="s">
        <v>217</v>
      </c>
      <c r="J1863" s="14" t="str">
        <f>""</f>
        <v/>
      </c>
      <c r="K1863" s="14" t="str">
        <f>"PFES1162731803_0001"</f>
        <v>PFES1162731803_0001</v>
      </c>
      <c r="L1863" s="14">
        <v>1</v>
      </c>
      <c r="M1863" s="14">
        <v>1</v>
      </c>
    </row>
    <row r="1864" spans="1:13">
      <c r="A1864" s="6">
        <v>43850</v>
      </c>
      <c r="B1864" s="7">
        <v>0.48402777777777778</v>
      </c>
      <c r="C1864" s="14" t="str">
        <f>"FES1162731836"</f>
        <v>FES1162731836</v>
      </c>
      <c r="D1864" s="14" t="s">
        <v>19</v>
      </c>
      <c r="E1864" s="14" t="s">
        <v>292</v>
      </c>
      <c r="F1864" s="14" t="str">
        <f>"2170720323 "</f>
        <v xml:space="preserve">2170720323 </v>
      </c>
      <c r="G1864" s="14" t="str">
        <f t="shared" si="54"/>
        <v>ON1</v>
      </c>
      <c r="H1864" s="14" t="s">
        <v>21</v>
      </c>
      <c r="I1864" s="14" t="s">
        <v>288</v>
      </c>
      <c r="J1864" s="14" t="str">
        <f>""</f>
        <v/>
      </c>
      <c r="K1864" s="14" t="str">
        <f>"PFES1162731836_0001"</f>
        <v>PFES1162731836_0001</v>
      </c>
      <c r="L1864" s="14">
        <v>1</v>
      </c>
      <c r="M1864" s="14">
        <v>1</v>
      </c>
    </row>
    <row r="1865" spans="1:13">
      <c r="A1865" s="6">
        <v>43850</v>
      </c>
      <c r="B1865" s="7">
        <v>0.48333333333333334</v>
      </c>
      <c r="C1865" s="14" t="str">
        <f>"FES1162731787"</f>
        <v>FES1162731787</v>
      </c>
      <c r="D1865" s="14" t="s">
        <v>19</v>
      </c>
      <c r="E1865" s="14" t="s">
        <v>224</v>
      </c>
      <c r="F1865" s="14" t="str">
        <f>"2170724228 "</f>
        <v xml:space="preserve">2170724228 </v>
      </c>
      <c r="G1865" s="14" t="str">
        <f t="shared" si="54"/>
        <v>ON1</v>
      </c>
      <c r="H1865" s="14" t="s">
        <v>21</v>
      </c>
      <c r="I1865" s="14" t="s">
        <v>500</v>
      </c>
      <c r="J1865" s="14" t="str">
        <f>""</f>
        <v/>
      </c>
      <c r="K1865" s="14" t="str">
        <f>"PFES1162731787_0001"</f>
        <v>PFES1162731787_0001</v>
      </c>
      <c r="L1865" s="14">
        <v>1</v>
      </c>
      <c r="M1865" s="14">
        <v>1</v>
      </c>
    </row>
    <row r="1866" spans="1:13">
      <c r="A1866" s="6">
        <v>43850</v>
      </c>
      <c r="B1866" s="7">
        <v>0.4826388888888889</v>
      </c>
      <c r="C1866" s="14" t="str">
        <f>"FES1162731780"</f>
        <v>FES1162731780</v>
      </c>
      <c r="D1866" s="14" t="s">
        <v>19</v>
      </c>
      <c r="E1866" s="14" t="s">
        <v>352</v>
      </c>
      <c r="F1866" s="14" t="str">
        <f>"2170722834 "</f>
        <v xml:space="preserve">2170722834 </v>
      </c>
      <c r="G1866" s="14" t="str">
        <f t="shared" si="54"/>
        <v>ON1</v>
      </c>
      <c r="H1866" s="14" t="s">
        <v>21</v>
      </c>
      <c r="I1866" s="14" t="s">
        <v>114</v>
      </c>
      <c r="J1866" s="14" t="str">
        <f>""</f>
        <v/>
      </c>
      <c r="K1866" s="14" t="str">
        <f>"PFES1162731780_0001"</f>
        <v>PFES1162731780_0001</v>
      </c>
      <c r="L1866" s="14">
        <v>1</v>
      </c>
      <c r="M1866" s="14">
        <v>1</v>
      </c>
    </row>
    <row r="1867" spans="1:13">
      <c r="A1867" s="6">
        <v>43850</v>
      </c>
      <c r="B1867" s="7">
        <v>0.48125000000000001</v>
      </c>
      <c r="C1867" s="14" t="str">
        <f>"FES1162731796"</f>
        <v>FES1162731796</v>
      </c>
      <c r="D1867" s="14" t="s">
        <v>19</v>
      </c>
      <c r="E1867" s="14" t="s">
        <v>261</v>
      </c>
      <c r="F1867" s="14" t="str">
        <f>"2170724431 "</f>
        <v xml:space="preserve">2170724431 </v>
      </c>
      <c r="G1867" s="14" t="str">
        <f t="shared" si="54"/>
        <v>ON1</v>
      </c>
      <c r="H1867" s="14" t="s">
        <v>21</v>
      </c>
      <c r="I1867" s="14" t="s">
        <v>152</v>
      </c>
      <c r="J1867" s="14" t="str">
        <f>""</f>
        <v/>
      </c>
      <c r="K1867" s="14" t="str">
        <f>"PFES1162731796_0001"</f>
        <v>PFES1162731796_0001</v>
      </c>
      <c r="L1867" s="14">
        <v>1</v>
      </c>
      <c r="M1867" s="14">
        <v>1</v>
      </c>
    </row>
    <row r="1868" spans="1:13">
      <c r="A1868" s="6">
        <v>43850</v>
      </c>
      <c r="B1868" s="7">
        <v>0.47986111111111113</v>
      </c>
      <c r="C1868" s="14" t="str">
        <f>"FES1162731852"</f>
        <v>FES1162731852</v>
      </c>
      <c r="D1868" s="14" t="s">
        <v>19</v>
      </c>
      <c r="E1868" s="14" t="s">
        <v>606</v>
      </c>
      <c r="F1868" s="14" t="str">
        <f>"2170724222 "</f>
        <v xml:space="preserve">2170724222 </v>
      </c>
      <c r="G1868" s="14" t="str">
        <f t="shared" si="54"/>
        <v>ON1</v>
      </c>
      <c r="H1868" s="14" t="s">
        <v>21</v>
      </c>
      <c r="I1868" s="14" t="s">
        <v>235</v>
      </c>
      <c r="J1868" s="14" t="str">
        <f>""</f>
        <v/>
      </c>
      <c r="K1868" s="14" t="str">
        <f>"PFES1162731852_0001"</f>
        <v>PFES1162731852_0001</v>
      </c>
      <c r="L1868" s="14">
        <v>1</v>
      </c>
      <c r="M1868" s="14">
        <v>1</v>
      </c>
    </row>
    <row r="1869" spans="1:13">
      <c r="A1869" s="6">
        <v>43850</v>
      </c>
      <c r="B1869" s="7">
        <v>0.47916666666666669</v>
      </c>
      <c r="C1869" s="14" t="str">
        <f>"FES1162731791"</f>
        <v>FES1162731791</v>
      </c>
      <c r="D1869" s="14" t="s">
        <v>19</v>
      </c>
      <c r="E1869" s="14" t="s">
        <v>404</v>
      </c>
      <c r="F1869" s="14" t="str">
        <f>"2170724395 "</f>
        <v xml:space="preserve">2170724395 </v>
      </c>
      <c r="G1869" s="14" t="str">
        <f t="shared" si="54"/>
        <v>ON1</v>
      </c>
      <c r="H1869" s="14" t="s">
        <v>21</v>
      </c>
      <c r="I1869" s="14" t="s">
        <v>202</v>
      </c>
      <c r="J1869" s="14" t="str">
        <f>""</f>
        <v/>
      </c>
      <c r="K1869" s="14" t="str">
        <f>"PFES1162731791_0001"</f>
        <v>PFES1162731791_0001</v>
      </c>
      <c r="L1869" s="14">
        <v>1</v>
      </c>
      <c r="M1869" s="14">
        <v>1</v>
      </c>
    </row>
    <row r="1870" spans="1:13">
      <c r="A1870" s="6">
        <v>43850</v>
      </c>
      <c r="B1870" s="7">
        <v>0.47847222222222219</v>
      </c>
      <c r="C1870" s="14" t="str">
        <f>"FES1162731805"</f>
        <v>FES1162731805</v>
      </c>
      <c r="D1870" s="14" t="s">
        <v>19</v>
      </c>
      <c r="E1870" s="14" t="s">
        <v>478</v>
      </c>
      <c r="F1870" s="14" t="str">
        <f>"2170724447 "</f>
        <v xml:space="preserve">2170724447 </v>
      </c>
      <c r="G1870" s="14" t="str">
        <f t="shared" si="54"/>
        <v>ON1</v>
      </c>
      <c r="H1870" s="14" t="s">
        <v>21</v>
      </c>
      <c r="I1870" s="14" t="s">
        <v>277</v>
      </c>
      <c r="J1870" s="14" t="str">
        <f>""</f>
        <v/>
      </c>
      <c r="K1870" s="14" t="str">
        <f>"PFES1162731805_0001"</f>
        <v>PFES1162731805_0001</v>
      </c>
      <c r="L1870" s="14">
        <v>1</v>
      </c>
      <c r="M1870" s="14">
        <v>1</v>
      </c>
    </row>
    <row r="1871" spans="1:13">
      <c r="A1871" s="6">
        <v>43850</v>
      </c>
      <c r="B1871" s="7">
        <v>0.47569444444444442</v>
      </c>
      <c r="C1871" s="14" t="str">
        <f>"FES1162731837"</f>
        <v>FES1162731837</v>
      </c>
      <c r="D1871" s="14" t="s">
        <v>19</v>
      </c>
      <c r="E1871" s="14" t="s">
        <v>128</v>
      </c>
      <c r="F1871" s="14" t="str">
        <f>"2170720930 "</f>
        <v xml:space="preserve">2170720930 </v>
      </c>
      <c r="G1871" s="14" t="str">
        <f t="shared" si="54"/>
        <v>ON1</v>
      </c>
      <c r="H1871" s="14" t="s">
        <v>21</v>
      </c>
      <c r="I1871" s="14" t="s">
        <v>137</v>
      </c>
      <c r="J1871" s="14" t="str">
        <f>""</f>
        <v/>
      </c>
      <c r="K1871" s="14" t="str">
        <f>"PFES1162731837_0001"</f>
        <v>PFES1162731837_0001</v>
      </c>
      <c r="L1871" s="14">
        <v>1</v>
      </c>
      <c r="M1871" s="14">
        <v>1</v>
      </c>
    </row>
    <row r="1872" spans="1:13">
      <c r="A1872" s="6">
        <v>43850</v>
      </c>
      <c r="B1872" s="7">
        <v>0.46597222222222223</v>
      </c>
      <c r="C1872" s="14" t="str">
        <f>"FES1162731824"</f>
        <v>FES1162731824</v>
      </c>
      <c r="D1872" s="14" t="s">
        <v>19</v>
      </c>
      <c r="E1872" s="14" t="s">
        <v>101</v>
      </c>
      <c r="F1872" s="14" t="str">
        <f>"2170724461 "</f>
        <v xml:space="preserve">2170724461 </v>
      </c>
      <c r="G1872" s="14" t="str">
        <f t="shared" si="54"/>
        <v>ON1</v>
      </c>
      <c r="H1872" s="14" t="s">
        <v>21</v>
      </c>
      <c r="I1872" s="14" t="s">
        <v>102</v>
      </c>
      <c r="J1872" s="14" t="str">
        <f>""</f>
        <v/>
      </c>
      <c r="K1872" s="14" t="str">
        <f>"PFES1162731824_0001"</f>
        <v>PFES1162731824_0001</v>
      </c>
      <c r="L1872" s="14">
        <v>1</v>
      </c>
      <c r="M1872" s="14">
        <v>1</v>
      </c>
    </row>
    <row r="1873" spans="1:13">
      <c r="A1873" s="6">
        <v>43850</v>
      </c>
      <c r="B1873" s="7">
        <v>0.46527777777777773</v>
      </c>
      <c r="C1873" s="14" t="str">
        <f>"FES1162731841"</f>
        <v>FES1162731841</v>
      </c>
      <c r="D1873" s="14" t="s">
        <v>19</v>
      </c>
      <c r="E1873" s="14" t="s">
        <v>37</v>
      </c>
      <c r="F1873" s="14" t="str">
        <f>"2170722804 "</f>
        <v xml:space="preserve">2170722804 </v>
      </c>
      <c r="G1873" s="14" t="str">
        <f t="shared" si="54"/>
        <v>ON1</v>
      </c>
      <c r="H1873" s="14" t="s">
        <v>21</v>
      </c>
      <c r="I1873" s="14" t="s">
        <v>38</v>
      </c>
      <c r="J1873" s="14" t="str">
        <f>""</f>
        <v/>
      </c>
      <c r="K1873" s="14" t="str">
        <f>"PFES1162731841_0001"</f>
        <v>PFES1162731841_0001</v>
      </c>
      <c r="L1873" s="14">
        <v>1</v>
      </c>
      <c r="M1873" s="14">
        <v>1</v>
      </c>
    </row>
    <row r="1874" spans="1:13">
      <c r="A1874" s="6">
        <v>43850</v>
      </c>
      <c r="B1874" s="7">
        <v>0.46458333333333335</v>
      </c>
      <c r="C1874" s="14" t="str">
        <f>"FES1162731873"</f>
        <v>FES1162731873</v>
      </c>
      <c r="D1874" s="14" t="s">
        <v>19</v>
      </c>
      <c r="E1874" s="14" t="s">
        <v>218</v>
      </c>
      <c r="F1874" s="14" t="str">
        <f>"2170724494 "</f>
        <v xml:space="preserve">2170724494 </v>
      </c>
      <c r="G1874" s="14" t="str">
        <f t="shared" si="54"/>
        <v>ON1</v>
      </c>
      <c r="H1874" s="14" t="s">
        <v>21</v>
      </c>
      <c r="I1874" s="14" t="s">
        <v>49</v>
      </c>
      <c r="J1874" s="14" t="str">
        <f>""</f>
        <v/>
      </c>
      <c r="K1874" s="14" t="str">
        <f>"PFES1162731873_0001"</f>
        <v>PFES1162731873_0001</v>
      </c>
      <c r="L1874" s="14">
        <v>1</v>
      </c>
      <c r="M1874" s="14">
        <v>1</v>
      </c>
    </row>
    <row r="1875" spans="1:13">
      <c r="A1875" s="6">
        <v>43850</v>
      </c>
      <c r="B1875" s="7">
        <v>0.46388888888888885</v>
      </c>
      <c r="C1875" s="14" t="str">
        <f>"FES1162731821"</f>
        <v>FES1162731821</v>
      </c>
      <c r="D1875" s="14" t="s">
        <v>19</v>
      </c>
      <c r="E1875" s="14" t="s">
        <v>101</v>
      </c>
      <c r="F1875" s="14" t="str">
        <f>"2170724457 "</f>
        <v xml:space="preserve">2170724457 </v>
      </c>
      <c r="G1875" s="14" t="str">
        <f t="shared" si="54"/>
        <v>ON1</v>
      </c>
      <c r="H1875" s="14" t="s">
        <v>21</v>
      </c>
      <c r="I1875" s="14" t="s">
        <v>102</v>
      </c>
      <c r="J1875" s="14" t="str">
        <f>""</f>
        <v/>
      </c>
      <c r="K1875" s="14" t="str">
        <f>"PFES1162731821_0001"</f>
        <v>PFES1162731821_0001</v>
      </c>
      <c r="L1875" s="14">
        <v>1</v>
      </c>
      <c r="M1875" s="14">
        <v>1</v>
      </c>
    </row>
    <row r="1876" spans="1:13">
      <c r="A1876" s="6">
        <v>43850</v>
      </c>
      <c r="B1876" s="7">
        <v>0.46319444444444446</v>
      </c>
      <c r="C1876" s="14" t="str">
        <f>"FES1162731875"</f>
        <v>FES1162731875</v>
      </c>
      <c r="D1876" s="14" t="s">
        <v>19</v>
      </c>
      <c r="E1876" s="14" t="s">
        <v>218</v>
      </c>
      <c r="F1876" s="14" t="str">
        <f>"2170724496 "</f>
        <v xml:space="preserve">2170724496 </v>
      </c>
      <c r="G1876" s="14" t="str">
        <f t="shared" si="54"/>
        <v>ON1</v>
      </c>
      <c r="H1876" s="14" t="s">
        <v>21</v>
      </c>
      <c r="I1876" s="14" t="s">
        <v>49</v>
      </c>
      <c r="J1876" s="14" t="str">
        <f>""</f>
        <v/>
      </c>
      <c r="K1876" s="14" t="str">
        <f>"PFES1162731875_0001"</f>
        <v>PFES1162731875_0001</v>
      </c>
      <c r="L1876" s="14">
        <v>1</v>
      </c>
      <c r="M1876" s="14">
        <v>1</v>
      </c>
    </row>
    <row r="1877" spans="1:13">
      <c r="A1877" s="6">
        <v>43850</v>
      </c>
      <c r="B1877" s="7">
        <v>0.46180555555555558</v>
      </c>
      <c r="C1877" s="14" t="str">
        <f>"FES1162731779"</f>
        <v>FES1162731779</v>
      </c>
      <c r="D1877" s="14" t="s">
        <v>19</v>
      </c>
      <c r="E1877" s="14" t="s">
        <v>64</v>
      </c>
      <c r="F1877" s="14" t="str">
        <f>"2170720326 "</f>
        <v xml:space="preserve">2170720326 </v>
      </c>
      <c r="G1877" s="14" t="str">
        <f t="shared" si="54"/>
        <v>ON1</v>
      </c>
      <c r="H1877" s="14" t="s">
        <v>21</v>
      </c>
      <c r="I1877" s="14" t="s">
        <v>60</v>
      </c>
      <c r="J1877" s="14" t="str">
        <f>""</f>
        <v/>
      </c>
      <c r="K1877" s="14" t="str">
        <f>"PFES1162731779_0001"</f>
        <v>PFES1162731779_0001</v>
      </c>
      <c r="L1877" s="14">
        <v>1</v>
      </c>
      <c r="M1877" s="14">
        <v>1</v>
      </c>
    </row>
    <row r="1878" spans="1:13">
      <c r="A1878" s="6">
        <v>43850</v>
      </c>
      <c r="B1878" s="7">
        <v>0.46111111111111108</v>
      </c>
      <c r="C1878" s="14" t="str">
        <f>"FES1162731788"</f>
        <v>FES1162731788</v>
      </c>
      <c r="D1878" s="14" t="s">
        <v>19</v>
      </c>
      <c r="E1878" s="14" t="s">
        <v>62</v>
      </c>
      <c r="F1878" s="14" t="str">
        <f>"2170724348 "</f>
        <v xml:space="preserve">2170724348 </v>
      </c>
      <c r="G1878" s="14" t="str">
        <f t="shared" si="54"/>
        <v>ON1</v>
      </c>
      <c r="H1878" s="14" t="s">
        <v>21</v>
      </c>
      <c r="I1878" s="14" t="s">
        <v>63</v>
      </c>
      <c r="J1878" s="14" t="str">
        <f>""</f>
        <v/>
      </c>
      <c r="K1878" s="14" t="str">
        <f>"PFES1162731788_0001"</f>
        <v>PFES1162731788_0001</v>
      </c>
      <c r="L1878" s="14">
        <v>1</v>
      </c>
      <c r="M1878" s="14">
        <v>1</v>
      </c>
    </row>
    <row r="1879" spans="1:13">
      <c r="A1879" s="6">
        <v>43850</v>
      </c>
      <c r="B1879" s="7">
        <v>0.45833333333333331</v>
      </c>
      <c r="C1879" s="14" t="str">
        <f>"FES1162731883"</f>
        <v>FES1162731883</v>
      </c>
      <c r="D1879" s="14" t="s">
        <v>19</v>
      </c>
      <c r="E1879" s="14" t="s">
        <v>670</v>
      </c>
      <c r="F1879" s="14" t="str">
        <f>"2170724504 "</f>
        <v xml:space="preserve">2170724504 </v>
      </c>
      <c r="G1879" s="14" t="str">
        <f t="shared" si="54"/>
        <v>ON1</v>
      </c>
      <c r="H1879" s="14" t="s">
        <v>21</v>
      </c>
      <c r="I1879" s="14" t="s">
        <v>528</v>
      </c>
      <c r="J1879" s="14" t="str">
        <f>""</f>
        <v/>
      </c>
      <c r="K1879" s="14" t="str">
        <f>"PFES1162731883_0001"</f>
        <v>PFES1162731883_0001</v>
      </c>
      <c r="L1879" s="14">
        <v>1</v>
      </c>
      <c r="M1879" s="14">
        <v>1</v>
      </c>
    </row>
    <row r="1880" spans="1:13">
      <c r="A1880" s="6">
        <v>43851</v>
      </c>
      <c r="B1880" s="7">
        <v>0.68611111111111101</v>
      </c>
      <c r="C1880" s="16" t="str">
        <f>"FES1162732263"</f>
        <v>FES1162732263</v>
      </c>
      <c r="D1880" s="16" t="s">
        <v>19</v>
      </c>
      <c r="E1880" s="16" t="s">
        <v>224</v>
      </c>
      <c r="F1880" s="16" t="str">
        <f>"2170724838 "</f>
        <v xml:space="preserve">2170724838 </v>
      </c>
      <c r="G1880" s="16" t="str">
        <f t="shared" si="54"/>
        <v>ON1</v>
      </c>
      <c r="H1880" s="16" t="s">
        <v>21</v>
      </c>
      <c r="I1880" s="16" t="s">
        <v>225</v>
      </c>
      <c r="J1880" s="16" t="str">
        <f>""</f>
        <v/>
      </c>
      <c r="K1880" s="16" t="str">
        <f>"PFES1162732263_0001"</f>
        <v>PFES1162732263_0001</v>
      </c>
      <c r="L1880" s="16">
        <v>1</v>
      </c>
      <c r="M1880" s="16">
        <v>1</v>
      </c>
    </row>
    <row r="1881" spans="1:13">
      <c r="A1881" s="6">
        <v>43851</v>
      </c>
      <c r="B1881" s="7">
        <v>0.68541666666666667</v>
      </c>
      <c r="C1881" s="16" t="str">
        <f>"FES1162732271"</f>
        <v>FES1162732271</v>
      </c>
      <c r="D1881" s="16" t="s">
        <v>19</v>
      </c>
      <c r="E1881" s="16" t="s">
        <v>530</v>
      </c>
      <c r="F1881" s="16" t="str">
        <f>"2170724850 "</f>
        <v xml:space="preserve">2170724850 </v>
      </c>
      <c r="G1881" s="16" t="str">
        <f t="shared" si="54"/>
        <v>ON1</v>
      </c>
      <c r="H1881" s="16" t="s">
        <v>21</v>
      </c>
      <c r="I1881" s="16" t="s">
        <v>531</v>
      </c>
      <c r="J1881" s="16" t="str">
        <f>""</f>
        <v/>
      </c>
      <c r="K1881" s="16" t="str">
        <f>"PFES1162732271_0001"</f>
        <v>PFES1162732271_0001</v>
      </c>
      <c r="L1881" s="16">
        <v>1</v>
      </c>
      <c r="M1881" s="16">
        <v>1</v>
      </c>
    </row>
    <row r="1882" spans="1:13">
      <c r="A1882" s="6">
        <v>43851</v>
      </c>
      <c r="B1882" s="7">
        <v>0.68472222222222223</v>
      </c>
      <c r="C1882" s="16" t="str">
        <f>"FES1162732269"</f>
        <v>FES1162732269</v>
      </c>
      <c r="D1882" s="16" t="s">
        <v>19</v>
      </c>
      <c r="E1882" s="16" t="s">
        <v>530</v>
      </c>
      <c r="F1882" s="16" t="str">
        <f>"2170724846 "</f>
        <v xml:space="preserve">2170724846 </v>
      </c>
      <c r="G1882" s="16" t="str">
        <f t="shared" si="54"/>
        <v>ON1</v>
      </c>
      <c r="H1882" s="16" t="s">
        <v>21</v>
      </c>
      <c r="I1882" s="16" t="s">
        <v>531</v>
      </c>
      <c r="J1882" s="16" t="str">
        <f>""</f>
        <v/>
      </c>
      <c r="K1882" s="16" t="str">
        <f>"PFES1162732269_0001"</f>
        <v>PFES1162732269_0001</v>
      </c>
      <c r="L1882" s="16">
        <v>1</v>
      </c>
      <c r="M1882" s="16">
        <v>1</v>
      </c>
    </row>
    <row r="1883" spans="1:13">
      <c r="A1883" s="6">
        <v>43851</v>
      </c>
      <c r="B1883" s="7">
        <v>0.68472222222222223</v>
      </c>
      <c r="C1883" s="16" t="str">
        <f>"FES1162732246"</f>
        <v>FES1162732246</v>
      </c>
      <c r="D1883" s="16" t="s">
        <v>19</v>
      </c>
      <c r="E1883" s="16" t="s">
        <v>304</v>
      </c>
      <c r="F1883" s="16" t="str">
        <f>"2170724643 "</f>
        <v xml:space="preserve">2170724643 </v>
      </c>
      <c r="G1883" s="16" t="str">
        <f t="shared" si="54"/>
        <v>ON1</v>
      </c>
      <c r="H1883" s="16" t="s">
        <v>21</v>
      </c>
      <c r="I1883" s="16" t="s">
        <v>305</v>
      </c>
      <c r="J1883" s="16" t="str">
        <f>""</f>
        <v/>
      </c>
      <c r="K1883" s="16" t="str">
        <f>"PFES1162732246_0001"</f>
        <v>PFES1162732246_0001</v>
      </c>
      <c r="L1883" s="16">
        <v>1</v>
      </c>
      <c r="M1883" s="16">
        <v>12</v>
      </c>
    </row>
    <row r="1884" spans="1:13">
      <c r="A1884" s="6">
        <v>43851</v>
      </c>
      <c r="B1884" s="7">
        <v>0.68472222222222223</v>
      </c>
      <c r="C1884" s="16" t="str">
        <f>"FES1162732270"</f>
        <v>FES1162732270</v>
      </c>
      <c r="D1884" s="16" t="s">
        <v>19</v>
      </c>
      <c r="E1884" s="16" t="s">
        <v>166</v>
      </c>
      <c r="F1884" s="16" t="str">
        <f>"2170724849 "</f>
        <v xml:space="preserve">2170724849 </v>
      </c>
      <c r="G1884" s="16" t="str">
        <f t="shared" si="54"/>
        <v>ON1</v>
      </c>
      <c r="H1884" s="16" t="s">
        <v>21</v>
      </c>
      <c r="I1884" s="16" t="s">
        <v>167</v>
      </c>
      <c r="J1884" s="16" t="str">
        <f>""</f>
        <v/>
      </c>
      <c r="K1884" s="16" t="str">
        <f>"PFES1162732270_0001"</f>
        <v>PFES1162732270_0001</v>
      </c>
      <c r="L1884" s="16">
        <v>1</v>
      </c>
      <c r="M1884" s="16">
        <v>2</v>
      </c>
    </row>
    <row r="1885" spans="1:13">
      <c r="A1885" s="6">
        <v>43851</v>
      </c>
      <c r="B1885" s="7">
        <v>0.68472222222222223</v>
      </c>
      <c r="C1885" s="16" t="str">
        <f>"FES1162732248"</f>
        <v>FES1162732248</v>
      </c>
      <c r="D1885" s="16" t="s">
        <v>19</v>
      </c>
      <c r="E1885" s="16" t="s">
        <v>749</v>
      </c>
      <c r="F1885" s="16" t="str">
        <f>"2170724821 "</f>
        <v xml:space="preserve">2170724821 </v>
      </c>
      <c r="G1885" s="16" t="str">
        <f t="shared" si="54"/>
        <v>ON1</v>
      </c>
      <c r="H1885" s="16" t="s">
        <v>21</v>
      </c>
      <c r="I1885" s="16" t="s">
        <v>230</v>
      </c>
      <c r="J1885" s="16" t="str">
        <f>""</f>
        <v/>
      </c>
      <c r="K1885" s="16" t="str">
        <f>"PFES1162732248_0001"</f>
        <v>PFES1162732248_0001</v>
      </c>
      <c r="L1885" s="16">
        <v>1</v>
      </c>
      <c r="M1885" s="16">
        <v>1</v>
      </c>
    </row>
    <row r="1886" spans="1:13">
      <c r="A1886" s="6">
        <v>43851</v>
      </c>
      <c r="B1886" s="7">
        <v>0.68472222222222223</v>
      </c>
      <c r="C1886" s="16" t="str">
        <f>"FES1162732265"</f>
        <v>FES1162732265</v>
      </c>
      <c r="D1886" s="16" t="s">
        <v>19</v>
      </c>
      <c r="E1886" s="16" t="s">
        <v>180</v>
      </c>
      <c r="F1886" s="16" t="str">
        <f>"2170724842 "</f>
        <v xml:space="preserve">2170724842 </v>
      </c>
      <c r="G1886" s="16" t="str">
        <f t="shared" si="54"/>
        <v>ON1</v>
      </c>
      <c r="H1886" s="16" t="s">
        <v>21</v>
      </c>
      <c r="I1886" s="16" t="s">
        <v>28</v>
      </c>
      <c r="J1886" s="16" t="str">
        <f>""</f>
        <v/>
      </c>
      <c r="K1886" s="16" t="str">
        <f>"PFES1162732265_0001"</f>
        <v>PFES1162732265_0001</v>
      </c>
      <c r="L1886" s="16">
        <v>1</v>
      </c>
      <c r="M1886" s="16">
        <v>5</v>
      </c>
    </row>
    <row r="1887" spans="1:13">
      <c r="A1887" s="6">
        <v>43851</v>
      </c>
      <c r="B1887" s="7">
        <v>0.68402777777777779</v>
      </c>
      <c r="C1887" s="16" t="str">
        <f>"FES1162732275"</f>
        <v>FES1162732275</v>
      </c>
      <c r="D1887" s="16" t="s">
        <v>19</v>
      </c>
      <c r="E1887" s="16" t="s">
        <v>839</v>
      </c>
      <c r="F1887" s="16" t="str">
        <f>"21702784859 "</f>
        <v xml:space="preserve">21702784859 </v>
      </c>
      <c r="G1887" s="16" t="str">
        <f t="shared" si="54"/>
        <v>ON1</v>
      </c>
      <c r="H1887" s="16" t="s">
        <v>21</v>
      </c>
      <c r="I1887" s="16" t="s">
        <v>235</v>
      </c>
      <c r="J1887" s="16" t="str">
        <f>""</f>
        <v/>
      </c>
      <c r="K1887" s="16" t="str">
        <f>"PFES1162732275_0001"</f>
        <v>PFES1162732275_0001</v>
      </c>
      <c r="L1887" s="16">
        <v>1</v>
      </c>
      <c r="M1887" s="16">
        <v>5</v>
      </c>
    </row>
    <row r="1888" spans="1:13">
      <c r="A1888" s="6">
        <v>43851</v>
      </c>
      <c r="B1888" s="7">
        <v>0.68333333333333324</v>
      </c>
      <c r="C1888" s="16" t="str">
        <f>"FES1162732276"</f>
        <v>FES1162732276</v>
      </c>
      <c r="D1888" s="16" t="s">
        <v>19</v>
      </c>
      <c r="E1888" s="16" t="s">
        <v>259</v>
      </c>
      <c r="F1888" s="16" t="str">
        <f>"2170724860 "</f>
        <v xml:space="preserve">2170724860 </v>
      </c>
      <c r="G1888" s="16" t="str">
        <f t="shared" si="54"/>
        <v>ON1</v>
      </c>
      <c r="H1888" s="16" t="s">
        <v>21</v>
      </c>
      <c r="I1888" s="16" t="s">
        <v>260</v>
      </c>
      <c r="J1888" s="16" t="str">
        <f>""</f>
        <v/>
      </c>
      <c r="K1888" s="16" t="str">
        <f>"PFES1162732276_0001"</f>
        <v>PFES1162732276_0001</v>
      </c>
      <c r="L1888" s="16">
        <v>1</v>
      </c>
      <c r="M1888" s="16">
        <v>1</v>
      </c>
    </row>
    <row r="1889" spans="1:13">
      <c r="A1889" s="6">
        <v>43851</v>
      </c>
      <c r="B1889" s="7">
        <v>0.68333333333333324</v>
      </c>
      <c r="C1889" s="16" t="str">
        <f>"FES1162731781"</f>
        <v>FES1162731781</v>
      </c>
      <c r="D1889" s="16" t="s">
        <v>19</v>
      </c>
      <c r="E1889" s="16" t="s">
        <v>134</v>
      </c>
      <c r="F1889" s="16" t="str">
        <f>"2170723231 "</f>
        <v xml:space="preserve">2170723231 </v>
      </c>
      <c r="G1889" s="16" t="str">
        <f t="shared" si="54"/>
        <v>ON1</v>
      </c>
      <c r="H1889" s="16" t="s">
        <v>21</v>
      </c>
      <c r="I1889" s="16" t="s">
        <v>135</v>
      </c>
      <c r="J1889" s="16" t="str">
        <f>""</f>
        <v/>
      </c>
      <c r="K1889" s="16" t="str">
        <f>"PFES1162731781_0001"</f>
        <v>PFES1162731781_0001</v>
      </c>
      <c r="L1889" s="16">
        <v>1</v>
      </c>
      <c r="M1889" s="16">
        <v>4</v>
      </c>
    </row>
    <row r="1890" spans="1:13">
      <c r="A1890" s="6">
        <v>43851</v>
      </c>
      <c r="B1890" s="7">
        <v>0.68263888888888891</v>
      </c>
      <c r="C1890" s="16" t="str">
        <f>"FES1162732162"</f>
        <v>FES1162732162</v>
      </c>
      <c r="D1890" s="16" t="s">
        <v>19</v>
      </c>
      <c r="E1890" s="16" t="s">
        <v>77</v>
      </c>
      <c r="F1890" s="16" t="str">
        <f>"2170724724 "</f>
        <v xml:space="preserve">2170724724 </v>
      </c>
      <c r="G1890" s="16" t="str">
        <f t="shared" si="54"/>
        <v>ON1</v>
      </c>
      <c r="H1890" s="16" t="s">
        <v>21</v>
      </c>
      <c r="I1890" s="16" t="s">
        <v>78</v>
      </c>
      <c r="J1890" s="16" t="str">
        <f>""</f>
        <v/>
      </c>
      <c r="K1890" s="16" t="str">
        <f>"PFES1162732162_0001"</f>
        <v>PFES1162732162_0001</v>
      </c>
      <c r="L1890" s="16">
        <v>1</v>
      </c>
      <c r="M1890" s="16">
        <v>8</v>
      </c>
    </row>
    <row r="1891" spans="1:13">
      <c r="A1891" s="6">
        <v>43851</v>
      </c>
      <c r="B1891" s="7">
        <v>0.68263888888888891</v>
      </c>
      <c r="C1891" s="16" t="str">
        <f>"FES1162732272"</f>
        <v>FES1162732272</v>
      </c>
      <c r="D1891" s="16" t="s">
        <v>19</v>
      </c>
      <c r="E1891" s="16" t="s">
        <v>840</v>
      </c>
      <c r="F1891" s="16" t="str">
        <f>"2170724854 "</f>
        <v xml:space="preserve">2170724854 </v>
      </c>
      <c r="G1891" s="16" t="str">
        <f t="shared" si="54"/>
        <v>ON1</v>
      </c>
      <c r="H1891" s="16" t="s">
        <v>21</v>
      </c>
      <c r="I1891" s="16" t="s">
        <v>728</v>
      </c>
      <c r="J1891" s="16" t="str">
        <f>""</f>
        <v/>
      </c>
      <c r="K1891" s="16" t="str">
        <f>"PFES1162732272_0001"</f>
        <v>PFES1162732272_0001</v>
      </c>
      <c r="L1891" s="16">
        <v>1</v>
      </c>
      <c r="M1891" s="16">
        <v>1</v>
      </c>
    </row>
    <row r="1892" spans="1:13">
      <c r="A1892" s="6">
        <v>43851</v>
      </c>
      <c r="B1892" s="7">
        <v>0.68263888888888891</v>
      </c>
      <c r="C1892" s="16" t="str">
        <f>"FES1162732197"</f>
        <v>FES1162732197</v>
      </c>
      <c r="D1892" s="16" t="s">
        <v>19</v>
      </c>
      <c r="E1892" s="16" t="s">
        <v>540</v>
      </c>
      <c r="F1892" s="16" t="str">
        <f>"2170724760 "</f>
        <v xml:space="preserve">2170724760 </v>
      </c>
      <c r="G1892" s="16" t="str">
        <f t="shared" si="54"/>
        <v>ON1</v>
      </c>
      <c r="H1892" s="16" t="s">
        <v>21</v>
      </c>
      <c r="I1892" s="16" t="s">
        <v>403</v>
      </c>
      <c r="J1892" s="16" t="str">
        <f>""</f>
        <v/>
      </c>
      <c r="K1892" s="16" t="str">
        <f>"PFES1162732197_0001"</f>
        <v>PFES1162732197_0001</v>
      </c>
      <c r="L1892" s="16">
        <v>1</v>
      </c>
      <c r="M1892" s="16">
        <v>2</v>
      </c>
    </row>
    <row r="1893" spans="1:13">
      <c r="A1893" s="6">
        <v>43851</v>
      </c>
      <c r="B1893" s="7">
        <v>0.68263888888888891</v>
      </c>
      <c r="C1893" s="16" t="str">
        <f>"FES1162732172"</f>
        <v>FES1162732172</v>
      </c>
      <c r="D1893" s="16" t="s">
        <v>19</v>
      </c>
      <c r="E1893" s="16" t="s">
        <v>404</v>
      </c>
      <c r="F1893" s="16" t="str">
        <f>"217017247373 "</f>
        <v xml:space="preserve">217017247373 </v>
      </c>
      <c r="G1893" s="16" t="str">
        <f t="shared" si="54"/>
        <v>ON1</v>
      </c>
      <c r="H1893" s="16" t="s">
        <v>21</v>
      </c>
      <c r="I1893" s="16" t="s">
        <v>202</v>
      </c>
      <c r="J1893" s="16" t="str">
        <f>""</f>
        <v/>
      </c>
      <c r="K1893" s="16" t="str">
        <f>"PFES1162732172_0001"</f>
        <v>PFES1162732172_0001</v>
      </c>
      <c r="L1893" s="16">
        <v>1</v>
      </c>
      <c r="M1893" s="16">
        <v>3</v>
      </c>
    </row>
    <row r="1894" spans="1:13">
      <c r="A1894" s="6">
        <v>43851</v>
      </c>
      <c r="B1894" s="7">
        <v>0.68125000000000002</v>
      </c>
      <c r="C1894" s="16" t="str">
        <f>"FES1162732252"</f>
        <v>FES1162732252</v>
      </c>
      <c r="D1894" s="16" t="s">
        <v>19</v>
      </c>
      <c r="E1894" s="16" t="s">
        <v>259</v>
      </c>
      <c r="F1894" s="16" t="str">
        <f>"2170724827 "</f>
        <v xml:space="preserve">2170724827 </v>
      </c>
      <c r="G1894" s="16" t="str">
        <f t="shared" si="54"/>
        <v>ON1</v>
      </c>
      <c r="H1894" s="16" t="s">
        <v>21</v>
      </c>
      <c r="I1894" s="16" t="s">
        <v>260</v>
      </c>
      <c r="J1894" s="16" t="str">
        <f>""</f>
        <v/>
      </c>
      <c r="K1894" s="16" t="str">
        <f>"PFES1162732252_0001"</f>
        <v>PFES1162732252_0001</v>
      </c>
      <c r="L1894" s="16">
        <v>1</v>
      </c>
      <c r="M1894" s="16">
        <v>1</v>
      </c>
    </row>
    <row r="1895" spans="1:13">
      <c r="A1895" s="6">
        <v>43851</v>
      </c>
      <c r="B1895" s="7">
        <v>0.68125000000000002</v>
      </c>
      <c r="C1895" s="16" t="str">
        <f>"FES1162732196"</f>
        <v>FES1162732196</v>
      </c>
      <c r="D1895" s="16" t="s">
        <v>19</v>
      </c>
      <c r="E1895" s="16" t="s">
        <v>77</v>
      </c>
      <c r="F1895" s="16" t="str">
        <f>"217024757 "</f>
        <v xml:space="preserve">217024757 </v>
      </c>
      <c r="G1895" s="16" t="str">
        <f>"DBC"</f>
        <v>DBC</v>
      </c>
      <c r="H1895" s="16" t="s">
        <v>21</v>
      </c>
      <c r="I1895" s="16" t="s">
        <v>78</v>
      </c>
      <c r="J1895" s="16" t="str">
        <f>""</f>
        <v/>
      </c>
      <c r="K1895" s="16" t="str">
        <f>"PFES1162732196_0001"</f>
        <v>PFES1162732196_0001</v>
      </c>
      <c r="L1895" s="16">
        <v>2</v>
      </c>
      <c r="M1895" s="16">
        <v>32</v>
      </c>
    </row>
    <row r="1896" spans="1:13">
      <c r="A1896" s="6">
        <v>43851</v>
      </c>
      <c r="B1896" s="7">
        <v>0.68055555555555547</v>
      </c>
      <c r="C1896" s="16" t="str">
        <f>"FES1162732257"</f>
        <v>FES1162732257</v>
      </c>
      <c r="D1896" s="16" t="s">
        <v>19</v>
      </c>
      <c r="E1896" s="16" t="s">
        <v>190</v>
      </c>
      <c r="F1896" s="16" t="str">
        <f>"2170724834 "</f>
        <v xml:space="preserve">2170724834 </v>
      </c>
      <c r="G1896" s="16" t="str">
        <f t="shared" ref="G1896:G1922" si="56">"ON1"</f>
        <v>ON1</v>
      </c>
      <c r="H1896" s="16" t="s">
        <v>21</v>
      </c>
      <c r="I1896" s="16" t="s">
        <v>191</v>
      </c>
      <c r="J1896" s="16" t="str">
        <f>""</f>
        <v/>
      </c>
      <c r="K1896" s="16" t="str">
        <f>"PFES1162732257_0001"</f>
        <v>PFES1162732257_0001</v>
      </c>
      <c r="L1896" s="16">
        <v>1</v>
      </c>
      <c r="M1896" s="16">
        <v>16</v>
      </c>
    </row>
    <row r="1897" spans="1:13">
      <c r="A1897" s="6">
        <v>43851</v>
      </c>
      <c r="B1897" s="7">
        <v>0.68055555555555547</v>
      </c>
      <c r="C1897" s="16" t="str">
        <f>"FES1162732256"</f>
        <v>FES1162732256</v>
      </c>
      <c r="D1897" s="16" t="s">
        <v>19</v>
      </c>
      <c r="E1897" s="16" t="s">
        <v>151</v>
      </c>
      <c r="F1897" s="16" t="str">
        <f>"2170724832 "</f>
        <v xml:space="preserve">2170724832 </v>
      </c>
      <c r="G1897" s="16" t="str">
        <f t="shared" si="56"/>
        <v>ON1</v>
      </c>
      <c r="H1897" s="16" t="s">
        <v>21</v>
      </c>
      <c r="I1897" s="16" t="s">
        <v>152</v>
      </c>
      <c r="J1897" s="16" t="str">
        <f>""</f>
        <v/>
      </c>
      <c r="K1897" s="16" t="str">
        <f>"PFES1162732256_0001"</f>
        <v>PFES1162732256_0001</v>
      </c>
      <c r="L1897" s="16">
        <v>1</v>
      </c>
      <c r="M1897" s="16">
        <v>3</v>
      </c>
    </row>
    <row r="1898" spans="1:13">
      <c r="A1898" s="6">
        <v>43851</v>
      </c>
      <c r="B1898" s="7">
        <v>0.67986111111111114</v>
      </c>
      <c r="C1898" s="16" t="str">
        <f>"FES1162732259"</f>
        <v>FES1162732259</v>
      </c>
      <c r="D1898" s="16" t="s">
        <v>19</v>
      </c>
      <c r="E1898" s="16" t="s">
        <v>841</v>
      </c>
      <c r="F1898" s="16" t="str">
        <f>"2170724833 "</f>
        <v xml:space="preserve">2170724833 </v>
      </c>
      <c r="G1898" s="16" t="str">
        <f t="shared" si="56"/>
        <v>ON1</v>
      </c>
      <c r="H1898" s="16" t="s">
        <v>21</v>
      </c>
      <c r="I1898" s="16" t="s">
        <v>842</v>
      </c>
      <c r="J1898" s="16" t="str">
        <f>""</f>
        <v/>
      </c>
      <c r="K1898" s="16" t="str">
        <f>"PFES1162732259_0001"</f>
        <v>PFES1162732259_0001</v>
      </c>
      <c r="L1898" s="16">
        <v>1</v>
      </c>
      <c r="M1898" s="16">
        <v>4</v>
      </c>
    </row>
    <row r="1899" spans="1:13">
      <c r="A1899" s="6">
        <v>43851</v>
      </c>
      <c r="B1899" s="7">
        <v>0.67986111111111114</v>
      </c>
      <c r="C1899" s="16" t="str">
        <f>"FES1162732264"</f>
        <v>FES1162732264</v>
      </c>
      <c r="D1899" s="16" t="s">
        <v>19</v>
      </c>
      <c r="E1899" s="16" t="s">
        <v>843</v>
      </c>
      <c r="F1899" s="16" t="str">
        <f>"2170724841 "</f>
        <v xml:space="preserve">2170724841 </v>
      </c>
      <c r="G1899" s="16" t="str">
        <f t="shared" si="56"/>
        <v>ON1</v>
      </c>
      <c r="H1899" s="16" t="s">
        <v>21</v>
      </c>
      <c r="I1899" s="16" t="s">
        <v>121</v>
      </c>
      <c r="J1899" s="16" t="str">
        <f>""</f>
        <v/>
      </c>
      <c r="K1899" s="16" t="str">
        <f>"PFES1162732264_0001"</f>
        <v>PFES1162732264_0001</v>
      </c>
      <c r="L1899" s="16">
        <v>1</v>
      </c>
      <c r="M1899" s="16">
        <v>4</v>
      </c>
    </row>
    <row r="1900" spans="1:13">
      <c r="A1900" s="6">
        <v>43851</v>
      </c>
      <c r="B1900" s="7">
        <v>0.67986111111111114</v>
      </c>
      <c r="C1900" s="16" t="str">
        <f>"FES1162732268"</f>
        <v>FES1162732268</v>
      </c>
      <c r="D1900" s="16" t="s">
        <v>19</v>
      </c>
      <c r="E1900" s="16" t="s">
        <v>142</v>
      </c>
      <c r="F1900" s="16" t="str">
        <f>"21707254845 "</f>
        <v xml:space="preserve">21707254845 </v>
      </c>
      <c r="G1900" s="16" t="str">
        <f t="shared" si="56"/>
        <v>ON1</v>
      </c>
      <c r="H1900" s="16" t="s">
        <v>21</v>
      </c>
      <c r="I1900" s="16" t="s">
        <v>123</v>
      </c>
      <c r="J1900" s="16" t="str">
        <f>""</f>
        <v/>
      </c>
      <c r="K1900" s="16" t="str">
        <f>"PFES1162732268_0001"</f>
        <v>PFES1162732268_0001</v>
      </c>
      <c r="L1900" s="16">
        <v>1</v>
      </c>
      <c r="M1900" s="16">
        <v>1</v>
      </c>
    </row>
    <row r="1901" spans="1:13">
      <c r="A1901" s="6">
        <v>43851</v>
      </c>
      <c r="B1901" s="7">
        <v>0.6791666666666667</v>
      </c>
      <c r="C1901" s="16" t="str">
        <f>"FES1162732183"</f>
        <v>FES1162732183</v>
      </c>
      <c r="D1901" s="16" t="s">
        <v>19</v>
      </c>
      <c r="E1901" s="16" t="s">
        <v>86</v>
      </c>
      <c r="F1901" s="16" t="str">
        <f>"2170724235 "</f>
        <v xml:space="preserve">2170724235 </v>
      </c>
      <c r="G1901" s="16" t="str">
        <f t="shared" si="56"/>
        <v>ON1</v>
      </c>
      <c r="H1901" s="16" t="s">
        <v>21</v>
      </c>
      <c r="I1901" s="16" t="s">
        <v>63</v>
      </c>
      <c r="J1901" s="16" t="str">
        <f>""</f>
        <v/>
      </c>
      <c r="K1901" s="16" t="str">
        <f>"PFES1162732183_0001"</f>
        <v>PFES1162732183_0001</v>
      </c>
      <c r="L1901" s="16">
        <v>1</v>
      </c>
      <c r="M1901" s="16">
        <v>3</v>
      </c>
    </row>
    <row r="1902" spans="1:13">
      <c r="A1902" s="6">
        <v>43851</v>
      </c>
      <c r="B1902" s="7">
        <v>0.6791666666666667</v>
      </c>
      <c r="C1902" s="16" t="str">
        <f>"FES1162732266"</f>
        <v>FES1162732266</v>
      </c>
      <c r="D1902" s="16" t="s">
        <v>19</v>
      </c>
      <c r="E1902" s="16" t="s">
        <v>157</v>
      </c>
      <c r="F1902" s="16" t="str">
        <f>"2170724843 "</f>
        <v xml:space="preserve">2170724843 </v>
      </c>
      <c r="G1902" s="16" t="str">
        <f t="shared" si="56"/>
        <v>ON1</v>
      </c>
      <c r="H1902" s="16" t="s">
        <v>21</v>
      </c>
      <c r="I1902" s="16" t="s">
        <v>158</v>
      </c>
      <c r="J1902" s="16" t="str">
        <f>""</f>
        <v/>
      </c>
      <c r="K1902" s="16" t="str">
        <f>"PFES1162732266_0001"</f>
        <v>PFES1162732266_0001</v>
      </c>
      <c r="L1902" s="16">
        <v>1</v>
      </c>
      <c r="M1902" s="16">
        <v>1</v>
      </c>
    </row>
    <row r="1903" spans="1:13">
      <c r="A1903" s="6">
        <v>43851</v>
      </c>
      <c r="B1903" s="7">
        <v>0.67152777777777783</v>
      </c>
      <c r="C1903" s="16" t="str">
        <f>"FES1162732201"</f>
        <v>FES1162732201</v>
      </c>
      <c r="D1903" s="16" t="s">
        <v>19</v>
      </c>
      <c r="E1903" s="16" t="s">
        <v>844</v>
      </c>
      <c r="F1903" s="16" t="str">
        <f>"2170724766 "</f>
        <v xml:space="preserve">2170724766 </v>
      </c>
      <c r="G1903" s="16" t="str">
        <f t="shared" si="56"/>
        <v>ON1</v>
      </c>
      <c r="H1903" s="16" t="s">
        <v>21</v>
      </c>
      <c r="I1903" s="16" t="s">
        <v>303</v>
      </c>
      <c r="J1903" s="16" t="str">
        <f>""</f>
        <v/>
      </c>
      <c r="K1903" s="16" t="str">
        <f>"PFES1162732201_0001"</f>
        <v>PFES1162732201_0001</v>
      </c>
      <c r="L1903" s="16">
        <v>1</v>
      </c>
      <c r="M1903" s="16">
        <v>1</v>
      </c>
    </row>
    <row r="1904" spans="1:13">
      <c r="A1904" s="6">
        <v>43851</v>
      </c>
      <c r="B1904" s="7">
        <v>0.67083333333333339</v>
      </c>
      <c r="C1904" s="16" t="str">
        <f>"FES1162732232"</f>
        <v>FES1162732232</v>
      </c>
      <c r="D1904" s="16" t="s">
        <v>19</v>
      </c>
      <c r="E1904" s="16" t="s">
        <v>239</v>
      </c>
      <c r="F1904" s="16" t="str">
        <f>"2170724807 "</f>
        <v xml:space="preserve">2170724807 </v>
      </c>
      <c r="G1904" s="16" t="str">
        <f t="shared" si="56"/>
        <v>ON1</v>
      </c>
      <c r="H1904" s="16" t="s">
        <v>21</v>
      </c>
      <c r="I1904" s="16" t="s">
        <v>165</v>
      </c>
      <c r="J1904" s="16" t="str">
        <f>""</f>
        <v/>
      </c>
      <c r="K1904" s="16" t="str">
        <f>"PFES1162732232_0001"</f>
        <v>PFES1162732232_0001</v>
      </c>
      <c r="L1904" s="16">
        <v>1</v>
      </c>
      <c r="M1904" s="16">
        <v>1</v>
      </c>
    </row>
    <row r="1905" spans="1:13">
      <c r="A1905" s="6">
        <v>43851</v>
      </c>
      <c r="B1905" s="7">
        <v>0.67013888888888884</v>
      </c>
      <c r="C1905" s="16" t="str">
        <f>"FES1162732177"</f>
        <v>FES1162732177</v>
      </c>
      <c r="D1905" s="16" t="s">
        <v>19</v>
      </c>
      <c r="E1905" s="16" t="s">
        <v>314</v>
      </c>
      <c r="F1905" s="16" t="str">
        <f>"2170724744 "</f>
        <v xml:space="preserve">2170724744 </v>
      </c>
      <c r="G1905" s="16" t="str">
        <f t="shared" si="56"/>
        <v>ON1</v>
      </c>
      <c r="H1905" s="16" t="s">
        <v>21</v>
      </c>
      <c r="I1905" s="16" t="s">
        <v>315</v>
      </c>
      <c r="J1905" s="16" t="str">
        <f>""</f>
        <v/>
      </c>
      <c r="K1905" s="16" t="str">
        <f>"PFES1162732177_0001"</f>
        <v>PFES1162732177_0001</v>
      </c>
      <c r="L1905" s="16">
        <v>1</v>
      </c>
      <c r="M1905" s="16">
        <v>1</v>
      </c>
    </row>
    <row r="1906" spans="1:13">
      <c r="A1906" s="6">
        <v>43851</v>
      </c>
      <c r="B1906" s="7">
        <v>0.66875000000000007</v>
      </c>
      <c r="C1906" s="16" t="str">
        <f>"FES1162732242"</f>
        <v>FES1162732242</v>
      </c>
      <c r="D1906" s="16" t="s">
        <v>19</v>
      </c>
      <c r="E1906" s="16" t="s">
        <v>845</v>
      </c>
      <c r="F1906" s="16" t="str">
        <f>"2170724819 "</f>
        <v xml:space="preserve">2170724819 </v>
      </c>
      <c r="G1906" s="16" t="str">
        <f t="shared" si="56"/>
        <v>ON1</v>
      </c>
      <c r="H1906" s="16" t="s">
        <v>21</v>
      </c>
      <c r="I1906" s="16" t="s">
        <v>40</v>
      </c>
      <c r="J1906" s="16" t="str">
        <f>""</f>
        <v/>
      </c>
      <c r="K1906" s="16" t="str">
        <f>"PFES1162732242_0001"</f>
        <v>PFES1162732242_0001</v>
      </c>
      <c r="L1906" s="16">
        <v>1</v>
      </c>
      <c r="M1906" s="16">
        <v>1</v>
      </c>
    </row>
    <row r="1907" spans="1:13">
      <c r="A1907" s="6">
        <v>43851</v>
      </c>
      <c r="B1907" s="7">
        <v>0.66805555555555562</v>
      </c>
      <c r="C1907" s="16" t="str">
        <f>"FES1162732237"</f>
        <v>FES1162732237</v>
      </c>
      <c r="D1907" s="16" t="s">
        <v>19</v>
      </c>
      <c r="E1907" s="16" t="s">
        <v>752</v>
      </c>
      <c r="F1907" s="16" t="str">
        <f>"2170724814 "</f>
        <v xml:space="preserve">2170724814 </v>
      </c>
      <c r="G1907" s="16" t="str">
        <f t="shared" si="56"/>
        <v>ON1</v>
      </c>
      <c r="H1907" s="16" t="s">
        <v>21</v>
      </c>
      <c r="I1907" s="16" t="s">
        <v>31</v>
      </c>
      <c r="J1907" s="16" t="str">
        <f>""</f>
        <v/>
      </c>
      <c r="K1907" s="16" t="str">
        <f>"PFES1162732237_0001"</f>
        <v>PFES1162732237_0001</v>
      </c>
      <c r="L1907" s="16">
        <v>1</v>
      </c>
      <c r="M1907" s="16">
        <v>1</v>
      </c>
    </row>
    <row r="1908" spans="1:13">
      <c r="A1908" s="6">
        <v>43851</v>
      </c>
      <c r="B1908" s="7">
        <v>0.66736111111111107</v>
      </c>
      <c r="C1908" s="16" t="str">
        <f>"FES1162732216"</f>
        <v>FES1162732216</v>
      </c>
      <c r="D1908" s="16" t="s">
        <v>19</v>
      </c>
      <c r="E1908" s="16" t="s">
        <v>846</v>
      </c>
      <c r="F1908" s="16" t="str">
        <f>"2170724787 "</f>
        <v xml:space="preserve">2170724787 </v>
      </c>
      <c r="G1908" s="16" t="str">
        <f t="shared" si="56"/>
        <v>ON1</v>
      </c>
      <c r="H1908" s="16" t="s">
        <v>21</v>
      </c>
      <c r="I1908" s="16" t="s">
        <v>152</v>
      </c>
      <c r="J1908" s="16" t="str">
        <f>""</f>
        <v/>
      </c>
      <c r="K1908" s="16" t="str">
        <f>"PFES1162732216_0001"</f>
        <v>PFES1162732216_0001</v>
      </c>
      <c r="L1908" s="16">
        <v>1</v>
      </c>
      <c r="M1908" s="16">
        <v>1</v>
      </c>
    </row>
    <row r="1909" spans="1:13">
      <c r="A1909" s="6">
        <v>43851</v>
      </c>
      <c r="B1909" s="7">
        <v>0.66666666666666663</v>
      </c>
      <c r="C1909" s="16" t="str">
        <f>"FES1162732225"</f>
        <v>FES1162732225</v>
      </c>
      <c r="D1909" s="16" t="s">
        <v>19</v>
      </c>
      <c r="E1909" s="16" t="s">
        <v>593</v>
      </c>
      <c r="F1909" s="16" t="str">
        <f>"2170724797 "</f>
        <v xml:space="preserve">2170724797 </v>
      </c>
      <c r="G1909" s="16" t="str">
        <f t="shared" si="56"/>
        <v>ON1</v>
      </c>
      <c r="H1909" s="16" t="s">
        <v>21</v>
      </c>
      <c r="I1909" s="16" t="s">
        <v>179</v>
      </c>
      <c r="J1909" s="16" t="str">
        <f>""</f>
        <v/>
      </c>
      <c r="K1909" s="16" t="str">
        <f>"PFES1162732225_0001"</f>
        <v>PFES1162732225_0001</v>
      </c>
      <c r="L1909" s="16">
        <v>1</v>
      </c>
      <c r="M1909" s="16">
        <v>12</v>
      </c>
    </row>
    <row r="1910" spans="1:13">
      <c r="A1910" s="6">
        <v>43851</v>
      </c>
      <c r="B1910" s="7">
        <v>0.66597222222222219</v>
      </c>
      <c r="C1910" s="16" t="str">
        <f>"FES1162732179"</f>
        <v>FES1162732179</v>
      </c>
      <c r="D1910" s="16" t="s">
        <v>19</v>
      </c>
      <c r="E1910" s="16" t="s">
        <v>588</v>
      </c>
      <c r="F1910" s="16" t="str">
        <f>"2170724748 "</f>
        <v xml:space="preserve">2170724748 </v>
      </c>
      <c r="G1910" s="16" t="str">
        <f t="shared" si="56"/>
        <v>ON1</v>
      </c>
      <c r="H1910" s="16" t="s">
        <v>21</v>
      </c>
      <c r="I1910" s="16" t="s">
        <v>408</v>
      </c>
      <c r="J1910" s="16" t="str">
        <f>""</f>
        <v/>
      </c>
      <c r="K1910" s="16" t="str">
        <f>"PFES1162732179_0001"</f>
        <v>PFES1162732179_0001</v>
      </c>
      <c r="L1910" s="16">
        <v>1</v>
      </c>
      <c r="M1910" s="16">
        <v>1</v>
      </c>
    </row>
    <row r="1911" spans="1:13">
      <c r="A1911" s="6">
        <v>43851</v>
      </c>
      <c r="B1911" s="7">
        <v>0.66597222222222219</v>
      </c>
      <c r="C1911" s="16" t="str">
        <f>"FES1162732171"</f>
        <v>FES1162732171</v>
      </c>
      <c r="D1911" s="16" t="s">
        <v>19</v>
      </c>
      <c r="E1911" s="16" t="s">
        <v>588</v>
      </c>
      <c r="F1911" s="16" t="str">
        <f>"2170724736 "</f>
        <v xml:space="preserve">2170724736 </v>
      </c>
      <c r="G1911" s="16" t="str">
        <f t="shared" si="56"/>
        <v>ON1</v>
      </c>
      <c r="H1911" s="16" t="s">
        <v>21</v>
      </c>
      <c r="I1911" s="16" t="s">
        <v>408</v>
      </c>
      <c r="J1911" s="16" t="str">
        <f>""</f>
        <v/>
      </c>
      <c r="K1911" s="16" t="str">
        <f>"PFES1162732171_0001"</f>
        <v>PFES1162732171_0001</v>
      </c>
      <c r="L1911" s="16">
        <v>1</v>
      </c>
      <c r="M1911" s="16">
        <v>3</v>
      </c>
    </row>
    <row r="1912" spans="1:13">
      <c r="A1912" s="6">
        <v>43851</v>
      </c>
      <c r="B1912" s="7">
        <v>0.66597222222222219</v>
      </c>
      <c r="C1912" s="16" t="str">
        <f>"FES1162732228"</f>
        <v>FES1162732228</v>
      </c>
      <c r="D1912" s="16" t="s">
        <v>19</v>
      </c>
      <c r="E1912" s="16" t="s">
        <v>572</v>
      </c>
      <c r="F1912" s="16" t="str">
        <f>"2170724802 "</f>
        <v xml:space="preserve">2170724802 </v>
      </c>
      <c r="G1912" s="16" t="str">
        <f t="shared" si="56"/>
        <v>ON1</v>
      </c>
      <c r="H1912" s="16" t="s">
        <v>21</v>
      </c>
      <c r="I1912" s="16" t="s">
        <v>573</v>
      </c>
      <c r="J1912" s="16" t="str">
        <f>""</f>
        <v/>
      </c>
      <c r="K1912" s="16" t="str">
        <f>"PFES1162732228_0001"</f>
        <v>PFES1162732228_0001</v>
      </c>
      <c r="L1912" s="16">
        <v>1</v>
      </c>
      <c r="M1912" s="16">
        <v>3</v>
      </c>
    </row>
    <row r="1913" spans="1:13">
      <c r="A1913" s="6">
        <v>43851</v>
      </c>
      <c r="B1913" s="7">
        <v>0.66527777777777775</v>
      </c>
      <c r="C1913" s="16" t="str">
        <f>"FES1162732214"</f>
        <v>FES1162732214</v>
      </c>
      <c r="D1913" s="16" t="s">
        <v>19</v>
      </c>
      <c r="E1913" s="16" t="s">
        <v>118</v>
      </c>
      <c r="F1913" s="16" t="str">
        <f>"2170724784 "</f>
        <v xml:space="preserve">2170724784 </v>
      </c>
      <c r="G1913" s="16" t="str">
        <f t="shared" si="56"/>
        <v>ON1</v>
      </c>
      <c r="H1913" s="16" t="s">
        <v>21</v>
      </c>
      <c r="I1913" s="16" t="s">
        <v>119</v>
      </c>
      <c r="J1913" s="16" t="str">
        <f>""</f>
        <v/>
      </c>
      <c r="K1913" s="16" t="str">
        <f>"PFES1162732214_0001"</f>
        <v>PFES1162732214_0001</v>
      </c>
      <c r="L1913" s="16">
        <v>1</v>
      </c>
      <c r="M1913" s="16">
        <v>1</v>
      </c>
    </row>
    <row r="1914" spans="1:13">
      <c r="A1914" s="6">
        <v>43851</v>
      </c>
      <c r="B1914" s="7">
        <v>0.66111111111111109</v>
      </c>
      <c r="C1914" s="16" t="str">
        <f>"FES1162732224"</f>
        <v>FES1162732224</v>
      </c>
      <c r="D1914" s="16" t="s">
        <v>19</v>
      </c>
      <c r="E1914" s="16" t="s">
        <v>321</v>
      </c>
      <c r="F1914" s="16" t="str">
        <f>"2170724781 "</f>
        <v xml:space="preserve">2170724781 </v>
      </c>
      <c r="G1914" s="16" t="str">
        <f t="shared" si="56"/>
        <v>ON1</v>
      </c>
      <c r="H1914" s="16" t="s">
        <v>21</v>
      </c>
      <c r="I1914" s="16" t="s">
        <v>127</v>
      </c>
      <c r="J1914" s="16" t="str">
        <f>""</f>
        <v/>
      </c>
      <c r="K1914" s="16" t="str">
        <f>"PFES1162732224_0001"</f>
        <v>PFES1162732224_0001</v>
      </c>
      <c r="L1914" s="16">
        <v>1</v>
      </c>
      <c r="M1914" s="16">
        <v>1</v>
      </c>
    </row>
    <row r="1915" spans="1:13">
      <c r="A1915" s="6">
        <v>43851</v>
      </c>
      <c r="B1915" s="7">
        <v>0.66041666666666665</v>
      </c>
      <c r="C1915" s="16" t="str">
        <f>"FES1162732239"</f>
        <v>FES1162732239</v>
      </c>
      <c r="D1915" s="16" t="s">
        <v>19</v>
      </c>
      <c r="E1915" s="16" t="s">
        <v>847</v>
      </c>
      <c r="F1915" s="16" t="str">
        <f>"2170724816 "</f>
        <v xml:space="preserve">2170724816 </v>
      </c>
      <c r="G1915" s="16" t="str">
        <f t="shared" si="56"/>
        <v>ON1</v>
      </c>
      <c r="H1915" s="16" t="s">
        <v>21</v>
      </c>
      <c r="I1915" s="16" t="s">
        <v>213</v>
      </c>
      <c r="J1915" s="16" t="str">
        <f>""</f>
        <v/>
      </c>
      <c r="K1915" s="16" t="str">
        <f>"PFES1162732239_0001"</f>
        <v>PFES1162732239_0001</v>
      </c>
      <c r="L1915" s="16">
        <v>1</v>
      </c>
      <c r="M1915" s="16">
        <v>1</v>
      </c>
    </row>
    <row r="1916" spans="1:13">
      <c r="A1916" s="6">
        <v>43851</v>
      </c>
      <c r="B1916" s="7">
        <v>0.65694444444444444</v>
      </c>
      <c r="C1916" s="16" t="str">
        <f>"FES1162732255"</f>
        <v>FES1162732255</v>
      </c>
      <c r="D1916" s="16" t="s">
        <v>19</v>
      </c>
      <c r="E1916" s="16" t="s">
        <v>190</v>
      </c>
      <c r="F1916" s="16" t="str">
        <f>"2170724831 "</f>
        <v xml:space="preserve">2170724831 </v>
      </c>
      <c r="G1916" s="16" t="str">
        <f t="shared" si="56"/>
        <v>ON1</v>
      </c>
      <c r="H1916" s="16" t="s">
        <v>21</v>
      </c>
      <c r="I1916" s="16" t="s">
        <v>191</v>
      </c>
      <c r="J1916" s="16" t="str">
        <f>""</f>
        <v/>
      </c>
      <c r="K1916" s="16" t="str">
        <f>"PFES1162732255_0001"</f>
        <v>PFES1162732255_0001</v>
      </c>
      <c r="L1916" s="16">
        <v>1</v>
      </c>
      <c r="M1916" s="16">
        <v>1</v>
      </c>
    </row>
    <row r="1917" spans="1:13">
      <c r="A1917" s="6">
        <v>43851</v>
      </c>
      <c r="B1917" s="7">
        <v>0.65625</v>
      </c>
      <c r="C1917" s="16" t="str">
        <f>"FES1162732244"</f>
        <v>FES1162732244</v>
      </c>
      <c r="D1917" s="16" t="s">
        <v>19</v>
      </c>
      <c r="E1917" s="16" t="s">
        <v>848</v>
      </c>
      <c r="F1917" s="16" t="str">
        <f>"2170724612 "</f>
        <v xml:space="preserve">2170724612 </v>
      </c>
      <c r="G1917" s="16" t="str">
        <f t="shared" si="56"/>
        <v>ON1</v>
      </c>
      <c r="H1917" s="16" t="s">
        <v>21</v>
      </c>
      <c r="I1917" s="16" t="s">
        <v>202</v>
      </c>
      <c r="J1917" s="16" t="str">
        <f>""</f>
        <v/>
      </c>
      <c r="K1917" s="16" t="str">
        <f>"PFES1162732244_0001"</f>
        <v>PFES1162732244_0001</v>
      </c>
      <c r="L1917" s="16">
        <v>1</v>
      </c>
      <c r="M1917" s="16">
        <v>1</v>
      </c>
    </row>
    <row r="1918" spans="1:13">
      <c r="A1918" s="6">
        <v>43851</v>
      </c>
      <c r="B1918" s="7">
        <v>0.65277777777777779</v>
      </c>
      <c r="C1918" s="16" t="str">
        <f>"FES1162732238"</f>
        <v>FES1162732238</v>
      </c>
      <c r="D1918" s="16" t="s">
        <v>19</v>
      </c>
      <c r="E1918" s="16" t="s">
        <v>395</v>
      </c>
      <c r="F1918" s="16" t="str">
        <f>"2170724815 "</f>
        <v xml:space="preserve">2170724815 </v>
      </c>
      <c r="G1918" s="16" t="str">
        <f t="shared" si="56"/>
        <v>ON1</v>
      </c>
      <c r="H1918" s="16" t="s">
        <v>21</v>
      </c>
      <c r="I1918" s="16" t="s">
        <v>396</v>
      </c>
      <c r="J1918" s="16" t="str">
        <f>""</f>
        <v/>
      </c>
      <c r="K1918" s="16" t="str">
        <f>"PFES1162732238_0001"</f>
        <v>PFES1162732238_0001</v>
      </c>
      <c r="L1918" s="16">
        <v>1</v>
      </c>
      <c r="M1918" s="16">
        <v>1</v>
      </c>
    </row>
    <row r="1919" spans="1:13">
      <c r="A1919" s="6">
        <v>43851</v>
      </c>
      <c r="B1919" s="7">
        <v>0.65138888888888891</v>
      </c>
      <c r="C1919" s="16" t="str">
        <f>"FES1162732240"</f>
        <v>FES1162732240</v>
      </c>
      <c r="D1919" s="16" t="s">
        <v>19</v>
      </c>
      <c r="E1919" s="16" t="s">
        <v>136</v>
      </c>
      <c r="F1919" s="16" t="str">
        <f>"2170724817 "</f>
        <v xml:space="preserve">2170724817 </v>
      </c>
      <c r="G1919" s="16" t="str">
        <f t="shared" si="56"/>
        <v>ON1</v>
      </c>
      <c r="H1919" s="16" t="s">
        <v>21</v>
      </c>
      <c r="I1919" s="16" t="s">
        <v>137</v>
      </c>
      <c r="J1919" s="16" t="str">
        <f>""</f>
        <v/>
      </c>
      <c r="K1919" s="16" t="str">
        <f>"PFES1162732240_0001"</f>
        <v>PFES1162732240_0001</v>
      </c>
      <c r="L1919" s="16">
        <v>1</v>
      </c>
      <c r="M1919" s="16">
        <v>1</v>
      </c>
    </row>
    <row r="1920" spans="1:13">
      <c r="A1920" s="6">
        <v>43851</v>
      </c>
      <c r="B1920" s="7">
        <v>0.63541666666666663</v>
      </c>
      <c r="C1920" s="16" t="str">
        <f>"FES1162732178"</f>
        <v>FES1162732178</v>
      </c>
      <c r="D1920" s="16" t="s">
        <v>19</v>
      </c>
      <c r="E1920" s="16" t="s">
        <v>849</v>
      </c>
      <c r="F1920" s="16" t="str">
        <f>"2170724745 "</f>
        <v xml:space="preserve">2170724745 </v>
      </c>
      <c r="G1920" s="16" t="str">
        <f t="shared" si="56"/>
        <v>ON1</v>
      </c>
      <c r="H1920" s="16" t="s">
        <v>21</v>
      </c>
      <c r="I1920" s="16" t="s">
        <v>139</v>
      </c>
      <c r="J1920" s="16" t="str">
        <f>""</f>
        <v/>
      </c>
      <c r="K1920" s="16" t="str">
        <f>"PFES1162732178_0001"</f>
        <v>PFES1162732178_0001</v>
      </c>
      <c r="L1920" s="16">
        <v>1</v>
      </c>
      <c r="M1920" s="16">
        <v>5</v>
      </c>
    </row>
    <row r="1921" spans="1:13">
      <c r="A1921" s="6">
        <v>43851</v>
      </c>
      <c r="B1921" s="7">
        <v>0.63402777777777775</v>
      </c>
      <c r="C1921" s="16" t="str">
        <f>"FES1162732119"</f>
        <v>FES1162732119</v>
      </c>
      <c r="D1921" s="16" t="s">
        <v>19</v>
      </c>
      <c r="E1921" s="16" t="s">
        <v>239</v>
      </c>
      <c r="F1921" s="16" t="str">
        <f>"2170724675 "</f>
        <v xml:space="preserve">2170724675 </v>
      </c>
      <c r="G1921" s="16" t="str">
        <f t="shared" si="56"/>
        <v>ON1</v>
      </c>
      <c r="H1921" s="16" t="s">
        <v>21</v>
      </c>
      <c r="I1921" s="16" t="s">
        <v>165</v>
      </c>
      <c r="J1921" s="16" t="str">
        <f>""</f>
        <v/>
      </c>
      <c r="K1921" s="16" t="str">
        <f>"PFES1162732119_0001"</f>
        <v>PFES1162732119_0001</v>
      </c>
      <c r="L1921" s="16">
        <v>1</v>
      </c>
      <c r="M1921" s="16">
        <v>1</v>
      </c>
    </row>
    <row r="1922" spans="1:13">
      <c r="A1922" s="6">
        <v>43851</v>
      </c>
      <c r="B1922" s="7">
        <v>0.6333333333333333</v>
      </c>
      <c r="C1922" s="16" t="str">
        <f>"FES1162732135"</f>
        <v>FES1162732135</v>
      </c>
      <c r="D1922" s="16" t="s">
        <v>19</v>
      </c>
      <c r="E1922" s="16" t="s">
        <v>850</v>
      </c>
      <c r="F1922" s="16" t="str">
        <f>"2170724515 "</f>
        <v xml:space="preserve">2170724515 </v>
      </c>
      <c r="G1922" s="16" t="str">
        <f t="shared" si="56"/>
        <v>ON1</v>
      </c>
      <c r="H1922" s="16" t="s">
        <v>21</v>
      </c>
      <c r="I1922" s="16" t="s">
        <v>851</v>
      </c>
      <c r="J1922" s="16" t="str">
        <f>""</f>
        <v/>
      </c>
      <c r="K1922" s="16" t="str">
        <f>"PFES1162732135_0001"</f>
        <v>PFES1162732135_0001</v>
      </c>
      <c r="L1922" s="16">
        <v>1</v>
      </c>
      <c r="M1922" s="16">
        <v>1</v>
      </c>
    </row>
    <row r="1923" spans="1:13">
      <c r="A1923" s="6">
        <v>43851</v>
      </c>
      <c r="B1923" s="7">
        <v>0.63263888888888886</v>
      </c>
      <c r="C1923" s="16" t="str">
        <f>"FES1162732151"</f>
        <v>FES1162732151</v>
      </c>
      <c r="D1923" s="16" t="s">
        <v>19</v>
      </c>
      <c r="E1923" s="16" t="s">
        <v>105</v>
      </c>
      <c r="F1923" s="16" t="str">
        <f>"21707210265 "</f>
        <v xml:space="preserve">21707210265 </v>
      </c>
      <c r="G1923" s="16" t="str">
        <f>"DBC"</f>
        <v>DBC</v>
      </c>
      <c r="H1923" s="16" t="s">
        <v>21</v>
      </c>
      <c r="I1923" s="16" t="s">
        <v>106</v>
      </c>
      <c r="J1923" s="16" t="str">
        <f>""</f>
        <v/>
      </c>
      <c r="K1923" s="16" t="str">
        <f>"PFES1162732151_0001"</f>
        <v>PFES1162732151_0001</v>
      </c>
      <c r="L1923" s="16">
        <v>2</v>
      </c>
      <c r="M1923" s="16">
        <v>32</v>
      </c>
    </row>
    <row r="1924" spans="1:13">
      <c r="A1924" s="6">
        <v>43496</v>
      </c>
      <c r="B1924" s="7">
        <v>0.62847222222222221</v>
      </c>
      <c r="C1924" s="16" t="str">
        <f>"FES1162732151"</f>
        <v>FES1162732151</v>
      </c>
      <c r="D1924" s="16" t="s">
        <v>19</v>
      </c>
      <c r="E1924" s="16" t="s">
        <v>81</v>
      </c>
      <c r="F1924" s="16" t="str">
        <f>"2170670373 "</f>
        <v xml:space="preserve">2170670373 </v>
      </c>
      <c r="G1924" s="16" t="str">
        <f>"ON1"</f>
        <v>ON1</v>
      </c>
      <c r="H1924" s="16" t="s">
        <v>21</v>
      </c>
      <c r="I1924" s="16" t="s">
        <v>34</v>
      </c>
      <c r="J1924" s="16" t="str">
        <f>""</f>
        <v/>
      </c>
      <c r="K1924" s="16" t="str">
        <f>"PFES1162732151_0002"</f>
        <v>PFES1162732151_0002</v>
      </c>
      <c r="L1924" s="16">
        <v>1</v>
      </c>
      <c r="M1924" s="16">
        <v>5</v>
      </c>
    </row>
    <row r="1925" spans="1:13">
      <c r="A1925" s="6">
        <v>43851</v>
      </c>
      <c r="B1925" s="7">
        <v>0.63263888888888886</v>
      </c>
      <c r="C1925" s="16" t="str">
        <f>"FES1162732207"</f>
        <v>FES1162732207</v>
      </c>
      <c r="D1925" s="16" t="s">
        <v>19</v>
      </c>
      <c r="E1925" s="16" t="s">
        <v>160</v>
      </c>
      <c r="F1925" s="16" t="str">
        <f>"2170724774 "</f>
        <v xml:space="preserve">2170724774 </v>
      </c>
      <c r="G1925" s="16" t="str">
        <f>"DBC"</f>
        <v>DBC</v>
      </c>
      <c r="H1925" s="16" t="s">
        <v>21</v>
      </c>
      <c r="I1925" s="16" t="s">
        <v>161</v>
      </c>
      <c r="J1925" s="16" t="str">
        <f>""</f>
        <v/>
      </c>
      <c r="K1925" s="16" t="str">
        <f>"PFES1162732207_0001"</f>
        <v>PFES1162732207_0001</v>
      </c>
      <c r="L1925" s="16">
        <v>1</v>
      </c>
      <c r="M1925" s="16">
        <v>20</v>
      </c>
    </row>
    <row r="1926" spans="1:13">
      <c r="A1926" s="6">
        <v>43851</v>
      </c>
      <c r="B1926" s="7">
        <v>0.63194444444444442</v>
      </c>
      <c r="C1926" s="16" t="str">
        <f>"FES1162732222"</f>
        <v>FES1162732222</v>
      </c>
      <c r="D1926" s="16" t="s">
        <v>19</v>
      </c>
      <c r="E1926" s="16" t="s">
        <v>46</v>
      </c>
      <c r="F1926" s="16" t="str">
        <f>"2170724793 "</f>
        <v xml:space="preserve">2170724793 </v>
      </c>
      <c r="G1926" s="16" t="str">
        <f t="shared" ref="G1926:G1943" si="57">"ON1"</f>
        <v>ON1</v>
      </c>
      <c r="H1926" s="16" t="s">
        <v>21</v>
      </c>
      <c r="I1926" s="16" t="s">
        <v>47</v>
      </c>
      <c r="J1926" s="16" t="str">
        <f>""</f>
        <v/>
      </c>
      <c r="K1926" s="16" t="str">
        <f>"PFES1162732222_0001"</f>
        <v>PFES1162732222_0001</v>
      </c>
      <c r="L1926" s="16">
        <v>1</v>
      </c>
      <c r="M1926" s="16">
        <v>3</v>
      </c>
    </row>
    <row r="1927" spans="1:13">
      <c r="A1927" s="6">
        <v>43851</v>
      </c>
      <c r="B1927" s="7">
        <v>0.63194444444444442</v>
      </c>
      <c r="C1927" s="16" t="str">
        <f>"FES1162732219"</f>
        <v>FES1162732219</v>
      </c>
      <c r="D1927" s="16" t="s">
        <v>19</v>
      </c>
      <c r="E1927" s="16" t="s">
        <v>86</v>
      </c>
      <c r="F1927" s="16" t="str">
        <f>"2170721912 "</f>
        <v xml:space="preserve">2170721912 </v>
      </c>
      <c r="G1927" s="16" t="str">
        <f t="shared" si="57"/>
        <v>ON1</v>
      </c>
      <c r="H1927" s="16" t="s">
        <v>21</v>
      </c>
      <c r="I1927" s="16" t="s">
        <v>63</v>
      </c>
      <c r="J1927" s="16" t="str">
        <f>""</f>
        <v/>
      </c>
      <c r="K1927" s="16" t="str">
        <f>"PFES1162732219_0001"</f>
        <v>PFES1162732219_0001</v>
      </c>
      <c r="L1927" s="16">
        <v>1</v>
      </c>
      <c r="M1927" s="16">
        <v>2</v>
      </c>
    </row>
    <row r="1928" spans="1:13">
      <c r="A1928" s="6">
        <v>43851</v>
      </c>
      <c r="B1928" s="7">
        <v>0.63194444444444442</v>
      </c>
      <c r="C1928" s="16" t="str">
        <f>"FES1162732223"</f>
        <v>FES1162732223</v>
      </c>
      <c r="D1928" s="16" t="s">
        <v>19</v>
      </c>
      <c r="E1928" s="16" t="s">
        <v>86</v>
      </c>
      <c r="F1928" s="16" t="str">
        <f>"2170724618 "</f>
        <v xml:space="preserve">2170724618 </v>
      </c>
      <c r="G1928" s="16" t="str">
        <f t="shared" si="57"/>
        <v>ON1</v>
      </c>
      <c r="H1928" s="16" t="s">
        <v>21</v>
      </c>
      <c r="I1928" s="16" t="s">
        <v>63</v>
      </c>
      <c r="J1928" s="16" t="str">
        <f>""</f>
        <v/>
      </c>
      <c r="K1928" s="16" t="str">
        <f>"PFES1162732223_0001"</f>
        <v>PFES1162732223_0001</v>
      </c>
      <c r="L1928" s="16">
        <v>1</v>
      </c>
      <c r="M1928" s="16">
        <v>17</v>
      </c>
    </row>
    <row r="1929" spans="1:13">
      <c r="A1929" s="6">
        <v>43851</v>
      </c>
      <c r="B1929" s="7">
        <v>0.63124999999999998</v>
      </c>
      <c r="C1929" s="16" t="str">
        <f>"FES1162732170"</f>
        <v>FES1162732170</v>
      </c>
      <c r="D1929" s="16" t="s">
        <v>19</v>
      </c>
      <c r="E1929" s="16" t="s">
        <v>199</v>
      </c>
      <c r="F1929" s="16" t="str">
        <f>"2170724734 "</f>
        <v xml:space="preserve">2170724734 </v>
      </c>
      <c r="G1929" s="16" t="str">
        <f t="shared" si="57"/>
        <v>ON1</v>
      </c>
      <c r="H1929" s="16" t="s">
        <v>21</v>
      </c>
      <c r="I1929" s="16" t="s">
        <v>200</v>
      </c>
      <c r="J1929" s="16" t="str">
        <f>""</f>
        <v/>
      </c>
      <c r="K1929" s="16" t="str">
        <f>"PFES1162732170_0001"</f>
        <v>PFES1162732170_0001</v>
      </c>
      <c r="L1929" s="16">
        <v>1</v>
      </c>
      <c r="M1929" s="16">
        <v>1</v>
      </c>
    </row>
    <row r="1930" spans="1:13">
      <c r="A1930" s="6">
        <v>43851</v>
      </c>
      <c r="B1930" s="7">
        <v>0.63124999999999998</v>
      </c>
      <c r="C1930" s="16" t="str">
        <f>"FES1162732122"</f>
        <v>FES1162732122</v>
      </c>
      <c r="D1930" s="16" t="s">
        <v>19</v>
      </c>
      <c r="E1930" s="16" t="s">
        <v>118</v>
      </c>
      <c r="F1930" s="16" t="str">
        <f>"2170724678 "</f>
        <v xml:space="preserve">2170724678 </v>
      </c>
      <c r="G1930" s="16" t="str">
        <f t="shared" si="57"/>
        <v>ON1</v>
      </c>
      <c r="H1930" s="16" t="s">
        <v>21</v>
      </c>
      <c r="I1930" s="16" t="s">
        <v>119</v>
      </c>
      <c r="J1930" s="16" t="str">
        <f>""</f>
        <v/>
      </c>
      <c r="K1930" s="16" t="str">
        <f>"PFES1162732122_0001"</f>
        <v>PFES1162732122_0001</v>
      </c>
      <c r="L1930" s="16">
        <v>1</v>
      </c>
      <c r="M1930" s="16">
        <v>3</v>
      </c>
    </row>
    <row r="1931" spans="1:13">
      <c r="A1931" s="6">
        <v>43851</v>
      </c>
      <c r="B1931" s="7">
        <v>0.63124999999999998</v>
      </c>
      <c r="C1931" s="16" t="str">
        <f>"FES1162732112"</f>
        <v>FES1162732112</v>
      </c>
      <c r="D1931" s="16" t="s">
        <v>19</v>
      </c>
      <c r="E1931" s="16" t="s">
        <v>174</v>
      </c>
      <c r="F1931" s="16" t="str">
        <f>"2170722794 "</f>
        <v xml:space="preserve">2170722794 </v>
      </c>
      <c r="G1931" s="16" t="str">
        <f t="shared" si="57"/>
        <v>ON1</v>
      </c>
      <c r="H1931" s="16" t="s">
        <v>21</v>
      </c>
      <c r="I1931" s="16" t="s">
        <v>175</v>
      </c>
      <c r="J1931" s="16" t="str">
        <f>""</f>
        <v/>
      </c>
      <c r="K1931" s="16" t="str">
        <f>"PFES1162732112_0001"</f>
        <v>PFES1162732112_0001</v>
      </c>
      <c r="L1931" s="16">
        <v>1</v>
      </c>
      <c r="M1931" s="16">
        <v>1</v>
      </c>
    </row>
    <row r="1932" spans="1:13">
      <c r="A1932" s="6">
        <v>43851</v>
      </c>
      <c r="B1932" s="7">
        <v>0.63124999999999998</v>
      </c>
      <c r="C1932" s="16" t="str">
        <f>"FES1162732128"</f>
        <v>FES1162732128</v>
      </c>
      <c r="D1932" s="16" t="s">
        <v>19</v>
      </c>
      <c r="E1932" s="16" t="s">
        <v>852</v>
      </c>
      <c r="F1932" s="16" t="str">
        <f>"2170724688 "</f>
        <v xml:space="preserve">2170724688 </v>
      </c>
      <c r="G1932" s="16" t="str">
        <f t="shared" si="57"/>
        <v>ON1</v>
      </c>
      <c r="H1932" s="16" t="s">
        <v>21</v>
      </c>
      <c r="I1932" s="16" t="s">
        <v>28</v>
      </c>
      <c r="J1932" s="16" t="str">
        <f>""</f>
        <v/>
      </c>
      <c r="K1932" s="16" t="str">
        <f>"PFES1162732128_0001"</f>
        <v>PFES1162732128_0001</v>
      </c>
      <c r="L1932" s="16">
        <v>1</v>
      </c>
      <c r="M1932" s="16">
        <v>3</v>
      </c>
    </row>
    <row r="1933" spans="1:13">
      <c r="A1933" s="6">
        <v>43851</v>
      </c>
      <c r="B1933" s="7">
        <v>0.63055555555555554</v>
      </c>
      <c r="C1933" s="16" t="str">
        <f>"FES1162732089"</f>
        <v>FES1162732089</v>
      </c>
      <c r="D1933" s="16" t="s">
        <v>19</v>
      </c>
      <c r="E1933" s="16" t="s">
        <v>426</v>
      </c>
      <c r="F1933" s="16" t="str">
        <f>"21707214444 "</f>
        <v xml:space="preserve">21707214444 </v>
      </c>
      <c r="G1933" s="16" t="str">
        <f t="shared" si="57"/>
        <v>ON1</v>
      </c>
      <c r="H1933" s="16" t="s">
        <v>21</v>
      </c>
      <c r="I1933" s="16" t="s">
        <v>26</v>
      </c>
      <c r="J1933" s="16" t="str">
        <f>""</f>
        <v/>
      </c>
      <c r="K1933" s="16" t="str">
        <f>"PFES1162732089_0001"</f>
        <v>PFES1162732089_0001</v>
      </c>
      <c r="L1933" s="16">
        <v>1</v>
      </c>
      <c r="M1933" s="16">
        <v>1</v>
      </c>
    </row>
    <row r="1934" spans="1:13">
      <c r="A1934" s="6">
        <v>43851</v>
      </c>
      <c r="B1934" s="7">
        <v>0.63055555555555554</v>
      </c>
      <c r="C1934" s="16" t="str">
        <f>"FES1162732155"</f>
        <v>FES1162732155</v>
      </c>
      <c r="D1934" s="16" t="s">
        <v>19</v>
      </c>
      <c r="E1934" s="16" t="s">
        <v>359</v>
      </c>
      <c r="F1934" s="16" t="str">
        <f>"2170724716 "</f>
        <v xml:space="preserve">2170724716 </v>
      </c>
      <c r="G1934" s="16" t="str">
        <f t="shared" si="57"/>
        <v>ON1</v>
      </c>
      <c r="H1934" s="16" t="s">
        <v>21</v>
      </c>
      <c r="I1934" s="16" t="s">
        <v>165</v>
      </c>
      <c r="J1934" s="16" t="str">
        <f>""</f>
        <v/>
      </c>
      <c r="K1934" s="16" t="str">
        <f>"PFES1162732155_0001"</f>
        <v>PFES1162732155_0001</v>
      </c>
      <c r="L1934" s="16">
        <v>1</v>
      </c>
      <c r="M1934" s="16">
        <v>1</v>
      </c>
    </row>
    <row r="1935" spans="1:13">
      <c r="A1935" s="6">
        <v>43851</v>
      </c>
      <c r="B1935" s="7">
        <v>0.63055555555555554</v>
      </c>
      <c r="C1935" s="16" t="str">
        <f>"FES1162732129"</f>
        <v>FES1162732129</v>
      </c>
      <c r="D1935" s="16" t="s">
        <v>19</v>
      </c>
      <c r="E1935" s="16" t="s">
        <v>853</v>
      </c>
      <c r="F1935" s="16" t="str">
        <f>"2170724689 "</f>
        <v xml:space="preserve">2170724689 </v>
      </c>
      <c r="G1935" s="16" t="str">
        <f t="shared" si="57"/>
        <v>ON1</v>
      </c>
      <c r="H1935" s="16" t="s">
        <v>21</v>
      </c>
      <c r="I1935" s="16" t="s">
        <v>165</v>
      </c>
      <c r="J1935" s="16" t="str">
        <f>""</f>
        <v/>
      </c>
      <c r="K1935" s="16" t="str">
        <f>"PFES1162732129_0001"</f>
        <v>PFES1162732129_0001</v>
      </c>
      <c r="L1935" s="16">
        <v>1</v>
      </c>
      <c r="M1935" s="16">
        <v>1</v>
      </c>
    </row>
    <row r="1936" spans="1:13">
      <c r="A1936" s="6">
        <v>43851</v>
      </c>
      <c r="B1936" s="7">
        <v>0.62986111111111109</v>
      </c>
      <c r="C1936" s="16" t="str">
        <f>"FES1162732192"</f>
        <v>FES1162732192</v>
      </c>
      <c r="D1936" s="16" t="s">
        <v>19</v>
      </c>
      <c r="E1936" s="16" t="s">
        <v>854</v>
      </c>
      <c r="F1936" s="16" t="str">
        <f>"2170724753 "</f>
        <v xml:space="preserve">2170724753 </v>
      </c>
      <c r="G1936" s="16" t="str">
        <f t="shared" si="57"/>
        <v>ON1</v>
      </c>
      <c r="H1936" s="16" t="s">
        <v>21</v>
      </c>
      <c r="I1936" s="16" t="s">
        <v>855</v>
      </c>
      <c r="J1936" s="16" t="str">
        <f>""</f>
        <v/>
      </c>
      <c r="K1936" s="16" t="str">
        <f>"PFES1162732192_0001"</f>
        <v>PFES1162732192_0001</v>
      </c>
      <c r="L1936" s="16">
        <v>1</v>
      </c>
      <c r="M1936" s="16">
        <v>1</v>
      </c>
    </row>
    <row r="1937" spans="1:13">
      <c r="A1937" s="6">
        <v>43851</v>
      </c>
      <c r="B1937" s="7">
        <v>0.62986111111111109</v>
      </c>
      <c r="C1937" s="16" t="str">
        <f>"FES1162732141"</f>
        <v>FES1162732141</v>
      </c>
      <c r="D1937" s="16" t="s">
        <v>19</v>
      </c>
      <c r="E1937" s="16" t="s">
        <v>465</v>
      </c>
      <c r="F1937" s="16" t="str">
        <f>"2170724701 "</f>
        <v xml:space="preserve">2170724701 </v>
      </c>
      <c r="G1937" s="16" t="str">
        <f t="shared" si="57"/>
        <v>ON1</v>
      </c>
      <c r="H1937" s="16" t="s">
        <v>21</v>
      </c>
      <c r="I1937" s="16" t="s">
        <v>466</v>
      </c>
      <c r="J1937" s="16" t="str">
        <f>""</f>
        <v/>
      </c>
      <c r="K1937" s="16" t="str">
        <f>"PFES1162732141_0001"</f>
        <v>PFES1162732141_0001</v>
      </c>
      <c r="L1937" s="16">
        <v>1</v>
      </c>
      <c r="M1937" s="16">
        <v>1</v>
      </c>
    </row>
    <row r="1938" spans="1:13">
      <c r="A1938" s="6">
        <v>43851</v>
      </c>
      <c r="B1938" s="7">
        <v>0.62916666666666665</v>
      </c>
      <c r="C1938" s="16" t="str">
        <f>"FES1162732143"</f>
        <v>FES1162732143</v>
      </c>
      <c r="D1938" s="16" t="s">
        <v>19</v>
      </c>
      <c r="E1938" s="16" t="s">
        <v>118</v>
      </c>
      <c r="F1938" s="16" t="str">
        <f>"2170724704 "</f>
        <v xml:space="preserve">2170724704 </v>
      </c>
      <c r="G1938" s="16" t="str">
        <f t="shared" si="57"/>
        <v>ON1</v>
      </c>
      <c r="H1938" s="16" t="s">
        <v>21</v>
      </c>
      <c r="I1938" s="16" t="s">
        <v>119</v>
      </c>
      <c r="J1938" s="16" t="str">
        <f>""</f>
        <v/>
      </c>
      <c r="K1938" s="16" t="str">
        <f>"PFES1162732143_0001"</f>
        <v>PFES1162732143_0001</v>
      </c>
      <c r="L1938" s="16">
        <v>1</v>
      </c>
      <c r="M1938" s="16">
        <v>4</v>
      </c>
    </row>
    <row r="1939" spans="1:13">
      <c r="A1939" s="6">
        <v>43851</v>
      </c>
      <c r="B1939" s="7">
        <v>0.62916666666666665</v>
      </c>
      <c r="C1939" s="16" t="str">
        <f>"FES1162732123"</f>
        <v>FES1162732123</v>
      </c>
      <c r="D1939" s="16" t="s">
        <v>19</v>
      </c>
      <c r="E1939" s="16" t="s">
        <v>30</v>
      </c>
      <c r="F1939" s="16" t="str">
        <f>"2170724681 "</f>
        <v xml:space="preserve">2170724681 </v>
      </c>
      <c r="G1939" s="16" t="str">
        <f t="shared" si="57"/>
        <v>ON1</v>
      </c>
      <c r="H1939" s="16" t="s">
        <v>21</v>
      </c>
      <c r="I1939" s="16" t="s">
        <v>31</v>
      </c>
      <c r="J1939" s="16" t="str">
        <f>""</f>
        <v/>
      </c>
      <c r="K1939" s="16" t="str">
        <f>"PFES1162732123_0001"</f>
        <v>PFES1162732123_0001</v>
      </c>
      <c r="L1939" s="16">
        <v>1</v>
      </c>
      <c r="M1939" s="16">
        <v>2</v>
      </c>
    </row>
    <row r="1940" spans="1:13">
      <c r="A1940" s="6">
        <v>43851</v>
      </c>
      <c r="B1940" s="7">
        <v>0.62916666666666665</v>
      </c>
      <c r="C1940" s="16" t="str">
        <f>"FES1162732147"</f>
        <v>FES1162732147</v>
      </c>
      <c r="D1940" s="16" t="s">
        <v>19</v>
      </c>
      <c r="E1940" s="16" t="s">
        <v>856</v>
      </c>
      <c r="F1940" s="16" t="str">
        <f>"2170724708 "</f>
        <v xml:space="preserve">2170724708 </v>
      </c>
      <c r="G1940" s="16" t="str">
        <f t="shared" si="57"/>
        <v>ON1</v>
      </c>
      <c r="H1940" s="16" t="s">
        <v>21</v>
      </c>
      <c r="I1940" s="16" t="s">
        <v>515</v>
      </c>
      <c r="J1940" s="16" t="str">
        <f>""</f>
        <v/>
      </c>
      <c r="K1940" s="16" t="str">
        <f>"PFES1162732147_0001"</f>
        <v>PFES1162732147_0001</v>
      </c>
      <c r="L1940" s="16">
        <v>1</v>
      </c>
      <c r="M1940" s="16">
        <v>1</v>
      </c>
    </row>
    <row r="1941" spans="1:13">
      <c r="A1941" s="6">
        <v>43851</v>
      </c>
      <c r="B1941" s="7">
        <v>0.62916666666666665</v>
      </c>
      <c r="C1941" s="16" t="str">
        <f>"FES1162732159"</f>
        <v>FES1162732159</v>
      </c>
      <c r="D1941" s="16" t="s">
        <v>19</v>
      </c>
      <c r="E1941" s="16" t="s">
        <v>54</v>
      </c>
      <c r="F1941" s="16" t="str">
        <f>"2170724721 "</f>
        <v xml:space="preserve">2170724721 </v>
      </c>
      <c r="G1941" s="16" t="str">
        <f t="shared" si="57"/>
        <v>ON1</v>
      </c>
      <c r="H1941" s="16" t="s">
        <v>21</v>
      </c>
      <c r="I1941" s="16" t="s">
        <v>31</v>
      </c>
      <c r="J1941" s="16" t="str">
        <f>""</f>
        <v/>
      </c>
      <c r="K1941" s="16" t="str">
        <f>"PFES1162732159_0001"</f>
        <v>PFES1162732159_0001</v>
      </c>
      <c r="L1941" s="16">
        <v>1</v>
      </c>
      <c r="M1941" s="16">
        <v>2</v>
      </c>
    </row>
    <row r="1942" spans="1:13">
      <c r="A1942" s="6">
        <v>43851</v>
      </c>
      <c r="B1942" s="7">
        <v>0.62847222222222221</v>
      </c>
      <c r="C1942" s="16" t="str">
        <f>"FES1162732115"</f>
        <v>FES1162732115</v>
      </c>
      <c r="D1942" s="16" t="s">
        <v>19</v>
      </c>
      <c r="E1942" s="16" t="s">
        <v>857</v>
      </c>
      <c r="F1942" s="16" t="str">
        <f>"2170722157 "</f>
        <v xml:space="preserve">2170722157 </v>
      </c>
      <c r="G1942" s="16" t="str">
        <f t="shared" si="57"/>
        <v>ON1</v>
      </c>
      <c r="H1942" s="16" t="s">
        <v>21</v>
      </c>
      <c r="I1942" s="16" t="s">
        <v>40</v>
      </c>
      <c r="J1942" s="16" t="str">
        <f>""</f>
        <v/>
      </c>
      <c r="K1942" s="16" t="str">
        <f>"PFES1162732115_0001"</f>
        <v>PFES1162732115_0001</v>
      </c>
      <c r="L1942" s="16">
        <v>1</v>
      </c>
      <c r="M1942" s="16">
        <v>6</v>
      </c>
    </row>
    <row r="1943" spans="1:13">
      <c r="A1943" s="6">
        <v>43851</v>
      </c>
      <c r="B1943" s="7">
        <v>0.62847222222222221</v>
      </c>
      <c r="C1943" s="16" t="str">
        <f>"FES1162732235"</f>
        <v>FES1162732235</v>
      </c>
      <c r="D1943" s="16" t="s">
        <v>19</v>
      </c>
      <c r="E1943" s="16" t="s">
        <v>858</v>
      </c>
      <c r="F1943" s="16" t="str">
        <f>"2170724813 "</f>
        <v xml:space="preserve">2170724813 </v>
      </c>
      <c r="G1943" s="16" t="str">
        <f t="shared" si="57"/>
        <v>ON1</v>
      </c>
      <c r="H1943" s="16" t="s">
        <v>21</v>
      </c>
      <c r="I1943" s="16" t="s">
        <v>448</v>
      </c>
      <c r="J1943" s="16" t="str">
        <f>""</f>
        <v/>
      </c>
      <c r="K1943" s="16" t="str">
        <f>"PFES1162732235_0001"</f>
        <v>PFES1162732235_0001</v>
      </c>
      <c r="L1943" s="16">
        <v>1</v>
      </c>
      <c r="M1943" s="16">
        <v>1</v>
      </c>
    </row>
    <row r="1944" spans="1:13">
      <c r="A1944" s="6">
        <v>43851</v>
      </c>
      <c r="B1944" s="7">
        <v>0.62847222222222221</v>
      </c>
      <c r="C1944" s="16" t="str">
        <f>"FES1162732138"</f>
        <v>FES1162732138</v>
      </c>
      <c r="D1944" s="16" t="s">
        <v>19</v>
      </c>
      <c r="E1944" s="16" t="s">
        <v>310</v>
      </c>
      <c r="F1944" s="16" t="str">
        <f>"2170724697 "</f>
        <v xml:space="preserve">2170724697 </v>
      </c>
      <c r="G1944" s="16" t="str">
        <f>"DBC"</f>
        <v>DBC</v>
      </c>
      <c r="H1944" s="16" t="s">
        <v>21</v>
      </c>
      <c r="I1944" s="16" t="s">
        <v>311</v>
      </c>
      <c r="J1944" s="16" t="str">
        <f>""</f>
        <v/>
      </c>
      <c r="K1944" s="16" t="str">
        <f>"PFES1162732138_0001"</f>
        <v>PFES1162732138_0001</v>
      </c>
      <c r="L1944" s="16">
        <v>1</v>
      </c>
      <c r="M1944" s="16">
        <v>21</v>
      </c>
    </row>
    <row r="1945" spans="1:13">
      <c r="A1945" s="6">
        <v>43851</v>
      </c>
      <c r="B1945" s="7">
        <v>0.62708333333333333</v>
      </c>
      <c r="C1945" s="16" t="str">
        <f>"FES1162732191"</f>
        <v>FES1162732191</v>
      </c>
      <c r="D1945" s="16" t="s">
        <v>19</v>
      </c>
      <c r="E1945" s="16" t="s">
        <v>859</v>
      </c>
      <c r="F1945" s="16" t="str">
        <f>"2170724749 "</f>
        <v xml:space="preserve">2170724749 </v>
      </c>
      <c r="G1945" s="16" t="str">
        <f>"ON1"</f>
        <v>ON1</v>
      </c>
      <c r="H1945" s="16" t="s">
        <v>21</v>
      </c>
      <c r="I1945" s="16" t="s">
        <v>860</v>
      </c>
      <c r="J1945" s="16" t="str">
        <f>""</f>
        <v/>
      </c>
      <c r="K1945" s="16" t="str">
        <f>"PFES1162732191_0001"</f>
        <v>PFES1162732191_0001</v>
      </c>
      <c r="L1945" s="16">
        <v>2</v>
      </c>
      <c r="M1945" s="16">
        <v>10</v>
      </c>
    </row>
    <row r="1946" spans="1:13">
      <c r="A1946" s="6">
        <v>43851</v>
      </c>
      <c r="B1946" s="7">
        <v>0.62708333333333333</v>
      </c>
      <c r="C1946" s="16" t="str">
        <f>"FES1162732191"</f>
        <v>FES1162732191</v>
      </c>
      <c r="D1946" s="16" t="s">
        <v>19</v>
      </c>
      <c r="E1946" s="16" t="s">
        <v>859</v>
      </c>
      <c r="F1946" s="16" t="str">
        <f>"2170724749 "</f>
        <v xml:space="preserve">2170724749 </v>
      </c>
      <c r="G1946" s="16" t="str">
        <f>"ON1"</f>
        <v>ON1</v>
      </c>
      <c r="H1946" s="16" t="s">
        <v>21</v>
      </c>
      <c r="I1946" s="16" t="s">
        <v>860</v>
      </c>
      <c r="J1946" s="16"/>
      <c r="K1946" s="16" t="str">
        <f>"PFES1162732191_0002"</f>
        <v>PFES1162732191_0002</v>
      </c>
      <c r="L1946" s="16">
        <v>2</v>
      </c>
      <c r="M1946" s="16">
        <v>10</v>
      </c>
    </row>
    <row r="1947" spans="1:13">
      <c r="A1947" s="6">
        <v>43851</v>
      </c>
      <c r="B1947" s="7">
        <v>0.62708333333333333</v>
      </c>
      <c r="C1947" s="16" t="str">
        <f>"FES1162732210"</f>
        <v>FES1162732210</v>
      </c>
      <c r="D1947" s="16" t="s">
        <v>19</v>
      </c>
      <c r="E1947" s="16" t="s">
        <v>248</v>
      </c>
      <c r="F1947" s="16" t="str">
        <f>"2170724778 "</f>
        <v xml:space="preserve">2170724778 </v>
      </c>
      <c r="G1947" s="16" t="str">
        <f t="shared" ref="G1947:G1968" si="58">"ON1"</f>
        <v>ON1</v>
      </c>
      <c r="H1947" s="16" t="s">
        <v>21</v>
      </c>
      <c r="I1947" s="16" t="s">
        <v>209</v>
      </c>
      <c r="J1947" s="16" t="str">
        <f>""</f>
        <v/>
      </c>
      <c r="K1947" s="16" t="str">
        <f>"PFES1162732210_0001"</f>
        <v>PFES1162732210_0001</v>
      </c>
      <c r="L1947" s="16">
        <v>1</v>
      </c>
      <c r="M1947" s="16">
        <v>1</v>
      </c>
    </row>
    <row r="1948" spans="1:13">
      <c r="A1948" s="6">
        <v>43851</v>
      </c>
      <c r="B1948" s="7">
        <v>0.62708333333333333</v>
      </c>
      <c r="C1948" s="16" t="str">
        <f>"FES1162732187"</f>
        <v>FES1162732187</v>
      </c>
      <c r="D1948" s="16" t="s">
        <v>19</v>
      </c>
      <c r="E1948" s="16" t="s">
        <v>199</v>
      </c>
      <c r="F1948" s="16" t="str">
        <f>"2170724517 "</f>
        <v xml:space="preserve">2170724517 </v>
      </c>
      <c r="G1948" s="16" t="str">
        <f t="shared" si="58"/>
        <v>ON1</v>
      </c>
      <c r="H1948" s="16" t="s">
        <v>21</v>
      </c>
      <c r="I1948" s="16" t="s">
        <v>200</v>
      </c>
      <c r="J1948" s="16" t="str">
        <f>""</f>
        <v/>
      </c>
      <c r="K1948" s="16" t="str">
        <f>"PFES1162732187_0001"</f>
        <v>PFES1162732187_0001</v>
      </c>
      <c r="L1948" s="16">
        <v>1</v>
      </c>
      <c r="M1948" s="16">
        <v>11</v>
      </c>
    </row>
    <row r="1949" spans="1:13">
      <c r="A1949" s="6">
        <v>43851</v>
      </c>
      <c r="B1949" s="7">
        <v>0.62638888888888888</v>
      </c>
      <c r="C1949" s="16" t="str">
        <f>"FES1162732185"</f>
        <v>FES1162732185</v>
      </c>
      <c r="D1949" s="16" t="s">
        <v>19</v>
      </c>
      <c r="E1949" s="16" t="s">
        <v>861</v>
      </c>
      <c r="F1949" s="16" t="str">
        <f>"2170724469 "</f>
        <v xml:space="preserve">2170724469 </v>
      </c>
      <c r="G1949" s="16" t="str">
        <f t="shared" si="58"/>
        <v>ON1</v>
      </c>
      <c r="H1949" s="16" t="s">
        <v>21</v>
      </c>
      <c r="I1949" s="16" t="s">
        <v>85</v>
      </c>
      <c r="J1949" s="16" t="str">
        <f>""</f>
        <v/>
      </c>
      <c r="K1949" s="16" t="str">
        <f>"PFES1162732185_0001"</f>
        <v>PFES1162732185_0001</v>
      </c>
      <c r="L1949" s="16">
        <v>1</v>
      </c>
      <c r="M1949" s="16">
        <v>4</v>
      </c>
    </row>
    <row r="1950" spans="1:13">
      <c r="A1950" s="6">
        <v>43851</v>
      </c>
      <c r="B1950" s="7">
        <v>0.62569444444444444</v>
      </c>
      <c r="C1950" s="16" t="str">
        <f>"FES1162732175"</f>
        <v>FES1162732175</v>
      </c>
      <c r="D1950" s="16" t="s">
        <v>19</v>
      </c>
      <c r="E1950" s="16" t="s">
        <v>862</v>
      </c>
      <c r="F1950" s="16" t="str">
        <f>"2170724740 "</f>
        <v xml:space="preserve">2170724740 </v>
      </c>
      <c r="G1950" s="16" t="str">
        <f t="shared" si="58"/>
        <v>ON1</v>
      </c>
      <c r="H1950" s="16" t="s">
        <v>21</v>
      </c>
      <c r="I1950" s="16" t="s">
        <v>73</v>
      </c>
      <c r="J1950" s="16" t="str">
        <f>""</f>
        <v/>
      </c>
      <c r="K1950" s="16" t="str">
        <f>"PFES1162732175_0001"</f>
        <v>PFES1162732175_0001</v>
      </c>
      <c r="L1950" s="16">
        <v>1</v>
      </c>
      <c r="M1950" s="16">
        <v>5</v>
      </c>
    </row>
    <row r="1951" spans="1:13">
      <c r="A1951" s="6">
        <v>43851</v>
      </c>
      <c r="B1951" s="7">
        <v>0.62569444444444444</v>
      </c>
      <c r="C1951" s="16" t="str">
        <f>"FES1162732208"</f>
        <v>FES1162732208</v>
      </c>
      <c r="D1951" s="16" t="s">
        <v>19</v>
      </c>
      <c r="E1951" s="16" t="s">
        <v>863</v>
      </c>
      <c r="F1951" s="16" t="str">
        <f>"2170724776 "</f>
        <v xml:space="preserve">2170724776 </v>
      </c>
      <c r="G1951" s="16" t="str">
        <f t="shared" si="58"/>
        <v>ON1</v>
      </c>
      <c r="H1951" s="16" t="s">
        <v>21</v>
      </c>
      <c r="I1951" s="16" t="s">
        <v>864</v>
      </c>
      <c r="J1951" s="16" t="str">
        <f>""</f>
        <v/>
      </c>
      <c r="K1951" s="16" t="str">
        <f>"PFES1162732208_0001"</f>
        <v>PFES1162732208_0001</v>
      </c>
      <c r="L1951" s="16">
        <v>1</v>
      </c>
      <c r="M1951" s="16">
        <v>6</v>
      </c>
    </row>
    <row r="1952" spans="1:13">
      <c r="A1952" s="6">
        <v>43851</v>
      </c>
      <c r="B1952" s="7">
        <v>0.62569444444444444</v>
      </c>
      <c r="C1952" s="16" t="str">
        <f>"FES1162732163"</f>
        <v>FES1162732163</v>
      </c>
      <c r="D1952" s="16" t="s">
        <v>19</v>
      </c>
      <c r="E1952" s="16" t="s">
        <v>105</v>
      </c>
      <c r="F1952" s="16" t="str">
        <f>"2170724725 "</f>
        <v xml:space="preserve">2170724725 </v>
      </c>
      <c r="G1952" s="16" t="str">
        <f t="shared" si="58"/>
        <v>ON1</v>
      </c>
      <c r="H1952" s="16" t="s">
        <v>21</v>
      </c>
      <c r="I1952" s="16" t="s">
        <v>106</v>
      </c>
      <c r="J1952" s="16" t="str">
        <f>""</f>
        <v/>
      </c>
      <c r="K1952" s="16" t="str">
        <f>"PFES1162732163_0001"</f>
        <v>PFES1162732163_0001</v>
      </c>
      <c r="L1952" s="16">
        <v>1</v>
      </c>
      <c r="M1952" s="16">
        <v>1</v>
      </c>
    </row>
    <row r="1953" spans="1:13">
      <c r="A1953" s="6">
        <v>43851</v>
      </c>
      <c r="B1953" s="7">
        <v>0.625</v>
      </c>
      <c r="C1953" s="16" t="str">
        <f>"FES1162732176"</f>
        <v>FES1162732176</v>
      </c>
      <c r="D1953" s="16" t="s">
        <v>19</v>
      </c>
      <c r="E1953" s="16" t="s">
        <v>201</v>
      </c>
      <c r="F1953" s="16" t="str">
        <f>"2170724743 "</f>
        <v xml:space="preserve">2170724743 </v>
      </c>
      <c r="G1953" s="16" t="str">
        <f t="shared" si="58"/>
        <v>ON1</v>
      </c>
      <c r="H1953" s="16" t="s">
        <v>21</v>
      </c>
      <c r="I1953" s="16" t="s">
        <v>202</v>
      </c>
      <c r="J1953" s="16" t="str">
        <f>""</f>
        <v/>
      </c>
      <c r="K1953" s="16" t="str">
        <f>"PFES1162732176_0001"</f>
        <v>PFES1162732176_0001</v>
      </c>
      <c r="L1953" s="16">
        <v>1</v>
      </c>
      <c r="M1953" s="16">
        <v>1</v>
      </c>
    </row>
    <row r="1954" spans="1:13">
      <c r="A1954" s="6">
        <v>43851</v>
      </c>
      <c r="B1954" s="7">
        <v>0.62430555555555556</v>
      </c>
      <c r="C1954" s="16" t="str">
        <f>"FES1162732209"</f>
        <v>FES1162732209</v>
      </c>
      <c r="D1954" s="16" t="s">
        <v>19</v>
      </c>
      <c r="E1954" s="16" t="s">
        <v>413</v>
      </c>
      <c r="F1954" s="16" t="str">
        <f>"2170724777 "</f>
        <v xml:space="preserve">2170724777 </v>
      </c>
      <c r="G1954" s="16" t="str">
        <f t="shared" si="58"/>
        <v>ON1</v>
      </c>
      <c r="H1954" s="16" t="s">
        <v>21</v>
      </c>
      <c r="I1954" s="16" t="s">
        <v>414</v>
      </c>
      <c r="J1954" s="16" t="str">
        <f>""</f>
        <v/>
      </c>
      <c r="K1954" s="16" t="str">
        <f>"PFES1162732209_0001"</f>
        <v>PFES1162732209_0001</v>
      </c>
      <c r="L1954" s="16">
        <v>1</v>
      </c>
      <c r="M1954" s="16">
        <v>1</v>
      </c>
    </row>
    <row r="1955" spans="1:13">
      <c r="A1955" s="6">
        <v>43851</v>
      </c>
      <c r="B1955" s="7">
        <v>0.62361111111111112</v>
      </c>
      <c r="C1955" s="16" t="str">
        <f>"FES1162732184"</f>
        <v>FES1162732184</v>
      </c>
      <c r="D1955" s="16" t="s">
        <v>19</v>
      </c>
      <c r="E1955" s="16" t="s">
        <v>714</v>
      </c>
      <c r="F1955" s="16" t="str">
        <f>"2170724240 "</f>
        <v xml:space="preserve">2170724240 </v>
      </c>
      <c r="G1955" s="16" t="str">
        <f t="shared" si="58"/>
        <v>ON1</v>
      </c>
      <c r="H1955" s="16" t="s">
        <v>21</v>
      </c>
      <c r="I1955" s="16" t="s">
        <v>202</v>
      </c>
      <c r="J1955" s="16" t="str">
        <f>""</f>
        <v/>
      </c>
      <c r="K1955" s="16" t="str">
        <f>"PFES1162732184_0001"</f>
        <v>PFES1162732184_0001</v>
      </c>
      <c r="L1955" s="16">
        <v>1</v>
      </c>
      <c r="M1955" s="16">
        <v>1</v>
      </c>
    </row>
    <row r="1956" spans="1:13">
      <c r="A1956" s="6">
        <v>43851</v>
      </c>
      <c r="B1956" s="7">
        <v>0.59791666666666665</v>
      </c>
      <c r="C1956" s="16" t="str">
        <f>"FES1162732229"</f>
        <v>FES1162732229</v>
      </c>
      <c r="D1956" s="16" t="s">
        <v>19</v>
      </c>
      <c r="E1956" s="16" t="s">
        <v>136</v>
      </c>
      <c r="F1956" s="16" t="str">
        <f>"2170724803 "</f>
        <v xml:space="preserve">2170724803 </v>
      </c>
      <c r="G1956" s="16" t="str">
        <f t="shared" si="58"/>
        <v>ON1</v>
      </c>
      <c r="H1956" s="16" t="s">
        <v>21</v>
      </c>
      <c r="I1956" s="16" t="s">
        <v>137</v>
      </c>
      <c r="J1956" s="16" t="str">
        <f>""</f>
        <v/>
      </c>
      <c r="K1956" s="16" t="str">
        <f>"PFES1162732229_0001"</f>
        <v>PFES1162732229_0001</v>
      </c>
      <c r="L1956" s="16">
        <v>1</v>
      </c>
      <c r="M1956" s="16">
        <v>1</v>
      </c>
    </row>
    <row r="1957" spans="1:13">
      <c r="A1957" s="6">
        <v>43851</v>
      </c>
      <c r="B1957" s="7">
        <v>0.59444444444444444</v>
      </c>
      <c r="C1957" s="16" t="str">
        <f>"FES1162732212"</f>
        <v>FES1162732212</v>
      </c>
      <c r="D1957" s="16" t="s">
        <v>19</v>
      </c>
      <c r="E1957" s="16" t="s">
        <v>136</v>
      </c>
      <c r="F1957" s="16" t="str">
        <f>"2170724780 "</f>
        <v xml:space="preserve">2170724780 </v>
      </c>
      <c r="G1957" s="16" t="str">
        <f t="shared" si="58"/>
        <v>ON1</v>
      </c>
      <c r="H1957" s="16" t="s">
        <v>21</v>
      </c>
      <c r="I1957" s="16" t="s">
        <v>137</v>
      </c>
      <c r="J1957" s="16" t="str">
        <f>""</f>
        <v/>
      </c>
      <c r="K1957" s="16" t="str">
        <f>"PFES1162732212_0001"</f>
        <v>PFES1162732212_0001</v>
      </c>
      <c r="L1957" s="16">
        <v>1</v>
      </c>
      <c r="M1957" s="16">
        <v>1</v>
      </c>
    </row>
    <row r="1958" spans="1:13">
      <c r="A1958" s="6">
        <v>43851</v>
      </c>
      <c r="B1958" s="7">
        <v>0.59375</v>
      </c>
      <c r="C1958" s="16" t="str">
        <f>"FES1162732213"</f>
        <v>FES1162732213</v>
      </c>
      <c r="D1958" s="16" t="s">
        <v>19</v>
      </c>
      <c r="E1958" s="16" t="s">
        <v>136</v>
      </c>
      <c r="F1958" s="16" t="str">
        <f>"2170724783 "</f>
        <v xml:space="preserve">2170724783 </v>
      </c>
      <c r="G1958" s="16" t="str">
        <f t="shared" si="58"/>
        <v>ON1</v>
      </c>
      <c r="H1958" s="16" t="s">
        <v>21</v>
      </c>
      <c r="I1958" s="16" t="s">
        <v>137</v>
      </c>
      <c r="J1958" s="16" t="str">
        <f>""</f>
        <v/>
      </c>
      <c r="K1958" s="16" t="str">
        <f>"PFES1162732213_0001"</f>
        <v>PFES1162732213_0001</v>
      </c>
      <c r="L1958" s="16">
        <v>1</v>
      </c>
      <c r="M1958" s="16">
        <v>1</v>
      </c>
    </row>
    <row r="1959" spans="1:13">
      <c r="A1959" s="6">
        <v>43851</v>
      </c>
      <c r="B1959" s="7">
        <v>0.59305555555555556</v>
      </c>
      <c r="C1959" s="16" t="str">
        <f>"FES1162732206"</f>
        <v>FES1162732206</v>
      </c>
      <c r="D1959" s="16" t="s">
        <v>19</v>
      </c>
      <c r="E1959" s="16" t="s">
        <v>160</v>
      </c>
      <c r="F1959" s="16" t="str">
        <f>"2170724772 "</f>
        <v xml:space="preserve">2170724772 </v>
      </c>
      <c r="G1959" s="16" t="str">
        <f t="shared" si="58"/>
        <v>ON1</v>
      </c>
      <c r="H1959" s="16" t="s">
        <v>21</v>
      </c>
      <c r="I1959" s="16" t="s">
        <v>161</v>
      </c>
      <c r="J1959" s="16" t="str">
        <f>""</f>
        <v/>
      </c>
      <c r="K1959" s="16" t="str">
        <f>"PFES1162732206_0001"</f>
        <v>PFES1162732206_0001</v>
      </c>
      <c r="L1959" s="16">
        <v>1</v>
      </c>
      <c r="M1959" s="16">
        <v>1</v>
      </c>
    </row>
    <row r="1960" spans="1:13">
      <c r="A1960" s="6">
        <v>43851</v>
      </c>
      <c r="B1960" s="7">
        <v>0.59236111111111112</v>
      </c>
      <c r="C1960" s="16" t="str">
        <f>"FES1162732203"</f>
        <v>FES1162732203</v>
      </c>
      <c r="D1960" s="16" t="s">
        <v>19</v>
      </c>
      <c r="E1960" s="16" t="s">
        <v>142</v>
      </c>
      <c r="F1960" s="16" t="str">
        <f>"2170724768 "</f>
        <v xml:space="preserve">2170724768 </v>
      </c>
      <c r="G1960" s="16" t="str">
        <f t="shared" si="58"/>
        <v>ON1</v>
      </c>
      <c r="H1960" s="16" t="s">
        <v>21</v>
      </c>
      <c r="I1960" s="16" t="s">
        <v>123</v>
      </c>
      <c r="J1960" s="16" t="str">
        <f>""</f>
        <v/>
      </c>
      <c r="K1960" s="16" t="str">
        <f>"PFES1162732203_0001"</f>
        <v>PFES1162732203_0001</v>
      </c>
      <c r="L1960" s="16">
        <v>1</v>
      </c>
      <c r="M1960" s="16">
        <v>1</v>
      </c>
    </row>
    <row r="1961" spans="1:13">
      <c r="A1961" s="6">
        <v>43851</v>
      </c>
      <c r="B1961" s="7">
        <v>0.59166666666666667</v>
      </c>
      <c r="C1961" s="16" t="str">
        <f>"FES1162732200"</f>
        <v>FES1162732200</v>
      </c>
      <c r="D1961" s="16" t="s">
        <v>19</v>
      </c>
      <c r="E1961" s="16" t="s">
        <v>865</v>
      </c>
      <c r="F1961" s="16" t="str">
        <f>"2170724765 "</f>
        <v xml:space="preserve">2170724765 </v>
      </c>
      <c r="G1961" s="16" t="str">
        <f t="shared" si="58"/>
        <v>ON1</v>
      </c>
      <c r="H1961" s="16" t="s">
        <v>21</v>
      </c>
      <c r="I1961" s="16" t="s">
        <v>866</v>
      </c>
      <c r="J1961" s="16" t="str">
        <f>""</f>
        <v/>
      </c>
      <c r="K1961" s="16" t="str">
        <f>"PFES1162732200_0001"</f>
        <v>PFES1162732200_0001</v>
      </c>
      <c r="L1961" s="16">
        <v>1</v>
      </c>
      <c r="M1961" s="16">
        <v>1</v>
      </c>
    </row>
    <row r="1962" spans="1:13">
      <c r="A1962" s="6">
        <v>43851</v>
      </c>
      <c r="B1962" s="7">
        <v>0.59097222222222223</v>
      </c>
      <c r="C1962" s="16" t="str">
        <f>"FES1162732204"</f>
        <v>FES1162732204</v>
      </c>
      <c r="D1962" s="16" t="s">
        <v>19</v>
      </c>
      <c r="E1962" s="16" t="s">
        <v>261</v>
      </c>
      <c r="F1962" s="16" t="str">
        <f>"2170724769 "</f>
        <v xml:space="preserve">2170724769 </v>
      </c>
      <c r="G1962" s="16" t="str">
        <f t="shared" si="58"/>
        <v>ON1</v>
      </c>
      <c r="H1962" s="16" t="s">
        <v>21</v>
      </c>
      <c r="I1962" s="16" t="s">
        <v>152</v>
      </c>
      <c r="J1962" s="16" t="str">
        <f>""</f>
        <v/>
      </c>
      <c r="K1962" s="16" t="str">
        <f>"PFES1162732204_0001"</f>
        <v>PFES1162732204_0001</v>
      </c>
      <c r="L1962" s="16">
        <v>1</v>
      </c>
      <c r="M1962" s="16">
        <v>1</v>
      </c>
    </row>
    <row r="1963" spans="1:13">
      <c r="A1963" s="6">
        <v>43851</v>
      </c>
      <c r="B1963" s="7">
        <v>0.5854166666666667</v>
      </c>
      <c r="C1963" s="16" t="str">
        <f>"FES1162732173"</f>
        <v>FES1162732173</v>
      </c>
      <c r="D1963" s="16" t="s">
        <v>19</v>
      </c>
      <c r="E1963" s="16" t="s">
        <v>456</v>
      </c>
      <c r="F1963" s="16" t="str">
        <f>"2170724738 "</f>
        <v xml:space="preserve">2170724738 </v>
      </c>
      <c r="G1963" s="16" t="str">
        <f t="shared" si="58"/>
        <v>ON1</v>
      </c>
      <c r="H1963" s="16" t="s">
        <v>21</v>
      </c>
      <c r="I1963" s="16" t="s">
        <v>344</v>
      </c>
      <c r="J1963" s="16" t="str">
        <f>""</f>
        <v/>
      </c>
      <c r="K1963" s="16" t="str">
        <f>"PFES1162732173_0001"</f>
        <v>PFES1162732173_0001</v>
      </c>
      <c r="L1963" s="16">
        <v>1</v>
      </c>
      <c r="M1963" s="16">
        <v>3</v>
      </c>
    </row>
    <row r="1964" spans="1:13">
      <c r="A1964" s="6">
        <v>43851</v>
      </c>
      <c r="B1964" s="7">
        <v>0.5854166666666667</v>
      </c>
      <c r="C1964" s="16" t="str">
        <f>"FES1162732189"</f>
        <v>FES1162732189</v>
      </c>
      <c r="D1964" s="16" t="s">
        <v>19</v>
      </c>
      <c r="E1964" s="16" t="s">
        <v>450</v>
      </c>
      <c r="F1964" s="16" t="str">
        <f>"2170724572 "</f>
        <v xml:space="preserve">2170724572 </v>
      </c>
      <c r="G1964" s="16" t="str">
        <f t="shared" si="58"/>
        <v>ON1</v>
      </c>
      <c r="H1964" s="16" t="s">
        <v>21</v>
      </c>
      <c r="I1964" s="16" t="s">
        <v>451</v>
      </c>
      <c r="J1964" s="16" t="str">
        <f>""</f>
        <v/>
      </c>
      <c r="K1964" s="16" t="str">
        <f>"PFES1162732189_0001"</f>
        <v>PFES1162732189_0001</v>
      </c>
      <c r="L1964" s="16">
        <v>1</v>
      </c>
      <c r="M1964" s="16">
        <v>4</v>
      </c>
    </row>
    <row r="1965" spans="1:13">
      <c r="A1965" s="6">
        <v>43851</v>
      </c>
      <c r="B1965" s="7">
        <v>0.58402777777777781</v>
      </c>
      <c r="C1965" s="16" t="str">
        <f>"FES1162732152"</f>
        <v>FES1162732152</v>
      </c>
      <c r="D1965" s="16" t="s">
        <v>19</v>
      </c>
      <c r="E1965" s="16" t="s">
        <v>259</v>
      </c>
      <c r="F1965" s="16" t="str">
        <f>"2170724712 "</f>
        <v xml:space="preserve">2170724712 </v>
      </c>
      <c r="G1965" s="16" t="str">
        <f t="shared" si="58"/>
        <v>ON1</v>
      </c>
      <c r="H1965" s="16" t="s">
        <v>21</v>
      </c>
      <c r="I1965" s="16" t="s">
        <v>260</v>
      </c>
      <c r="J1965" s="16" t="str">
        <f>""</f>
        <v/>
      </c>
      <c r="K1965" s="16" t="str">
        <f>"PFES1162732152_0001"</f>
        <v>PFES1162732152_0001</v>
      </c>
      <c r="L1965" s="16">
        <v>1</v>
      </c>
      <c r="M1965" s="16">
        <v>1</v>
      </c>
    </row>
    <row r="1966" spans="1:13">
      <c r="A1966" s="6">
        <v>43851</v>
      </c>
      <c r="B1966" s="7">
        <v>0.58402777777777781</v>
      </c>
      <c r="C1966" s="16" t="str">
        <f>"FES1162732134"</f>
        <v>FES1162732134</v>
      </c>
      <c r="D1966" s="16" t="s">
        <v>19</v>
      </c>
      <c r="E1966" s="16" t="s">
        <v>387</v>
      </c>
      <c r="F1966" s="16" t="str">
        <f>"2170724695 "</f>
        <v xml:space="preserve">2170724695 </v>
      </c>
      <c r="G1966" s="16" t="str">
        <f t="shared" si="58"/>
        <v>ON1</v>
      </c>
      <c r="H1966" s="16" t="s">
        <v>21</v>
      </c>
      <c r="I1966" s="16" t="s">
        <v>202</v>
      </c>
      <c r="J1966" s="16" t="str">
        <f>""</f>
        <v/>
      </c>
      <c r="K1966" s="16" t="str">
        <f>"PFES1162732134_0001"</f>
        <v>PFES1162732134_0001</v>
      </c>
      <c r="L1966" s="16">
        <v>1</v>
      </c>
      <c r="M1966" s="16">
        <v>4</v>
      </c>
    </row>
    <row r="1967" spans="1:13">
      <c r="A1967" s="6">
        <v>43851</v>
      </c>
      <c r="B1967" s="7">
        <v>0.58333333333333337</v>
      </c>
      <c r="C1967" s="16" t="str">
        <f>"FES1162732181"</f>
        <v>FES1162732181</v>
      </c>
      <c r="D1967" s="16" t="s">
        <v>19</v>
      </c>
      <c r="E1967" s="16" t="s">
        <v>37</v>
      </c>
      <c r="F1967" s="16" t="str">
        <f>"2170724752 "</f>
        <v xml:space="preserve">2170724752 </v>
      </c>
      <c r="G1967" s="16" t="str">
        <f t="shared" si="58"/>
        <v>ON1</v>
      </c>
      <c r="H1967" s="16" t="s">
        <v>21</v>
      </c>
      <c r="I1967" s="16" t="s">
        <v>38</v>
      </c>
      <c r="J1967" s="16" t="str">
        <f>""</f>
        <v/>
      </c>
      <c r="K1967" s="16" t="str">
        <f>"PFES1162732181_0001"</f>
        <v>PFES1162732181_0001</v>
      </c>
      <c r="L1967" s="16">
        <v>1</v>
      </c>
      <c r="M1967" s="16">
        <v>2</v>
      </c>
    </row>
    <row r="1968" spans="1:13">
      <c r="A1968" s="6">
        <v>43851</v>
      </c>
      <c r="B1968" s="7">
        <v>0.58333333333333337</v>
      </c>
      <c r="C1968" s="16" t="str">
        <f>"FES1162732034"</f>
        <v>FES1162732034</v>
      </c>
      <c r="D1968" s="16" t="s">
        <v>19</v>
      </c>
      <c r="E1968" s="16" t="s">
        <v>537</v>
      </c>
      <c r="F1968" s="16" t="str">
        <f>"2170722800 "</f>
        <v xml:space="preserve">2170722800 </v>
      </c>
      <c r="G1968" s="16" t="str">
        <f t="shared" si="58"/>
        <v>ON1</v>
      </c>
      <c r="H1968" s="16" t="s">
        <v>21</v>
      </c>
      <c r="I1968" s="16" t="s">
        <v>209</v>
      </c>
      <c r="J1968" s="16" t="str">
        <f>""</f>
        <v/>
      </c>
      <c r="K1968" s="16" t="str">
        <f>"PFES1162732034_0001"</f>
        <v>PFES1162732034_0001</v>
      </c>
      <c r="L1968" s="16">
        <v>1</v>
      </c>
      <c r="M1968" s="16">
        <v>2</v>
      </c>
    </row>
    <row r="1969" spans="1:13">
      <c r="A1969" s="6">
        <v>43851</v>
      </c>
      <c r="B1969" s="7">
        <v>0.58263888888888882</v>
      </c>
      <c r="C1969" s="16" t="str">
        <f>"FES1162732001"</f>
        <v>FES1162732001</v>
      </c>
      <c r="D1969" s="16" t="s">
        <v>19</v>
      </c>
      <c r="E1969" s="16" t="s">
        <v>136</v>
      </c>
      <c r="F1969" s="16" t="str">
        <f>"2170724310 "</f>
        <v xml:space="preserve">2170724310 </v>
      </c>
      <c r="G1969" s="16" t="str">
        <f>"DBC"</f>
        <v>DBC</v>
      </c>
      <c r="H1969" s="16" t="s">
        <v>21</v>
      </c>
      <c r="I1969" s="16" t="s">
        <v>137</v>
      </c>
      <c r="J1969" s="16" t="str">
        <f>""</f>
        <v/>
      </c>
      <c r="K1969" s="16" t="str">
        <f>"PFES1162732001_0001"</f>
        <v>PFES1162732001_0001</v>
      </c>
      <c r="L1969" s="16">
        <v>1</v>
      </c>
      <c r="M1969" s="16">
        <v>20</v>
      </c>
    </row>
    <row r="1970" spans="1:13">
      <c r="A1970" s="6">
        <v>43851</v>
      </c>
      <c r="B1970" s="7">
        <v>0.57847222222222217</v>
      </c>
      <c r="C1970" s="16" t="str">
        <f>"FES1162732205"</f>
        <v>FES1162732205</v>
      </c>
      <c r="D1970" s="16" t="s">
        <v>19</v>
      </c>
      <c r="E1970" s="16" t="s">
        <v>611</v>
      </c>
      <c r="F1970" s="16" t="str">
        <f>"2170724770 "</f>
        <v xml:space="preserve">2170724770 </v>
      </c>
      <c r="G1970" s="16" t="str">
        <f t="shared" ref="G1970:G2014" si="59">"ON1"</f>
        <v>ON1</v>
      </c>
      <c r="H1970" s="16" t="s">
        <v>21</v>
      </c>
      <c r="I1970" s="16" t="s">
        <v>36</v>
      </c>
      <c r="J1970" s="16" t="str">
        <f>""</f>
        <v/>
      </c>
      <c r="K1970" s="16" t="str">
        <f>"PFES1162732205_0001"</f>
        <v>PFES1162732205_0001</v>
      </c>
      <c r="L1970" s="16">
        <v>1</v>
      </c>
      <c r="M1970" s="16">
        <v>1</v>
      </c>
    </row>
    <row r="1971" spans="1:13">
      <c r="A1971" s="6">
        <v>43851</v>
      </c>
      <c r="B1971" s="7">
        <v>0.57361111111111118</v>
      </c>
      <c r="C1971" s="16" t="str">
        <f>"FES1162732144"</f>
        <v>FES1162732144</v>
      </c>
      <c r="D1971" s="16" t="s">
        <v>19</v>
      </c>
      <c r="E1971" s="16" t="s">
        <v>259</v>
      </c>
      <c r="F1971" s="16" t="str">
        <f>"2170724705 "</f>
        <v xml:space="preserve">2170724705 </v>
      </c>
      <c r="G1971" s="16" t="str">
        <f t="shared" si="59"/>
        <v>ON1</v>
      </c>
      <c r="H1971" s="16" t="s">
        <v>21</v>
      </c>
      <c r="I1971" s="16" t="s">
        <v>260</v>
      </c>
      <c r="J1971" s="16" t="str">
        <f>""</f>
        <v/>
      </c>
      <c r="K1971" s="16" t="str">
        <f>"PFES1162732144_0001"</f>
        <v>PFES1162732144_0001</v>
      </c>
      <c r="L1971" s="16">
        <v>1</v>
      </c>
      <c r="M1971" s="16">
        <v>1</v>
      </c>
    </row>
    <row r="1972" spans="1:13">
      <c r="A1972" s="6">
        <v>43851</v>
      </c>
      <c r="B1972" s="7">
        <v>0.57291666666666663</v>
      </c>
      <c r="C1972" s="16" t="str">
        <f>"FES1162732120"</f>
        <v>FES1162732120</v>
      </c>
      <c r="D1972" s="16" t="s">
        <v>19</v>
      </c>
      <c r="E1972" s="16" t="s">
        <v>134</v>
      </c>
      <c r="F1972" s="16" t="str">
        <f>"2170724676 "</f>
        <v xml:space="preserve">2170724676 </v>
      </c>
      <c r="G1972" s="16" t="str">
        <f t="shared" si="59"/>
        <v>ON1</v>
      </c>
      <c r="H1972" s="16" t="s">
        <v>21</v>
      </c>
      <c r="I1972" s="16" t="s">
        <v>135</v>
      </c>
      <c r="J1972" s="16" t="str">
        <f>""</f>
        <v/>
      </c>
      <c r="K1972" s="16" t="str">
        <f>"PFES1162732120_0001"</f>
        <v>PFES1162732120_0001</v>
      </c>
      <c r="L1972" s="16">
        <v>1</v>
      </c>
      <c r="M1972" s="16">
        <v>1</v>
      </c>
    </row>
    <row r="1973" spans="1:13">
      <c r="A1973" s="6">
        <v>43851</v>
      </c>
      <c r="B1973" s="7">
        <v>0.57222222222222219</v>
      </c>
      <c r="C1973" s="16" t="str">
        <f>"FES1162732174"</f>
        <v>FES1162732174</v>
      </c>
      <c r="D1973" s="16" t="s">
        <v>19</v>
      </c>
      <c r="E1973" s="16" t="s">
        <v>697</v>
      </c>
      <c r="F1973" s="16" t="str">
        <f>"2170724739 "</f>
        <v xml:space="preserve">2170724739 </v>
      </c>
      <c r="G1973" s="16" t="str">
        <f t="shared" si="59"/>
        <v>ON1</v>
      </c>
      <c r="H1973" s="16" t="s">
        <v>21</v>
      </c>
      <c r="I1973" s="16" t="s">
        <v>114</v>
      </c>
      <c r="J1973" s="16" t="str">
        <f>""</f>
        <v/>
      </c>
      <c r="K1973" s="16" t="str">
        <f>"PFES1162732174_0001"</f>
        <v>PFES1162732174_0001</v>
      </c>
      <c r="L1973" s="16">
        <v>1</v>
      </c>
      <c r="M1973" s="16">
        <v>1</v>
      </c>
    </row>
    <row r="1974" spans="1:13">
      <c r="A1974" s="6">
        <v>43851</v>
      </c>
      <c r="B1974" s="7">
        <v>0.57152777777777775</v>
      </c>
      <c r="C1974" s="16" t="str">
        <f>"FES1162732180"</f>
        <v>FES1162732180</v>
      </c>
      <c r="D1974" s="16" t="s">
        <v>19</v>
      </c>
      <c r="E1974" s="16" t="s">
        <v>44</v>
      </c>
      <c r="F1974" s="16" t="str">
        <f>"2170724751 "</f>
        <v xml:space="preserve">2170724751 </v>
      </c>
      <c r="G1974" s="16" t="str">
        <f t="shared" si="59"/>
        <v>ON1</v>
      </c>
      <c r="H1974" s="16" t="s">
        <v>21</v>
      </c>
      <c r="I1974" s="16" t="s">
        <v>85</v>
      </c>
      <c r="J1974" s="16" t="str">
        <f>""</f>
        <v/>
      </c>
      <c r="K1974" s="16" t="str">
        <f>"PFES1162732180_0001"</f>
        <v>PFES1162732180_0001</v>
      </c>
      <c r="L1974" s="16">
        <v>1</v>
      </c>
      <c r="M1974" s="16">
        <v>1</v>
      </c>
    </row>
    <row r="1975" spans="1:13">
      <c r="A1975" s="6">
        <v>43851</v>
      </c>
      <c r="B1975" s="7">
        <v>0.5708333333333333</v>
      </c>
      <c r="C1975" s="16" t="str">
        <f>"FES1162732070"</f>
        <v>FES1162732070</v>
      </c>
      <c r="D1975" s="16" t="s">
        <v>19</v>
      </c>
      <c r="E1975" s="16" t="s">
        <v>197</v>
      </c>
      <c r="F1975" s="16" t="str">
        <f>"21707254647 "</f>
        <v xml:space="preserve">21707254647 </v>
      </c>
      <c r="G1975" s="16" t="str">
        <f t="shared" si="59"/>
        <v>ON1</v>
      </c>
      <c r="H1975" s="16" t="s">
        <v>21</v>
      </c>
      <c r="I1975" s="16" t="s">
        <v>198</v>
      </c>
      <c r="J1975" s="16" t="str">
        <f>""</f>
        <v/>
      </c>
      <c r="K1975" s="16" t="str">
        <f>"PFES1162732070_0001"</f>
        <v>PFES1162732070_0001</v>
      </c>
      <c r="L1975" s="16">
        <v>1</v>
      </c>
      <c r="M1975" s="16">
        <v>1</v>
      </c>
    </row>
    <row r="1976" spans="1:13">
      <c r="A1976" s="6">
        <v>43851</v>
      </c>
      <c r="B1976" s="7">
        <v>0.56944444444444442</v>
      </c>
      <c r="C1976" s="16" t="str">
        <f>"FES1162732073"</f>
        <v>FES1162732073</v>
      </c>
      <c r="D1976" s="16" t="s">
        <v>19</v>
      </c>
      <c r="E1976" s="16" t="s">
        <v>482</v>
      </c>
      <c r="F1976" s="16" t="str">
        <f>"2170724653 "</f>
        <v xml:space="preserve">2170724653 </v>
      </c>
      <c r="G1976" s="16" t="str">
        <f t="shared" si="59"/>
        <v>ON1</v>
      </c>
      <c r="H1976" s="16" t="s">
        <v>21</v>
      </c>
      <c r="I1976" s="16" t="s">
        <v>249</v>
      </c>
      <c r="J1976" s="16" t="str">
        <f>""</f>
        <v/>
      </c>
      <c r="K1976" s="16" t="str">
        <f>"PFES1162732073_0001"</f>
        <v>PFES1162732073_0001</v>
      </c>
      <c r="L1976" s="16">
        <v>1</v>
      </c>
      <c r="M1976" s="16">
        <v>1</v>
      </c>
    </row>
    <row r="1977" spans="1:13">
      <c r="A1977" s="6">
        <v>43851</v>
      </c>
      <c r="B1977" s="7">
        <v>0.55347222222222225</v>
      </c>
      <c r="C1977" s="16" t="str">
        <f>"FES1162732165"</f>
        <v>FES1162732165</v>
      </c>
      <c r="D1977" s="16" t="s">
        <v>19</v>
      </c>
      <c r="E1977" s="16" t="s">
        <v>672</v>
      </c>
      <c r="F1977" s="16" t="str">
        <f>"2170724729 "</f>
        <v xml:space="preserve">2170724729 </v>
      </c>
      <c r="G1977" s="16" t="str">
        <f t="shared" si="59"/>
        <v>ON1</v>
      </c>
      <c r="H1977" s="16" t="s">
        <v>21</v>
      </c>
      <c r="I1977" s="16" t="s">
        <v>288</v>
      </c>
      <c r="J1977" s="16" t="str">
        <f>""</f>
        <v/>
      </c>
      <c r="K1977" s="16" t="str">
        <f>"PFES1162732165_0001"</f>
        <v>PFES1162732165_0001</v>
      </c>
      <c r="L1977" s="16">
        <v>1</v>
      </c>
      <c r="M1977" s="16">
        <v>1</v>
      </c>
    </row>
    <row r="1978" spans="1:13">
      <c r="A1978" s="6">
        <v>43851</v>
      </c>
      <c r="B1978" s="7">
        <v>0.55277777777777781</v>
      </c>
      <c r="C1978" s="16" t="str">
        <f>"FES1162732038"</f>
        <v>FES1162732038</v>
      </c>
      <c r="D1978" s="16" t="s">
        <v>19</v>
      </c>
      <c r="E1978" s="16" t="s">
        <v>354</v>
      </c>
      <c r="F1978" s="16" t="str">
        <f>"2170722818 "</f>
        <v xml:space="preserve">2170722818 </v>
      </c>
      <c r="G1978" s="16" t="str">
        <f t="shared" si="59"/>
        <v>ON1</v>
      </c>
      <c r="H1978" s="16" t="s">
        <v>21</v>
      </c>
      <c r="I1978" s="16" t="s">
        <v>355</v>
      </c>
      <c r="J1978" s="16" t="str">
        <f>""</f>
        <v/>
      </c>
      <c r="K1978" s="16" t="str">
        <f>"PFES1162732038_0001"</f>
        <v>PFES1162732038_0001</v>
      </c>
      <c r="L1978" s="16">
        <v>1</v>
      </c>
      <c r="M1978" s="16">
        <v>1</v>
      </c>
    </row>
    <row r="1979" spans="1:13">
      <c r="A1979" s="6">
        <v>43851</v>
      </c>
      <c r="B1979" s="7">
        <v>0.55208333333333337</v>
      </c>
      <c r="C1979" s="16" t="str">
        <f>"FES1162732039"</f>
        <v>FES1162732039</v>
      </c>
      <c r="D1979" s="16" t="s">
        <v>19</v>
      </c>
      <c r="E1979" s="16" t="s">
        <v>205</v>
      </c>
      <c r="F1979" s="16" t="str">
        <f>"2170722831 "</f>
        <v xml:space="preserve">2170722831 </v>
      </c>
      <c r="G1979" s="16" t="str">
        <f t="shared" si="59"/>
        <v>ON1</v>
      </c>
      <c r="H1979" s="16" t="s">
        <v>21</v>
      </c>
      <c r="I1979" s="16" t="s">
        <v>88</v>
      </c>
      <c r="J1979" s="16" t="str">
        <f>""</f>
        <v/>
      </c>
      <c r="K1979" s="16" t="str">
        <f>"PFES1162732039_0001"</f>
        <v>PFES1162732039_0001</v>
      </c>
      <c r="L1979" s="16">
        <v>1</v>
      </c>
      <c r="M1979" s="16">
        <v>1</v>
      </c>
    </row>
    <row r="1980" spans="1:13">
      <c r="A1980" s="6">
        <v>43851</v>
      </c>
      <c r="B1980" s="7">
        <v>0.55138888888888882</v>
      </c>
      <c r="C1980" s="16" t="str">
        <f>"FES1162732046"</f>
        <v>FES1162732046</v>
      </c>
      <c r="D1980" s="16" t="s">
        <v>19</v>
      </c>
      <c r="E1980" s="16" t="s">
        <v>867</v>
      </c>
      <c r="F1980" s="16" t="str">
        <f>"2170722868 "</f>
        <v xml:space="preserve">2170722868 </v>
      </c>
      <c r="G1980" s="16" t="str">
        <f t="shared" si="59"/>
        <v>ON1</v>
      </c>
      <c r="H1980" s="16" t="s">
        <v>21</v>
      </c>
      <c r="I1980" s="16" t="s">
        <v>297</v>
      </c>
      <c r="J1980" s="16" t="str">
        <f>""</f>
        <v/>
      </c>
      <c r="K1980" s="16" t="str">
        <f>"PFES1162732046_0001"</f>
        <v>PFES1162732046_0001</v>
      </c>
      <c r="L1980" s="16">
        <v>1</v>
      </c>
      <c r="M1980" s="16">
        <v>1</v>
      </c>
    </row>
    <row r="1981" spans="1:13">
      <c r="A1981" s="6">
        <v>43851</v>
      </c>
      <c r="B1981" s="7">
        <v>0.55069444444444449</v>
      </c>
      <c r="C1981" s="16" t="str">
        <f>"FES1162732045"</f>
        <v>FES1162732045</v>
      </c>
      <c r="D1981" s="16" t="s">
        <v>19</v>
      </c>
      <c r="E1981" s="16" t="s">
        <v>354</v>
      </c>
      <c r="F1981" s="16" t="str">
        <f>"2170722852 "</f>
        <v xml:space="preserve">2170722852 </v>
      </c>
      <c r="G1981" s="16" t="str">
        <f t="shared" si="59"/>
        <v>ON1</v>
      </c>
      <c r="H1981" s="16" t="s">
        <v>21</v>
      </c>
      <c r="I1981" s="16" t="s">
        <v>355</v>
      </c>
      <c r="J1981" s="16" t="str">
        <f>""</f>
        <v/>
      </c>
      <c r="K1981" s="16" t="str">
        <f>"PFES1162732045_0001"</f>
        <v>PFES1162732045_0001</v>
      </c>
      <c r="L1981" s="16">
        <v>1</v>
      </c>
      <c r="M1981" s="16">
        <v>1</v>
      </c>
    </row>
    <row r="1982" spans="1:13">
      <c r="A1982" s="6">
        <v>43851</v>
      </c>
      <c r="B1982" s="7">
        <v>0.54999999999999993</v>
      </c>
      <c r="C1982" s="16" t="str">
        <f>"FES1162732021"</f>
        <v>FES1162732021</v>
      </c>
      <c r="D1982" s="16" t="s">
        <v>19</v>
      </c>
      <c r="E1982" s="16" t="s">
        <v>427</v>
      </c>
      <c r="F1982" s="16" t="str">
        <f>"2170722270 "</f>
        <v xml:space="preserve">2170722270 </v>
      </c>
      <c r="G1982" s="16" t="str">
        <f t="shared" si="59"/>
        <v>ON1</v>
      </c>
      <c r="H1982" s="16" t="s">
        <v>21</v>
      </c>
      <c r="I1982" s="16" t="s">
        <v>428</v>
      </c>
      <c r="J1982" s="16" t="str">
        <f>""</f>
        <v/>
      </c>
      <c r="K1982" s="16" t="str">
        <f>"PFES1162732021_0001"</f>
        <v>PFES1162732021_0001</v>
      </c>
      <c r="L1982" s="16">
        <v>1</v>
      </c>
      <c r="M1982" s="16">
        <v>1</v>
      </c>
    </row>
    <row r="1983" spans="1:13">
      <c r="A1983" s="6">
        <v>43851</v>
      </c>
      <c r="B1983" s="7">
        <v>0.5493055555555556</v>
      </c>
      <c r="C1983" s="16" t="str">
        <f>"FES1162732081"</f>
        <v>FES1162732081</v>
      </c>
      <c r="D1983" s="16" t="s">
        <v>19</v>
      </c>
      <c r="E1983" s="16" t="s">
        <v>222</v>
      </c>
      <c r="F1983" s="16" t="str">
        <f>"2170724663 "</f>
        <v xml:space="preserve">2170724663 </v>
      </c>
      <c r="G1983" s="16" t="str">
        <f t="shared" si="59"/>
        <v>ON1</v>
      </c>
      <c r="H1983" s="16" t="s">
        <v>21</v>
      </c>
      <c r="I1983" s="16" t="s">
        <v>28</v>
      </c>
      <c r="J1983" s="16" t="str">
        <f>""</f>
        <v/>
      </c>
      <c r="K1983" s="16" t="str">
        <f>"PFES1162732081_0001"</f>
        <v>PFES1162732081_0001</v>
      </c>
      <c r="L1983" s="16">
        <v>1</v>
      </c>
      <c r="M1983" s="16">
        <v>1</v>
      </c>
    </row>
    <row r="1984" spans="1:13">
      <c r="A1984" s="6">
        <v>43851</v>
      </c>
      <c r="B1984" s="7">
        <v>0.54791666666666672</v>
      </c>
      <c r="C1984" s="16" t="str">
        <f>"FES1162732071"</f>
        <v>FES1162732071</v>
      </c>
      <c r="D1984" s="16" t="s">
        <v>19</v>
      </c>
      <c r="E1984" s="16" t="s">
        <v>316</v>
      </c>
      <c r="F1984" s="16" t="str">
        <f>"2170724648 "</f>
        <v xml:space="preserve">2170724648 </v>
      </c>
      <c r="G1984" s="16" t="str">
        <f t="shared" si="59"/>
        <v>ON1</v>
      </c>
      <c r="H1984" s="16" t="s">
        <v>21</v>
      </c>
      <c r="I1984" s="16" t="s">
        <v>119</v>
      </c>
      <c r="J1984" s="16" t="str">
        <f>""</f>
        <v/>
      </c>
      <c r="K1984" s="16" t="str">
        <f>"PFES1162732071_0001"</f>
        <v>PFES1162732071_0001</v>
      </c>
      <c r="L1984" s="16">
        <v>1</v>
      </c>
      <c r="M1984" s="16">
        <v>1</v>
      </c>
    </row>
    <row r="1985" spans="1:13">
      <c r="A1985" s="6">
        <v>43851</v>
      </c>
      <c r="B1985" s="7">
        <v>0.54722222222222217</v>
      </c>
      <c r="C1985" s="16" t="str">
        <f>"FES1162732033"</f>
        <v>FES1162732033</v>
      </c>
      <c r="D1985" s="16" t="s">
        <v>19</v>
      </c>
      <c r="E1985" s="16" t="s">
        <v>304</v>
      </c>
      <c r="F1985" s="16" t="str">
        <f>"2170722798 "</f>
        <v xml:space="preserve">2170722798 </v>
      </c>
      <c r="G1985" s="16" t="str">
        <f t="shared" si="59"/>
        <v>ON1</v>
      </c>
      <c r="H1985" s="16" t="s">
        <v>21</v>
      </c>
      <c r="I1985" s="16" t="s">
        <v>305</v>
      </c>
      <c r="J1985" s="16" t="str">
        <f>""</f>
        <v/>
      </c>
      <c r="K1985" s="16" t="str">
        <f>"PFES1162732033_0001"</f>
        <v>PFES1162732033_0001</v>
      </c>
      <c r="L1985" s="16">
        <v>1</v>
      </c>
      <c r="M1985" s="16">
        <v>1</v>
      </c>
    </row>
    <row r="1986" spans="1:13">
      <c r="A1986" s="6">
        <v>43851</v>
      </c>
      <c r="B1986" s="7">
        <v>0.54652777777777783</v>
      </c>
      <c r="C1986" s="16" t="str">
        <f>"FES1162732103"</f>
        <v>FES1162732103</v>
      </c>
      <c r="D1986" s="16" t="s">
        <v>19</v>
      </c>
      <c r="E1986" s="16" t="s">
        <v>153</v>
      </c>
      <c r="F1986" s="16" t="str">
        <f>"2170722302 "</f>
        <v xml:space="preserve">2170722302 </v>
      </c>
      <c r="G1986" s="16" t="str">
        <f t="shared" si="59"/>
        <v>ON1</v>
      </c>
      <c r="H1986" s="16" t="s">
        <v>21</v>
      </c>
      <c r="I1986" s="16" t="s">
        <v>146</v>
      </c>
      <c r="J1986" s="16" t="str">
        <f>""</f>
        <v/>
      </c>
      <c r="K1986" s="16" t="str">
        <f>"PFES1162732103_0001"</f>
        <v>PFES1162732103_0001</v>
      </c>
      <c r="L1986" s="16">
        <v>1</v>
      </c>
      <c r="M1986" s="16">
        <v>1</v>
      </c>
    </row>
    <row r="1987" spans="1:13">
      <c r="A1987" s="6">
        <v>43851</v>
      </c>
      <c r="B1987" s="7">
        <v>0.54583333333333328</v>
      </c>
      <c r="C1987" s="16" t="str">
        <f>"FES1162732082"</f>
        <v>FES1162732082</v>
      </c>
      <c r="D1987" s="16" t="s">
        <v>19</v>
      </c>
      <c r="E1987" s="16" t="s">
        <v>478</v>
      </c>
      <c r="F1987" s="16" t="str">
        <f>"2170724664 "</f>
        <v xml:space="preserve">2170724664 </v>
      </c>
      <c r="G1987" s="16" t="str">
        <f t="shared" si="59"/>
        <v>ON1</v>
      </c>
      <c r="H1987" s="16" t="s">
        <v>21</v>
      </c>
      <c r="I1987" s="16" t="s">
        <v>277</v>
      </c>
      <c r="J1987" s="16" t="str">
        <f>""</f>
        <v/>
      </c>
      <c r="K1987" s="16" t="str">
        <f>"PFES1162732082_0001"</f>
        <v>PFES1162732082_0001</v>
      </c>
      <c r="L1987" s="16">
        <v>1</v>
      </c>
      <c r="M1987" s="16">
        <v>1</v>
      </c>
    </row>
    <row r="1988" spans="1:13">
      <c r="A1988" s="6">
        <v>43851</v>
      </c>
      <c r="B1988" s="7">
        <v>0.54513888888888895</v>
      </c>
      <c r="C1988" s="16" t="str">
        <f>"FES1162732018"</f>
        <v>FES1162732018</v>
      </c>
      <c r="D1988" s="16" t="s">
        <v>19</v>
      </c>
      <c r="E1988" s="16" t="s">
        <v>268</v>
      </c>
      <c r="F1988" s="16" t="str">
        <f>"2170721708 "</f>
        <v xml:space="preserve">2170721708 </v>
      </c>
      <c r="G1988" s="16" t="str">
        <f t="shared" si="59"/>
        <v>ON1</v>
      </c>
      <c r="H1988" s="16" t="s">
        <v>21</v>
      </c>
      <c r="I1988" s="16" t="s">
        <v>230</v>
      </c>
      <c r="J1988" s="16" t="str">
        <f>""</f>
        <v/>
      </c>
      <c r="K1988" s="16" t="str">
        <f>"PFES1162732018_0001"</f>
        <v>PFES1162732018_0001</v>
      </c>
      <c r="L1988" s="16">
        <v>1</v>
      </c>
      <c r="M1988" s="16">
        <v>1</v>
      </c>
    </row>
    <row r="1989" spans="1:13">
      <c r="A1989" s="6">
        <v>43851</v>
      </c>
      <c r="B1989" s="7">
        <v>0.5444444444444444</v>
      </c>
      <c r="C1989" s="16" t="str">
        <f>"FES1162732014"</f>
        <v>FES1162732014</v>
      </c>
      <c r="D1989" s="16" t="s">
        <v>19</v>
      </c>
      <c r="E1989" s="16" t="s">
        <v>101</v>
      </c>
      <c r="F1989" s="16" t="str">
        <f>"2170724642 "</f>
        <v xml:space="preserve">2170724642 </v>
      </c>
      <c r="G1989" s="16" t="str">
        <f t="shared" si="59"/>
        <v>ON1</v>
      </c>
      <c r="H1989" s="16" t="s">
        <v>21</v>
      </c>
      <c r="I1989" s="16" t="s">
        <v>102</v>
      </c>
      <c r="J1989" s="16" t="str">
        <f>""</f>
        <v/>
      </c>
      <c r="K1989" s="16" t="str">
        <f>"PFES1162732014_0001"</f>
        <v>PFES1162732014_0001</v>
      </c>
      <c r="L1989" s="16">
        <v>1</v>
      </c>
      <c r="M1989" s="16">
        <v>1</v>
      </c>
    </row>
    <row r="1990" spans="1:13">
      <c r="A1990" s="6">
        <v>43851</v>
      </c>
      <c r="B1990" s="7">
        <v>0.54375000000000007</v>
      </c>
      <c r="C1990" s="16" t="str">
        <f>"FES1162732149"</f>
        <v>FES1162732149</v>
      </c>
      <c r="D1990" s="16" t="s">
        <v>19</v>
      </c>
      <c r="E1990" s="16" t="s">
        <v>101</v>
      </c>
      <c r="F1990" s="16" t="str">
        <f>"2170724710 "</f>
        <v xml:space="preserve">2170724710 </v>
      </c>
      <c r="G1990" s="16" t="str">
        <f t="shared" si="59"/>
        <v>ON1</v>
      </c>
      <c r="H1990" s="16" t="s">
        <v>21</v>
      </c>
      <c r="I1990" s="16" t="s">
        <v>102</v>
      </c>
      <c r="J1990" s="16" t="str">
        <f>""</f>
        <v/>
      </c>
      <c r="K1990" s="16" t="str">
        <f>"PFES1162732149_0001"</f>
        <v>PFES1162732149_0001</v>
      </c>
      <c r="L1990" s="16">
        <v>1</v>
      </c>
      <c r="M1990" s="16">
        <v>1</v>
      </c>
    </row>
    <row r="1991" spans="1:13">
      <c r="A1991" s="6">
        <v>43851</v>
      </c>
      <c r="B1991" s="7">
        <v>0.54375000000000007</v>
      </c>
      <c r="C1991" s="16" t="str">
        <f>"FES1162732126"</f>
        <v>FES1162732126</v>
      </c>
      <c r="D1991" s="16" t="s">
        <v>19</v>
      </c>
      <c r="E1991" s="16" t="s">
        <v>656</v>
      </c>
      <c r="F1991" s="16" t="str">
        <f>"2170724684 "</f>
        <v xml:space="preserve">2170724684 </v>
      </c>
      <c r="G1991" s="16" t="str">
        <f t="shared" si="59"/>
        <v>ON1</v>
      </c>
      <c r="H1991" s="16" t="s">
        <v>21</v>
      </c>
      <c r="I1991" s="16" t="s">
        <v>657</v>
      </c>
      <c r="J1991" s="16" t="str">
        <f>""</f>
        <v/>
      </c>
      <c r="K1991" s="16" t="str">
        <f>"PFES1162732126_0001"</f>
        <v>PFES1162732126_0001</v>
      </c>
      <c r="L1991" s="16">
        <v>1</v>
      </c>
      <c r="M1991" s="16">
        <v>1</v>
      </c>
    </row>
    <row r="1992" spans="1:13">
      <c r="A1992" s="6">
        <v>43851</v>
      </c>
      <c r="B1992" s="7">
        <v>0.53402777777777777</v>
      </c>
      <c r="C1992" s="16" t="str">
        <f>"FES1162732132"</f>
        <v>FES1162732132</v>
      </c>
      <c r="D1992" s="16" t="s">
        <v>19</v>
      </c>
      <c r="E1992" s="16" t="s">
        <v>785</v>
      </c>
      <c r="F1992" s="16" t="str">
        <f>"2170724692 "</f>
        <v xml:space="preserve">2170724692 </v>
      </c>
      <c r="G1992" s="16" t="str">
        <f t="shared" si="59"/>
        <v>ON1</v>
      </c>
      <c r="H1992" s="16" t="s">
        <v>21</v>
      </c>
      <c r="I1992" s="16" t="s">
        <v>241</v>
      </c>
      <c r="J1992" s="16" t="str">
        <f>""</f>
        <v/>
      </c>
      <c r="K1992" s="16" t="str">
        <f>"PFES1162732132_0001"</f>
        <v>PFES1162732132_0001</v>
      </c>
      <c r="L1992" s="16">
        <v>1</v>
      </c>
      <c r="M1992" s="16">
        <v>1</v>
      </c>
    </row>
    <row r="1993" spans="1:13">
      <c r="A1993" s="6">
        <v>43851</v>
      </c>
      <c r="B1993" s="7">
        <v>0.53333333333333333</v>
      </c>
      <c r="C1993" s="16" t="str">
        <f>"FES1162732160"</f>
        <v>FES1162732160</v>
      </c>
      <c r="D1993" s="16" t="s">
        <v>19</v>
      </c>
      <c r="E1993" s="16" t="s">
        <v>854</v>
      </c>
      <c r="F1993" s="16" t="str">
        <f>"2170724601 "</f>
        <v xml:space="preserve">2170724601 </v>
      </c>
      <c r="G1993" s="16" t="str">
        <f t="shared" si="59"/>
        <v>ON1</v>
      </c>
      <c r="H1993" s="16" t="s">
        <v>21</v>
      </c>
      <c r="I1993" s="16" t="s">
        <v>855</v>
      </c>
      <c r="J1993" s="16" t="str">
        <f>""</f>
        <v/>
      </c>
      <c r="K1993" s="16" t="str">
        <f>"PFES1162732160_0001"</f>
        <v>PFES1162732160_0001</v>
      </c>
      <c r="L1993" s="16">
        <v>1</v>
      </c>
      <c r="M1993" s="16">
        <v>1</v>
      </c>
    </row>
    <row r="1994" spans="1:13">
      <c r="A1994" s="6">
        <v>43851</v>
      </c>
      <c r="B1994" s="7">
        <v>0.52638888888888891</v>
      </c>
      <c r="C1994" s="16" t="str">
        <f>"FES1162732051"</f>
        <v>FES1162732051</v>
      </c>
      <c r="D1994" s="16" t="s">
        <v>19</v>
      </c>
      <c r="E1994" s="16" t="s">
        <v>868</v>
      </c>
      <c r="F1994" s="16" t="str">
        <f>"2170723377 "</f>
        <v xml:space="preserve">2170723377 </v>
      </c>
      <c r="G1994" s="16" t="str">
        <f t="shared" si="59"/>
        <v>ON1</v>
      </c>
      <c r="H1994" s="16" t="s">
        <v>21</v>
      </c>
      <c r="I1994" s="16" t="s">
        <v>869</v>
      </c>
      <c r="J1994" s="16" t="str">
        <f>""</f>
        <v/>
      </c>
      <c r="K1994" s="16" t="str">
        <f>"PFES1162732051_0001"</f>
        <v>PFES1162732051_0001</v>
      </c>
      <c r="L1994" s="16">
        <v>1</v>
      </c>
      <c r="M1994" s="16">
        <v>2</v>
      </c>
    </row>
    <row r="1995" spans="1:13">
      <c r="A1995" s="6">
        <v>43851</v>
      </c>
      <c r="B1995" s="7">
        <v>0.52638888888888891</v>
      </c>
      <c r="C1995" s="16" t="str">
        <f>"FES1162732164"</f>
        <v>FES1162732164</v>
      </c>
      <c r="D1995" s="16" t="s">
        <v>19</v>
      </c>
      <c r="E1995" s="16" t="s">
        <v>185</v>
      </c>
      <c r="F1995" s="16" t="str">
        <f>"2170724728 "</f>
        <v xml:space="preserve">2170724728 </v>
      </c>
      <c r="G1995" s="16" t="str">
        <f t="shared" si="59"/>
        <v>ON1</v>
      </c>
      <c r="H1995" s="16" t="s">
        <v>21</v>
      </c>
      <c r="I1995" s="16" t="s">
        <v>47</v>
      </c>
      <c r="J1995" s="16" t="str">
        <f>""</f>
        <v/>
      </c>
      <c r="K1995" s="16" t="str">
        <f>"PFES1162732164_0001"</f>
        <v>PFES1162732164_0001</v>
      </c>
      <c r="L1995" s="16">
        <v>1</v>
      </c>
      <c r="M1995" s="16">
        <v>3</v>
      </c>
    </row>
    <row r="1996" spans="1:13">
      <c r="A1996" s="6">
        <v>43851</v>
      </c>
      <c r="B1996" s="7">
        <v>0.52569444444444446</v>
      </c>
      <c r="C1996" s="16" t="str">
        <f>"FES1162732125"</f>
        <v>FES1162732125</v>
      </c>
      <c r="D1996" s="16" t="s">
        <v>19</v>
      </c>
      <c r="E1996" s="16" t="s">
        <v>251</v>
      </c>
      <c r="F1996" s="16" t="str">
        <f>"2170724683 "</f>
        <v xml:space="preserve">2170724683 </v>
      </c>
      <c r="G1996" s="16" t="str">
        <f t="shared" si="59"/>
        <v>ON1</v>
      </c>
      <c r="H1996" s="16" t="s">
        <v>21</v>
      </c>
      <c r="I1996" s="16" t="s">
        <v>96</v>
      </c>
      <c r="J1996" s="16" t="str">
        <f>""</f>
        <v/>
      </c>
      <c r="K1996" s="16" t="str">
        <f>"PFES1162732125_0001"</f>
        <v>PFES1162732125_0001</v>
      </c>
      <c r="L1996" s="16">
        <v>1</v>
      </c>
      <c r="M1996" s="16">
        <v>5</v>
      </c>
    </row>
    <row r="1997" spans="1:13">
      <c r="A1997" s="6">
        <v>43851</v>
      </c>
      <c r="B1997" s="7">
        <v>0.52569444444444446</v>
      </c>
      <c r="C1997" s="16" t="str">
        <f>"FES1162732102"</f>
        <v>FES1162732102</v>
      </c>
      <c r="D1997" s="16" t="s">
        <v>19</v>
      </c>
      <c r="E1997" s="16" t="s">
        <v>197</v>
      </c>
      <c r="F1997" s="16" t="str">
        <f>"217072281 "</f>
        <v xml:space="preserve">217072281 </v>
      </c>
      <c r="G1997" s="16" t="str">
        <f t="shared" si="59"/>
        <v>ON1</v>
      </c>
      <c r="H1997" s="16" t="s">
        <v>21</v>
      </c>
      <c r="I1997" s="16" t="s">
        <v>198</v>
      </c>
      <c r="J1997" s="16" t="str">
        <f>""</f>
        <v/>
      </c>
      <c r="K1997" s="16" t="str">
        <f>"PFES1162732102_0001"</f>
        <v>PFES1162732102_0001</v>
      </c>
      <c r="L1997" s="16">
        <v>1</v>
      </c>
      <c r="M1997" s="16">
        <v>5</v>
      </c>
    </row>
    <row r="1998" spans="1:13">
      <c r="A1998" s="6">
        <v>43851</v>
      </c>
      <c r="B1998" s="7">
        <v>0.52500000000000002</v>
      </c>
      <c r="C1998" s="16" t="str">
        <f>"FES1162732019"</f>
        <v>FES1162732019</v>
      </c>
      <c r="D1998" s="16" t="s">
        <v>19</v>
      </c>
      <c r="E1998" s="16" t="s">
        <v>141</v>
      </c>
      <c r="F1998" s="16" t="str">
        <f>"2170721800 "</f>
        <v xml:space="preserve">2170721800 </v>
      </c>
      <c r="G1998" s="16" t="str">
        <f t="shared" si="59"/>
        <v>ON1</v>
      </c>
      <c r="H1998" s="16" t="s">
        <v>21</v>
      </c>
      <c r="I1998" s="16" t="s">
        <v>90</v>
      </c>
      <c r="J1998" s="16" t="str">
        <f>""</f>
        <v/>
      </c>
      <c r="K1998" s="16" t="str">
        <f>"PFES1162732019_0001"</f>
        <v>PFES1162732019_0001</v>
      </c>
      <c r="L1998" s="16">
        <v>1</v>
      </c>
      <c r="M1998" s="16">
        <v>1</v>
      </c>
    </row>
    <row r="1999" spans="1:13">
      <c r="A1999" s="6">
        <v>43851</v>
      </c>
      <c r="B1999" s="7">
        <v>0.52500000000000002</v>
      </c>
      <c r="C1999" s="16" t="str">
        <f>"FES1162732006"</f>
        <v>FES1162732006</v>
      </c>
      <c r="D1999" s="16" t="s">
        <v>19</v>
      </c>
      <c r="E1999" s="16" t="s">
        <v>248</v>
      </c>
      <c r="F1999" s="16" t="str">
        <f>"2170720125 "</f>
        <v xml:space="preserve">2170720125 </v>
      </c>
      <c r="G1999" s="16" t="str">
        <f t="shared" si="59"/>
        <v>ON1</v>
      </c>
      <c r="H1999" s="16" t="s">
        <v>21</v>
      </c>
      <c r="I1999" s="16" t="s">
        <v>247</v>
      </c>
      <c r="J1999" s="16" t="str">
        <f>""</f>
        <v/>
      </c>
      <c r="K1999" s="16" t="str">
        <f>"PFES1162732006_0001"</f>
        <v>PFES1162732006_0001</v>
      </c>
      <c r="L1999" s="16">
        <v>1</v>
      </c>
      <c r="M1999" s="16">
        <v>3</v>
      </c>
    </row>
    <row r="2000" spans="1:13">
      <c r="A2000" s="6">
        <v>43851</v>
      </c>
      <c r="B2000" s="7">
        <v>0.52430555555555558</v>
      </c>
      <c r="C2000" s="16" t="str">
        <f>"FES1162732050"</f>
        <v>FES1162732050</v>
      </c>
      <c r="D2000" s="16" t="s">
        <v>19</v>
      </c>
      <c r="E2000" s="16" t="s">
        <v>87</v>
      </c>
      <c r="F2000" s="16" t="str">
        <f>"21707229121 "</f>
        <v xml:space="preserve">21707229121 </v>
      </c>
      <c r="G2000" s="16" t="str">
        <f t="shared" si="59"/>
        <v>ON1</v>
      </c>
      <c r="H2000" s="16" t="s">
        <v>21</v>
      </c>
      <c r="I2000" s="16" t="s">
        <v>88</v>
      </c>
      <c r="J2000" s="16" t="str">
        <f>""</f>
        <v/>
      </c>
      <c r="K2000" s="16" t="str">
        <f>"PFES1162732050_0001"</f>
        <v>PFES1162732050_0001</v>
      </c>
      <c r="L2000" s="16">
        <v>1</v>
      </c>
      <c r="M2000" s="16">
        <v>1</v>
      </c>
    </row>
    <row r="2001" spans="1:13">
      <c r="A2001" s="6">
        <v>43851</v>
      </c>
      <c r="B2001" s="7">
        <v>0.52430555555555558</v>
      </c>
      <c r="C2001" s="16" t="str">
        <f>"FES1162732157"</f>
        <v>FES1162732157</v>
      </c>
      <c r="D2001" s="16" t="s">
        <v>19</v>
      </c>
      <c r="E2001" s="16" t="s">
        <v>77</v>
      </c>
      <c r="F2001" s="16" t="str">
        <f>"2170724719 "</f>
        <v xml:space="preserve">2170724719 </v>
      </c>
      <c r="G2001" s="16" t="str">
        <f t="shared" si="59"/>
        <v>ON1</v>
      </c>
      <c r="H2001" s="16" t="s">
        <v>21</v>
      </c>
      <c r="I2001" s="16" t="s">
        <v>78</v>
      </c>
      <c r="J2001" s="16" t="str">
        <f>""</f>
        <v/>
      </c>
      <c r="K2001" s="16" t="str">
        <f>"PFES1162732157_0001"</f>
        <v>PFES1162732157_0001</v>
      </c>
      <c r="L2001" s="16">
        <v>1</v>
      </c>
      <c r="M2001" s="16">
        <v>12</v>
      </c>
    </row>
    <row r="2002" spans="1:13">
      <c r="A2002" s="6">
        <v>43851</v>
      </c>
      <c r="B2002" s="7">
        <v>0.52361111111111114</v>
      </c>
      <c r="C2002" s="16" t="str">
        <f>"FES1162732161"</f>
        <v>FES1162732161</v>
      </c>
      <c r="D2002" s="16" t="s">
        <v>19</v>
      </c>
      <c r="E2002" s="16" t="s">
        <v>343</v>
      </c>
      <c r="F2002" s="16" t="str">
        <f>"2170724722 "</f>
        <v xml:space="preserve">2170724722 </v>
      </c>
      <c r="G2002" s="16" t="str">
        <f t="shared" si="59"/>
        <v>ON1</v>
      </c>
      <c r="H2002" s="16" t="s">
        <v>21</v>
      </c>
      <c r="I2002" s="16" t="s">
        <v>344</v>
      </c>
      <c r="J2002" s="16" t="str">
        <f>""</f>
        <v/>
      </c>
      <c r="K2002" s="16" t="str">
        <f>"PFES1162732161_0001"</f>
        <v>PFES1162732161_0001</v>
      </c>
      <c r="L2002" s="16">
        <v>1</v>
      </c>
      <c r="M2002" s="16">
        <v>2</v>
      </c>
    </row>
    <row r="2003" spans="1:13">
      <c r="A2003" s="6">
        <v>43851</v>
      </c>
      <c r="B2003" s="7">
        <v>0.52361111111111114</v>
      </c>
      <c r="C2003" s="16" t="str">
        <f>"FES1162732100"</f>
        <v>FES1162732100</v>
      </c>
      <c r="D2003" s="16" t="s">
        <v>19</v>
      </c>
      <c r="E2003" s="16" t="s">
        <v>870</v>
      </c>
      <c r="F2003" s="16" t="str">
        <f>"2170722056 "</f>
        <v xml:space="preserve">2170722056 </v>
      </c>
      <c r="G2003" s="16" t="str">
        <f t="shared" si="59"/>
        <v>ON1</v>
      </c>
      <c r="H2003" s="16" t="s">
        <v>21</v>
      </c>
      <c r="I2003" s="16" t="s">
        <v>277</v>
      </c>
      <c r="J2003" s="16" t="str">
        <f>""</f>
        <v/>
      </c>
      <c r="K2003" s="16" t="str">
        <f>"PFES1162732100_0001"</f>
        <v>PFES1162732100_0001</v>
      </c>
      <c r="L2003" s="16">
        <v>1</v>
      </c>
      <c r="M2003" s="16">
        <v>4</v>
      </c>
    </row>
    <row r="2004" spans="1:13">
      <c r="A2004" s="6">
        <v>43851</v>
      </c>
      <c r="B2004" s="7">
        <v>0.5229166666666667</v>
      </c>
      <c r="C2004" s="16" t="str">
        <f>"FES1162732080"</f>
        <v>FES1162732080</v>
      </c>
      <c r="D2004" s="16" t="s">
        <v>19</v>
      </c>
      <c r="E2004" s="16" t="s">
        <v>478</v>
      </c>
      <c r="F2004" s="16" t="str">
        <f>"2170724662 "</f>
        <v xml:space="preserve">2170724662 </v>
      </c>
      <c r="G2004" s="16" t="str">
        <f t="shared" si="59"/>
        <v>ON1</v>
      </c>
      <c r="H2004" s="16" t="s">
        <v>21</v>
      </c>
      <c r="I2004" s="16" t="s">
        <v>277</v>
      </c>
      <c r="J2004" s="16" t="str">
        <f>""</f>
        <v/>
      </c>
      <c r="K2004" s="16" t="str">
        <f>"PFES1162732080_0001"</f>
        <v>PFES1162732080_0001</v>
      </c>
      <c r="L2004" s="16">
        <v>1</v>
      </c>
      <c r="M2004" s="16">
        <v>4</v>
      </c>
    </row>
    <row r="2005" spans="1:13">
      <c r="A2005" s="6">
        <v>43851</v>
      </c>
      <c r="B2005" s="7">
        <v>0.52222222222222225</v>
      </c>
      <c r="C2005" s="16" t="str">
        <f>"FES1162732113"</f>
        <v>FES1162732113</v>
      </c>
      <c r="D2005" s="16" t="s">
        <v>19</v>
      </c>
      <c r="E2005" s="16" t="s">
        <v>248</v>
      </c>
      <c r="F2005" s="16" t="str">
        <f>"2170723106 "</f>
        <v xml:space="preserve">2170723106 </v>
      </c>
      <c r="G2005" s="16" t="str">
        <f t="shared" si="59"/>
        <v>ON1</v>
      </c>
      <c r="H2005" s="16" t="s">
        <v>21</v>
      </c>
      <c r="I2005" s="16" t="s">
        <v>209</v>
      </c>
      <c r="J2005" s="16" t="str">
        <f>""</f>
        <v/>
      </c>
      <c r="K2005" s="16" t="str">
        <f>"PFES1162732113_0001"</f>
        <v>PFES1162732113_0001</v>
      </c>
      <c r="L2005" s="16">
        <v>1</v>
      </c>
      <c r="M2005" s="16">
        <v>4</v>
      </c>
    </row>
    <row r="2006" spans="1:13">
      <c r="A2006" s="6">
        <v>43851</v>
      </c>
      <c r="B2006" s="7">
        <v>0.5180555555555556</v>
      </c>
      <c r="C2006" s="16" t="str">
        <f>"FES1162732108"</f>
        <v>FES1162732108</v>
      </c>
      <c r="D2006" s="16" t="s">
        <v>19</v>
      </c>
      <c r="E2006" s="16" t="s">
        <v>871</v>
      </c>
      <c r="F2006" s="16" t="str">
        <f>"21707230058 "</f>
        <v xml:space="preserve">21707230058 </v>
      </c>
      <c r="G2006" s="16" t="str">
        <f t="shared" si="59"/>
        <v>ON1</v>
      </c>
      <c r="H2006" s="16" t="s">
        <v>21</v>
      </c>
      <c r="I2006" s="16" t="s">
        <v>866</v>
      </c>
      <c r="J2006" s="16" t="str">
        <f>""</f>
        <v/>
      </c>
      <c r="K2006" s="16" t="str">
        <f>"PFES1162732108_0001"</f>
        <v>PFES1162732108_0001</v>
      </c>
      <c r="L2006" s="16">
        <v>1</v>
      </c>
      <c r="M2006" s="16">
        <v>6</v>
      </c>
    </row>
    <row r="2007" spans="1:13">
      <c r="A2007" s="6">
        <v>43851</v>
      </c>
      <c r="B2007" s="7">
        <v>0.51736111111111105</v>
      </c>
      <c r="C2007" s="16" t="str">
        <f>"FES1162732106"</f>
        <v>FES1162732106</v>
      </c>
      <c r="D2007" s="16" t="s">
        <v>19</v>
      </c>
      <c r="E2007" s="16" t="s">
        <v>142</v>
      </c>
      <c r="F2007" s="16" t="str">
        <f>"2170725519 "</f>
        <v xml:space="preserve">2170725519 </v>
      </c>
      <c r="G2007" s="16" t="str">
        <f t="shared" si="59"/>
        <v>ON1</v>
      </c>
      <c r="H2007" s="16" t="s">
        <v>21</v>
      </c>
      <c r="I2007" s="16" t="s">
        <v>123</v>
      </c>
      <c r="J2007" s="16" t="str">
        <f>""</f>
        <v/>
      </c>
      <c r="K2007" s="16" t="str">
        <f>"PFES1162732106_0001"</f>
        <v>PFES1162732106_0001</v>
      </c>
      <c r="L2007" s="16">
        <v>1</v>
      </c>
      <c r="M2007" s="16">
        <v>13</v>
      </c>
    </row>
    <row r="2008" spans="1:13">
      <c r="A2008" s="6">
        <v>43851</v>
      </c>
      <c r="B2008" s="7">
        <v>0.51736111111111105</v>
      </c>
      <c r="C2008" s="16" t="str">
        <f>"FES1162732099"</f>
        <v>FES1162732099</v>
      </c>
      <c r="D2008" s="16" t="s">
        <v>19</v>
      </c>
      <c r="E2008" s="16" t="s">
        <v>324</v>
      </c>
      <c r="F2008" s="16" t="str">
        <f>"2170722028 "</f>
        <v xml:space="preserve">2170722028 </v>
      </c>
      <c r="G2008" s="16" t="str">
        <f t="shared" si="59"/>
        <v>ON1</v>
      </c>
      <c r="H2008" s="16" t="s">
        <v>21</v>
      </c>
      <c r="I2008" s="16" t="s">
        <v>325</v>
      </c>
      <c r="J2008" s="16" t="str">
        <f>""</f>
        <v/>
      </c>
      <c r="K2008" s="16" t="str">
        <f>"PFES1162732099_0001"</f>
        <v>PFES1162732099_0001</v>
      </c>
      <c r="L2008" s="16">
        <v>1</v>
      </c>
      <c r="M2008" s="16">
        <v>2</v>
      </c>
    </row>
    <row r="2009" spans="1:13">
      <c r="A2009" s="6">
        <v>43851</v>
      </c>
      <c r="B2009" s="7">
        <v>0.51666666666666672</v>
      </c>
      <c r="C2009" s="16" t="str">
        <f>"FES1162732114"</f>
        <v>FES1162732114</v>
      </c>
      <c r="D2009" s="16" t="s">
        <v>19</v>
      </c>
      <c r="E2009" s="16" t="s">
        <v>352</v>
      </c>
      <c r="F2009" s="16" t="str">
        <f>"2170728842 "</f>
        <v xml:space="preserve">2170728842 </v>
      </c>
      <c r="G2009" s="16" t="str">
        <f t="shared" si="59"/>
        <v>ON1</v>
      </c>
      <c r="H2009" s="16" t="s">
        <v>21</v>
      </c>
      <c r="I2009" s="16" t="s">
        <v>114</v>
      </c>
      <c r="J2009" s="16" t="str">
        <f>""</f>
        <v/>
      </c>
      <c r="K2009" s="16" t="str">
        <f>"PFES1162732114_0001"</f>
        <v>PFES1162732114_0001</v>
      </c>
      <c r="L2009" s="16">
        <v>1</v>
      </c>
      <c r="M2009" s="16">
        <v>1</v>
      </c>
    </row>
    <row r="2010" spans="1:13">
      <c r="A2010" s="6">
        <v>43851</v>
      </c>
      <c r="B2010" s="7">
        <v>0.51597222222222217</v>
      </c>
      <c r="C2010" s="16" t="str">
        <f>"FES1162732107"</f>
        <v>FES1162732107</v>
      </c>
      <c r="D2010" s="16" t="s">
        <v>19</v>
      </c>
      <c r="E2010" s="16" t="s">
        <v>352</v>
      </c>
      <c r="F2010" s="16" t="str">
        <f>"2170722834 "</f>
        <v xml:space="preserve">2170722834 </v>
      </c>
      <c r="G2010" s="16" t="str">
        <f t="shared" si="59"/>
        <v>ON1</v>
      </c>
      <c r="H2010" s="16" t="s">
        <v>21</v>
      </c>
      <c r="I2010" s="16" t="s">
        <v>114</v>
      </c>
      <c r="J2010" s="16" t="str">
        <f>""</f>
        <v/>
      </c>
      <c r="K2010" s="16" t="str">
        <f>"PFES1162732107_0001"</f>
        <v>PFES1162732107_0001</v>
      </c>
      <c r="L2010" s="16">
        <v>1</v>
      </c>
      <c r="M2010" s="16">
        <v>1</v>
      </c>
    </row>
    <row r="2011" spans="1:13">
      <c r="A2011" s="6">
        <v>43851</v>
      </c>
      <c r="B2011" s="7">
        <v>0.51597222222222217</v>
      </c>
      <c r="C2011" s="16" t="str">
        <f>"FES1162732008"</f>
        <v>FES1162732008</v>
      </c>
      <c r="D2011" s="16" t="s">
        <v>19</v>
      </c>
      <c r="E2011" s="16" t="s">
        <v>872</v>
      </c>
      <c r="F2011" s="16" t="str">
        <f>"2170724238 "</f>
        <v xml:space="preserve">2170724238 </v>
      </c>
      <c r="G2011" s="16" t="str">
        <f t="shared" si="59"/>
        <v>ON1</v>
      </c>
      <c r="H2011" s="16" t="s">
        <v>21</v>
      </c>
      <c r="I2011" s="16" t="s">
        <v>45</v>
      </c>
      <c r="J2011" s="16" t="str">
        <f>""</f>
        <v/>
      </c>
      <c r="K2011" s="16" t="str">
        <f>"PFES1162732008_0001"</f>
        <v>PFES1162732008_0001</v>
      </c>
      <c r="L2011" s="16">
        <v>1</v>
      </c>
      <c r="M2011" s="16">
        <v>3</v>
      </c>
    </row>
    <row r="2012" spans="1:13">
      <c r="A2012" s="6">
        <v>43851</v>
      </c>
      <c r="B2012" s="7">
        <v>0.51527777777777783</v>
      </c>
      <c r="C2012" s="16" t="str">
        <f>"FES1162732043"</f>
        <v>FES1162732043</v>
      </c>
      <c r="D2012" s="16" t="s">
        <v>19</v>
      </c>
      <c r="E2012" s="16" t="s">
        <v>178</v>
      </c>
      <c r="F2012" s="16" t="str">
        <f>"2170722836 "</f>
        <v xml:space="preserve">2170722836 </v>
      </c>
      <c r="G2012" s="16" t="str">
        <f t="shared" si="59"/>
        <v>ON1</v>
      </c>
      <c r="H2012" s="16" t="s">
        <v>21</v>
      </c>
      <c r="I2012" s="16" t="s">
        <v>179</v>
      </c>
      <c r="J2012" s="16" t="str">
        <f>""</f>
        <v/>
      </c>
      <c r="K2012" s="16" t="str">
        <f>"PFES1162732043_0001"</f>
        <v>PFES1162732043_0001</v>
      </c>
      <c r="L2012" s="16">
        <v>1</v>
      </c>
      <c r="M2012" s="16">
        <v>1</v>
      </c>
    </row>
    <row r="2013" spans="1:13">
      <c r="A2013" s="6">
        <v>43851</v>
      </c>
      <c r="B2013" s="7">
        <v>0.51527777777777783</v>
      </c>
      <c r="C2013" s="16" t="str">
        <f>"FES1162732077"</f>
        <v>FES1162732077</v>
      </c>
      <c r="D2013" s="16" t="s">
        <v>19</v>
      </c>
      <c r="E2013" s="16" t="s">
        <v>54</v>
      </c>
      <c r="F2013" s="16" t="str">
        <f>"2170724658 "</f>
        <v xml:space="preserve">2170724658 </v>
      </c>
      <c r="G2013" s="16" t="str">
        <f t="shared" si="59"/>
        <v>ON1</v>
      </c>
      <c r="H2013" s="16" t="s">
        <v>21</v>
      </c>
      <c r="I2013" s="16" t="s">
        <v>31</v>
      </c>
      <c r="J2013" s="16" t="str">
        <f>""</f>
        <v/>
      </c>
      <c r="K2013" s="16" t="str">
        <f>"PFES1162732077_0001"</f>
        <v>PFES1162732077_0001</v>
      </c>
      <c r="L2013" s="16">
        <v>1</v>
      </c>
      <c r="M2013" s="16">
        <v>1</v>
      </c>
    </row>
    <row r="2014" spans="1:13">
      <c r="A2014" s="6">
        <v>43851</v>
      </c>
      <c r="B2014" s="7">
        <v>0.51458333333333328</v>
      </c>
      <c r="C2014" s="16" t="str">
        <f>"FES1162732035"</f>
        <v>FES1162732035</v>
      </c>
      <c r="D2014" s="16" t="s">
        <v>19</v>
      </c>
      <c r="E2014" s="16" t="s">
        <v>711</v>
      </c>
      <c r="F2014" s="16" t="str">
        <f>"2170722807 "</f>
        <v xml:space="preserve">2170722807 </v>
      </c>
      <c r="G2014" s="16" t="str">
        <f t="shared" si="59"/>
        <v>ON1</v>
      </c>
      <c r="H2014" s="16" t="s">
        <v>21</v>
      </c>
      <c r="I2014" s="16" t="s">
        <v>28</v>
      </c>
      <c r="J2014" s="16" t="str">
        <f>""</f>
        <v/>
      </c>
      <c r="K2014" s="16" t="str">
        <f>"PFES1162732035_0001"</f>
        <v>PFES1162732035_0001</v>
      </c>
      <c r="L2014" s="16">
        <v>1</v>
      </c>
      <c r="M2014" s="16">
        <v>5</v>
      </c>
    </row>
    <row r="2015" spans="1:13">
      <c r="A2015" s="6">
        <v>43851</v>
      </c>
      <c r="B2015" s="7">
        <v>0.51388888888888895</v>
      </c>
      <c r="C2015" s="16" t="str">
        <f>"FES1162732111"</f>
        <v>FES1162732111</v>
      </c>
      <c r="D2015" s="16" t="s">
        <v>19</v>
      </c>
      <c r="E2015" s="16" t="s">
        <v>269</v>
      </c>
      <c r="F2015" s="16" t="str">
        <f>"2170721578 "</f>
        <v xml:space="preserve">2170721578 </v>
      </c>
      <c r="G2015" s="16" t="str">
        <f>"DBC"</f>
        <v>DBC</v>
      </c>
      <c r="H2015" s="16" t="s">
        <v>21</v>
      </c>
      <c r="I2015" s="16" t="s">
        <v>270</v>
      </c>
      <c r="J2015" s="16" t="str">
        <f>""</f>
        <v/>
      </c>
      <c r="K2015" s="16" t="str">
        <f>"PFES1162732111_0001"</f>
        <v>PFES1162732111_0001</v>
      </c>
      <c r="L2015" s="16">
        <v>1</v>
      </c>
      <c r="M2015" s="16">
        <v>25</v>
      </c>
    </row>
    <row r="2016" spans="1:13">
      <c r="A2016" s="6">
        <v>43851</v>
      </c>
      <c r="B2016" s="7">
        <v>0.5131944444444444</v>
      </c>
      <c r="C2016" s="16" t="str">
        <f>"FES1162732069"</f>
        <v>FES1162732069</v>
      </c>
      <c r="D2016" s="16" t="s">
        <v>19</v>
      </c>
      <c r="E2016" s="16" t="s">
        <v>143</v>
      </c>
      <c r="F2016" s="16" t="str">
        <f>"2170724646 "</f>
        <v xml:space="preserve">2170724646 </v>
      </c>
      <c r="G2016" s="16" t="str">
        <f t="shared" ref="G2016:G2029" si="60">"ON1"</f>
        <v>ON1</v>
      </c>
      <c r="H2016" s="16" t="s">
        <v>21</v>
      </c>
      <c r="I2016" s="16" t="s">
        <v>137</v>
      </c>
      <c r="J2016" s="16" t="str">
        <f>""</f>
        <v/>
      </c>
      <c r="K2016" s="16" t="str">
        <f>"PFES1162732069_0001"</f>
        <v>PFES1162732069_0001</v>
      </c>
      <c r="L2016" s="16">
        <v>1</v>
      </c>
      <c r="M2016" s="16">
        <v>8</v>
      </c>
    </row>
    <row r="2017" spans="1:13">
      <c r="A2017" s="6">
        <v>43851</v>
      </c>
      <c r="B2017" s="7">
        <v>0.51250000000000007</v>
      </c>
      <c r="C2017" s="16" t="str">
        <f>"FES1162732025"</f>
        <v>FES1162732025</v>
      </c>
      <c r="D2017" s="16" t="s">
        <v>19</v>
      </c>
      <c r="E2017" s="16" t="s">
        <v>147</v>
      </c>
      <c r="F2017" s="16" t="str">
        <f>"2170722498 "</f>
        <v xml:space="preserve">2170722498 </v>
      </c>
      <c r="G2017" s="16" t="str">
        <f t="shared" si="60"/>
        <v>ON1</v>
      </c>
      <c r="H2017" s="16" t="s">
        <v>21</v>
      </c>
      <c r="I2017" s="16" t="s">
        <v>148</v>
      </c>
      <c r="J2017" s="16" t="str">
        <f>""</f>
        <v/>
      </c>
      <c r="K2017" s="16" t="str">
        <f>"PFES1162732025_0001"</f>
        <v>PFES1162732025_0001</v>
      </c>
      <c r="L2017" s="16">
        <v>1</v>
      </c>
      <c r="M2017" s="16">
        <v>7</v>
      </c>
    </row>
    <row r="2018" spans="1:13">
      <c r="A2018" s="6">
        <v>43851</v>
      </c>
      <c r="B2018" s="7">
        <v>0.51250000000000007</v>
      </c>
      <c r="C2018" s="16" t="str">
        <f>"FES1162732024"</f>
        <v>FES1162732024</v>
      </c>
      <c r="D2018" s="16" t="s">
        <v>19</v>
      </c>
      <c r="E2018" s="16" t="s">
        <v>147</v>
      </c>
      <c r="F2018" s="16" t="str">
        <f>"2170722497 "</f>
        <v xml:space="preserve">2170722497 </v>
      </c>
      <c r="G2018" s="16" t="str">
        <f t="shared" si="60"/>
        <v>ON1</v>
      </c>
      <c r="H2018" s="16" t="s">
        <v>21</v>
      </c>
      <c r="I2018" s="16" t="s">
        <v>148</v>
      </c>
      <c r="J2018" s="16" t="str">
        <f>""</f>
        <v/>
      </c>
      <c r="K2018" s="16" t="str">
        <f>"PFES1162732024_0001"</f>
        <v>PFES1162732024_0001</v>
      </c>
      <c r="L2018" s="16">
        <v>1</v>
      </c>
      <c r="M2018" s="16">
        <v>7</v>
      </c>
    </row>
    <row r="2019" spans="1:13">
      <c r="A2019" s="6">
        <v>43851</v>
      </c>
      <c r="B2019" s="7">
        <v>0.51180555555555551</v>
      </c>
      <c r="C2019" s="16" t="str">
        <f>"FES1162732049"</f>
        <v>FES1162732049</v>
      </c>
      <c r="D2019" s="16" t="s">
        <v>19</v>
      </c>
      <c r="E2019" s="16" t="s">
        <v>352</v>
      </c>
      <c r="F2019" s="16" t="str">
        <f>"2170722906 "</f>
        <v xml:space="preserve">2170722906 </v>
      </c>
      <c r="G2019" s="16" t="str">
        <f t="shared" si="60"/>
        <v>ON1</v>
      </c>
      <c r="H2019" s="16" t="s">
        <v>21</v>
      </c>
      <c r="I2019" s="16" t="s">
        <v>114</v>
      </c>
      <c r="J2019" s="16" t="str">
        <f>""</f>
        <v/>
      </c>
      <c r="K2019" s="16" t="str">
        <f>"PFES1162732049_0001"</f>
        <v>PFES1162732049_0001</v>
      </c>
      <c r="L2019" s="16">
        <v>1</v>
      </c>
      <c r="M2019" s="16">
        <v>3</v>
      </c>
    </row>
    <row r="2020" spans="1:13">
      <c r="A2020" s="6">
        <v>43851</v>
      </c>
      <c r="B2020" s="7">
        <v>0.51180555555555551</v>
      </c>
      <c r="C2020" s="16" t="str">
        <f>"FES1162732028"</f>
        <v>FES1162732028</v>
      </c>
      <c r="D2020" s="16" t="s">
        <v>19</v>
      </c>
      <c r="E2020" s="16" t="s">
        <v>147</v>
      </c>
      <c r="F2020" s="16" t="str">
        <f>"2170722625 "</f>
        <v xml:space="preserve">2170722625 </v>
      </c>
      <c r="G2020" s="16" t="str">
        <f t="shared" si="60"/>
        <v>ON1</v>
      </c>
      <c r="H2020" s="16" t="s">
        <v>21</v>
      </c>
      <c r="I2020" s="16" t="s">
        <v>148</v>
      </c>
      <c r="J2020" s="16" t="str">
        <f>""</f>
        <v/>
      </c>
      <c r="K2020" s="16" t="str">
        <f>"PFES1162732028_0001"</f>
        <v>PFES1162732028_0001</v>
      </c>
      <c r="L2020" s="16">
        <v>1</v>
      </c>
      <c r="M2020" s="16">
        <v>2</v>
      </c>
    </row>
    <row r="2021" spans="1:13">
      <c r="A2021" s="6">
        <v>43851</v>
      </c>
      <c r="B2021" s="7">
        <v>0.51111111111111118</v>
      </c>
      <c r="C2021" s="16" t="str">
        <f>"FES1162732027"</f>
        <v>FES1162732027</v>
      </c>
      <c r="D2021" s="16" t="s">
        <v>19</v>
      </c>
      <c r="E2021" s="16" t="s">
        <v>147</v>
      </c>
      <c r="F2021" s="16" t="str">
        <f>"2170722624 "</f>
        <v xml:space="preserve">2170722624 </v>
      </c>
      <c r="G2021" s="16" t="str">
        <f t="shared" si="60"/>
        <v>ON1</v>
      </c>
      <c r="H2021" s="16" t="s">
        <v>21</v>
      </c>
      <c r="I2021" s="16" t="s">
        <v>148</v>
      </c>
      <c r="J2021" s="16" t="str">
        <f>""</f>
        <v/>
      </c>
      <c r="K2021" s="16" t="str">
        <f>"PFES1162732027_0001"</f>
        <v>PFES1162732027_0001</v>
      </c>
      <c r="L2021" s="16">
        <v>1</v>
      </c>
      <c r="M2021" s="16">
        <v>2</v>
      </c>
    </row>
    <row r="2022" spans="1:13">
      <c r="A2022" s="6">
        <v>43851</v>
      </c>
      <c r="B2022" s="7">
        <v>0.51111111111111118</v>
      </c>
      <c r="C2022" s="16" t="str">
        <f>"FES1162732065"</f>
        <v>FES1162732065</v>
      </c>
      <c r="D2022" s="16" t="s">
        <v>19</v>
      </c>
      <c r="E2022" s="16" t="s">
        <v>495</v>
      </c>
      <c r="F2022" s="16" t="str">
        <f>"2170724520 "</f>
        <v xml:space="preserve">2170724520 </v>
      </c>
      <c r="G2022" s="16" t="str">
        <f t="shared" si="60"/>
        <v>ON1</v>
      </c>
      <c r="H2022" s="16" t="s">
        <v>21</v>
      </c>
      <c r="I2022" s="16" t="s">
        <v>496</v>
      </c>
      <c r="J2022" s="16" t="str">
        <f>""</f>
        <v/>
      </c>
      <c r="K2022" s="16" t="str">
        <f>"PFES1162732065_0001"</f>
        <v>PFES1162732065_0001</v>
      </c>
      <c r="L2022" s="16">
        <v>1</v>
      </c>
      <c r="M2022" s="16">
        <v>2</v>
      </c>
    </row>
    <row r="2023" spans="1:13">
      <c r="A2023" s="6">
        <v>43851</v>
      </c>
      <c r="B2023" s="7">
        <v>0.51041666666666663</v>
      </c>
      <c r="C2023" s="16" t="str">
        <f>"FES1162732140"</f>
        <v>FES1162732140</v>
      </c>
      <c r="D2023" s="16" t="s">
        <v>19</v>
      </c>
      <c r="E2023" s="16" t="s">
        <v>278</v>
      </c>
      <c r="F2023" s="16" t="str">
        <f>"2170724700 "</f>
        <v xml:space="preserve">2170724700 </v>
      </c>
      <c r="G2023" s="16" t="str">
        <f t="shared" si="60"/>
        <v>ON1</v>
      </c>
      <c r="H2023" s="16" t="s">
        <v>21</v>
      </c>
      <c r="I2023" s="16" t="s">
        <v>38</v>
      </c>
      <c r="J2023" s="16" t="str">
        <f>""</f>
        <v/>
      </c>
      <c r="K2023" s="16" t="str">
        <f>"PFES1162732140_0001"</f>
        <v>PFES1162732140_0001</v>
      </c>
      <c r="L2023" s="16">
        <v>1</v>
      </c>
      <c r="M2023" s="16">
        <v>11</v>
      </c>
    </row>
    <row r="2024" spans="1:13">
      <c r="A2024" s="6">
        <v>43851</v>
      </c>
      <c r="B2024" s="7">
        <v>0.50972222222222219</v>
      </c>
      <c r="C2024" s="16" t="str">
        <f>"FES1162732026"</f>
        <v>FES1162732026</v>
      </c>
      <c r="D2024" s="16" t="s">
        <v>19</v>
      </c>
      <c r="E2024" s="16" t="s">
        <v>147</v>
      </c>
      <c r="F2024" s="16" t="str">
        <f>"2170722622 "</f>
        <v xml:space="preserve">2170722622 </v>
      </c>
      <c r="G2024" s="16" t="str">
        <f t="shared" si="60"/>
        <v>ON1</v>
      </c>
      <c r="H2024" s="16" t="s">
        <v>21</v>
      </c>
      <c r="I2024" s="16" t="s">
        <v>148</v>
      </c>
      <c r="J2024" s="16" t="str">
        <f>""</f>
        <v/>
      </c>
      <c r="K2024" s="16" t="str">
        <f>"PFES1162732026_0001"</f>
        <v>PFES1162732026_0001</v>
      </c>
      <c r="L2024" s="16">
        <v>1</v>
      </c>
      <c r="M2024" s="16">
        <v>10</v>
      </c>
    </row>
    <row r="2025" spans="1:13">
      <c r="A2025" s="6">
        <v>43851</v>
      </c>
      <c r="B2025" s="7">
        <v>0.50972222222222219</v>
      </c>
      <c r="C2025" s="16" t="str">
        <f>"FES1162732031"</f>
        <v>FES1162732031</v>
      </c>
      <c r="D2025" s="16" t="s">
        <v>19</v>
      </c>
      <c r="E2025" s="16" t="s">
        <v>74</v>
      </c>
      <c r="F2025" s="16" t="str">
        <f>"2170722734 "</f>
        <v xml:space="preserve">2170722734 </v>
      </c>
      <c r="G2025" s="16" t="str">
        <f t="shared" si="60"/>
        <v>ON1</v>
      </c>
      <c r="H2025" s="16" t="s">
        <v>21</v>
      </c>
      <c r="I2025" s="16" t="s">
        <v>49</v>
      </c>
      <c r="J2025" s="16" t="str">
        <f>""</f>
        <v/>
      </c>
      <c r="K2025" s="16" t="str">
        <f>"PFES1162732031_0001"</f>
        <v>PFES1162732031_0001</v>
      </c>
      <c r="L2025" s="16">
        <v>1</v>
      </c>
      <c r="M2025" s="16">
        <v>10</v>
      </c>
    </row>
    <row r="2026" spans="1:13">
      <c r="A2026" s="6">
        <v>43851</v>
      </c>
      <c r="B2026" s="7">
        <v>0.50902777777777775</v>
      </c>
      <c r="C2026" s="16" t="str">
        <f>"FES1162732142"</f>
        <v>FES1162732142</v>
      </c>
      <c r="D2026" s="16" t="s">
        <v>19</v>
      </c>
      <c r="E2026" s="16" t="s">
        <v>470</v>
      </c>
      <c r="F2026" s="16" t="str">
        <f>"2170723146 "</f>
        <v xml:space="preserve">2170723146 </v>
      </c>
      <c r="G2026" s="16" t="str">
        <f t="shared" si="60"/>
        <v>ON1</v>
      </c>
      <c r="H2026" s="16" t="s">
        <v>21</v>
      </c>
      <c r="I2026" s="16" t="s">
        <v>471</v>
      </c>
      <c r="J2026" s="16" t="str">
        <f>""</f>
        <v/>
      </c>
      <c r="K2026" s="16" t="str">
        <f>"PFES1162732142_0001"</f>
        <v>PFES1162732142_0001</v>
      </c>
      <c r="L2026" s="16">
        <v>1</v>
      </c>
      <c r="M2026" s="16">
        <v>2</v>
      </c>
    </row>
    <row r="2027" spans="1:13">
      <c r="A2027" s="6">
        <v>43851</v>
      </c>
      <c r="B2027" s="7">
        <v>0.5083333333333333</v>
      </c>
      <c r="C2027" s="16" t="str">
        <f>"FES1162732085"</f>
        <v>FES1162732085</v>
      </c>
      <c r="D2027" s="16" t="s">
        <v>19</v>
      </c>
      <c r="E2027" s="16" t="s">
        <v>64</v>
      </c>
      <c r="F2027" s="16" t="str">
        <f>"2170715710 "</f>
        <v xml:space="preserve">2170715710 </v>
      </c>
      <c r="G2027" s="16" t="str">
        <f t="shared" si="60"/>
        <v>ON1</v>
      </c>
      <c r="H2027" s="16" t="s">
        <v>21</v>
      </c>
      <c r="I2027" s="16" t="s">
        <v>60</v>
      </c>
      <c r="J2027" s="16" t="str">
        <f>""</f>
        <v/>
      </c>
      <c r="K2027" s="16" t="str">
        <f>"PFES1162732085_0001"</f>
        <v>PFES1162732085_0001</v>
      </c>
      <c r="L2027" s="16">
        <v>1</v>
      </c>
      <c r="M2027" s="16">
        <v>3</v>
      </c>
    </row>
    <row r="2028" spans="1:13">
      <c r="A2028" s="6">
        <v>43851</v>
      </c>
      <c r="B2028" s="7">
        <v>0.50763888888888886</v>
      </c>
      <c r="C2028" s="16" t="str">
        <f>"FES1162732087"</f>
        <v>FES1162732087</v>
      </c>
      <c r="D2028" s="16" t="s">
        <v>19</v>
      </c>
      <c r="E2028" s="16" t="s">
        <v>218</v>
      </c>
      <c r="F2028" s="16" t="str">
        <f>"2170719594 "</f>
        <v xml:space="preserve">2170719594 </v>
      </c>
      <c r="G2028" s="16" t="str">
        <f t="shared" si="60"/>
        <v>ON1</v>
      </c>
      <c r="H2028" s="16" t="s">
        <v>21</v>
      </c>
      <c r="I2028" s="16" t="s">
        <v>49</v>
      </c>
      <c r="J2028" s="16" t="str">
        <f>""</f>
        <v/>
      </c>
      <c r="K2028" s="16" t="str">
        <f>"PFES1162732087_0001"</f>
        <v>PFES1162732087_0001</v>
      </c>
      <c r="L2028" s="16">
        <v>2</v>
      </c>
      <c r="M2028" s="16">
        <v>18</v>
      </c>
    </row>
    <row r="2029" spans="1:13">
      <c r="A2029" s="6">
        <v>43851</v>
      </c>
      <c r="B2029" s="7">
        <v>0.50763888888888886</v>
      </c>
      <c r="C2029" s="16" t="str">
        <f>"FES1162732087"</f>
        <v>FES1162732087</v>
      </c>
      <c r="D2029" s="16" t="s">
        <v>19</v>
      </c>
      <c r="E2029" s="16" t="s">
        <v>218</v>
      </c>
      <c r="F2029" s="16" t="str">
        <f>"2170719594 "</f>
        <v xml:space="preserve">2170719594 </v>
      </c>
      <c r="G2029" s="16" t="str">
        <f t="shared" si="60"/>
        <v>ON1</v>
      </c>
      <c r="H2029" s="16" t="s">
        <v>21</v>
      </c>
      <c r="I2029" s="16" t="s">
        <v>49</v>
      </c>
      <c r="J2029" s="16"/>
      <c r="K2029" s="16" t="str">
        <f>"PFES1162732087_0002"</f>
        <v>PFES1162732087_0002</v>
      </c>
      <c r="L2029" s="16">
        <v>2</v>
      </c>
      <c r="M2029" s="16">
        <v>18</v>
      </c>
    </row>
    <row r="2030" spans="1:13">
      <c r="A2030" s="6">
        <v>43851</v>
      </c>
      <c r="B2030" s="7">
        <v>0.50694444444444442</v>
      </c>
      <c r="C2030" s="16" t="str">
        <f>"FES1162732086"</f>
        <v>FES1162732086</v>
      </c>
      <c r="D2030" s="16" t="s">
        <v>19</v>
      </c>
      <c r="E2030" s="16" t="s">
        <v>218</v>
      </c>
      <c r="F2030" s="16" t="str">
        <f>"2170718335 "</f>
        <v xml:space="preserve">2170718335 </v>
      </c>
      <c r="G2030" s="16" t="str">
        <f>"ON1"</f>
        <v>ON1</v>
      </c>
      <c r="H2030" s="16" t="s">
        <v>21</v>
      </c>
      <c r="I2030" s="16" t="s">
        <v>49</v>
      </c>
      <c r="J2030" s="16" t="str">
        <f>""</f>
        <v/>
      </c>
      <c r="K2030" s="16" t="str">
        <f>"PFES1162732086_0001"</f>
        <v>PFES1162732086_0001</v>
      </c>
      <c r="L2030" s="16">
        <v>1</v>
      </c>
      <c r="M2030" s="16">
        <v>3</v>
      </c>
    </row>
    <row r="2031" spans="1:13">
      <c r="A2031" s="6">
        <v>43851</v>
      </c>
      <c r="B2031" s="7">
        <v>0.50624999999999998</v>
      </c>
      <c r="C2031" s="16" t="str">
        <f>"FES1162732090"</f>
        <v>FES1162732090</v>
      </c>
      <c r="D2031" s="16" t="s">
        <v>19</v>
      </c>
      <c r="E2031" s="16" t="s">
        <v>218</v>
      </c>
      <c r="F2031" s="16" t="str">
        <f>"2170721520 "</f>
        <v xml:space="preserve">2170721520 </v>
      </c>
      <c r="G2031" s="16" t="str">
        <f>"ON1"</f>
        <v>ON1</v>
      </c>
      <c r="H2031" s="16" t="s">
        <v>21</v>
      </c>
      <c r="I2031" s="16" t="s">
        <v>49</v>
      </c>
      <c r="J2031" s="16" t="str">
        <f>""</f>
        <v/>
      </c>
      <c r="K2031" s="16" t="str">
        <f>"PFES1162732090_0001"</f>
        <v>PFES1162732090_0001</v>
      </c>
      <c r="L2031" s="16">
        <v>1</v>
      </c>
      <c r="M2031" s="16">
        <v>14</v>
      </c>
    </row>
    <row r="2032" spans="1:13">
      <c r="A2032" s="6">
        <v>43851</v>
      </c>
      <c r="B2032" s="7">
        <v>0.50555555555555554</v>
      </c>
      <c r="C2032" s="16" t="str">
        <f>"FES1162732094"</f>
        <v>FES1162732094</v>
      </c>
      <c r="D2032" s="16" t="s">
        <v>19</v>
      </c>
      <c r="E2032" s="16" t="s">
        <v>218</v>
      </c>
      <c r="F2032" s="16" t="str">
        <f>"2170721603 "</f>
        <v xml:space="preserve">2170721603 </v>
      </c>
      <c r="G2032" s="16" t="str">
        <f>"ON1"</f>
        <v>ON1</v>
      </c>
      <c r="H2032" s="16" t="s">
        <v>21</v>
      </c>
      <c r="I2032" s="16" t="s">
        <v>49</v>
      </c>
      <c r="J2032" s="16" t="str">
        <f>""</f>
        <v/>
      </c>
      <c r="K2032" s="16" t="str">
        <f>"PFES1162732094_0001"</f>
        <v>PFES1162732094_0001</v>
      </c>
      <c r="L2032" s="16">
        <v>1</v>
      </c>
      <c r="M2032" s="16">
        <v>4</v>
      </c>
    </row>
    <row r="2033" spans="1:13">
      <c r="A2033" s="6">
        <v>43851</v>
      </c>
      <c r="B2033" s="7">
        <v>0.50486111111111109</v>
      </c>
      <c r="C2033" s="16" t="str">
        <f>"FES1162732048"</f>
        <v>FES1162732048</v>
      </c>
      <c r="D2033" s="16" t="s">
        <v>19</v>
      </c>
      <c r="E2033" s="16" t="s">
        <v>33</v>
      </c>
      <c r="F2033" s="16" t="str">
        <f>"2170722884 "</f>
        <v xml:space="preserve">2170722884 </v>
      </c>
      <c r="G2033" s="16" t="str">
        <f>"ON1"</f>
        <v>ON1</v>
      </c>
      <c r="H2033" s="16" t="s">
        <v>21</v>
      </c>
      <c r="I2033" s="16" t="s">
        <v>34</v>
      </c>
      <c r="J2033" s="16" t="str">
        <f>""</f>
        <v/>
      </c>
      <c r="K2033" s="16" t="str">
        <f>"PFES1162732048_0001"</f>
        <v>PFES1162732048_0001</v>
      </c>
      <c r="L2033" s="16">
        <v>1</v>
      </c>
      <c r="M2033" s="16">
        <v>6</v>
      </c>
    </row>
    <row r="2034" spans="1:13">
      <c r="A2034" s="6">
        <v>43851</v>
      </c>
      <c r="B2034" s="7">
        <v>0.50486111111111109</v>
      </c>
      <c r="C2034" s="16" t="str">
        <f>"FES1162732040"</f>
        <v>FES1162732040</v>
      </c>
      <c r="D2034" s="16" t="s">
        <v>19</v>
      </c>
      <c r="E2034" s="16" t="s">
        <v>349</v>
      </c>
      <c r="F2034" s="16" t="str">
        <f>"2170722832 "</f>
        <v xml:space="preserve">2170722832 </v>
      </c>
      <c r="G2034" s="16" t="str">
        <f>"ON1"</f>
        <v>ON1</v>
      </c>
      <c r="H2034" s="16" t="s">
        <v>21</v>
      </c>
      <c r="I2034" s="16" t="s">
        <v>85</v>
      </c>
      <c r="J2034" s="16" t="str">
        <f>""</f>
        <v/>
      </c>
      <c r="K2034" s="16" t="str">
        <f>"PFES1162732040_0001"</f>
        <v>PFES1162732040_0001</v>
      </c>
      <c r="L2034" s="16">
        <v>1</v>
      </c>
      <c r="M2034" s="16">
        <v>2</v>
      </c>
    </row>
    <row r="2035" spans="1:13">
      <c r="A2035" s="6">
        <v>43851</v>
      </c>
      <c r="B2035" s="7">
        <v>0.50416666666666665</v>
      </c>
      <c r="C2035" s="16" t="str">
        <f>"FES1162732053"</f>
        <v>FES1162732053</v>
      </c>
      <c r="D2035" s="16" t="s">
        <v>19</v>
      </c>
      <c r="E2035" s="16" t="s">
        <v>224</v>
      </c>
      <c r="F2035" s="16" t="str">
        <f>"2170723540 "</f>
        <v xml:space="preserve">2170723540 </v>
      </c>
      <c r="G2035" s="16" t="str">
        <f>"DBC"</f>
        <v>DBC</v>
      </c>
      <c r="H2035" s="16" t="s">
        <v>21</v>
      </c>
      <c r="I2035" s="16" t="s">
        <v>500</v>
      </c>
      <c r="J2035" s="16" t="str">
        <f>""</f>
        <v/>
      </c>
      <c r="K2035" s="16" t="str">
        <f>"PFES1162732053_0001"</f>
        <v>PFES1162732053_0001</v>
      </c>
      <c r="L2035" s="16">
        <v>1</v>
      </c>
      <c r="M2035" s="16">
        <v>21</v>
      </c>
    </row>
    <row r="2036" spans="1:13">
      <c r="A2036" s="6">
        <v>43851</v>
      </c>
      <c r="B2036" s="7">
        <v>0.50277777777777777</v>
      </c>
      <c r="C2036" s="16" t="str">
        <f>"FES1162732088"</f>
        <v>FES1162732088</v>
      </c>
      <c r="D2036" s="16" t="s">
        <v>19</v>
      </c>
      <c r="E2036" s="16" t="s">
        <v>218</v>
      </c>
      <c r="F2036" s="16" t="str">
        <f>"2170719968 "</f>
        <v xml:space="preserve">2170719968 </v>
      </c>
      <c r="G2036" s="16" t="str">
        <f t="shared" ref="G2036:G2042" si="61">"ON1"</f>
        <v>ON1</v>
      </c>
      <c r="H2036" s="16" t="s">
        <v>21</v>
      </c>
      <c r="I2036" s="16" t="s">
        <v>49</v>
      </c>
      <c r="J2036" s="16" t="str">
        <f>""</f>
        <v/>
      </c>
      <c r="K2036" s="16" t="str">
        <f>"PFES1162732088_0001"</f>
        <v>PFES1162732088_0001</v>
      </c>
      <c r="L2036" s="16">
        <v>1</v>
      </c>
      <c r="M2036" s="16">
        <v>6</v>
      </c>
    </row>
    <row r="2037" spans="1:13">
      <c r="A2037" s="6">
        <v>43851</v>
      </c>
      <c r="B2037" s="7">
        <v>0.50277777777777777</v>
      </c>
      <c r="C2037" s="16" t="str">
        <f>"FES1162732091"</f>
        <v>FES1162732091</v>
      </c>
      <c r="D2037" s="16" t="s">
        <v>19</v>
      </c>
      <c r="E2037" s="16" t="s">
        <v>46</v>
      </c>
      <c r="F2037" s="16" t="str">
        <f>"2170721545 "</f>
        <v xml:space="preserve">2170721545 </v>
      </c>
      <c r="G2037" s="16" t="str">
        <f t="shared" si="61"/>
        <v>ON1</v>
      </c>
      <c r="H2037" s="16" t="s">
        <v>21</v>
      </c>
      <c r="I2037" s="16" t="s">
        <v>47</v>
      </c>
      <c r="J2037" s="16" t="str">
        <f>""</f>
        <v/>
      </c>
      <c r="K2037" s="16" t="str">
        <f>"PFES1162732091_0001"</f>
        <v>PFES1162732091_0001</v>
      </c>
      <c r="L2037" s="16">
        <v>1</v>
      </c>
      <c r="M2037" s="16">
        <v>9</v>
      </c>
    </row>
    <row r="2038" spans="1:13">
      <c r="A2038" s="6">
        <v>43851</v>
      </c>
      <c r="B2038" s="7">
        <v>0.50208333333333333</v>
      </c>
      <c r="C2038" s="16" t="str">
        <f>"FES1162732095"</f>
        <v>FES1162732095</v>
      </c>
      <c r="D2038" s="16" t="s">
        <v>19</v>
      </c>
      <c r="E2038" s="16" t="s">
        <v>218</v>
      </c>
      <c r="F2038" s="16" t="str">
        <f>"2170721604 "</f>
        <v xml:space="preserve">2170721604 </v>
      </c>
      <c r="G2038" s="16" t="str">
        <f t="shared" si="61"/>
        <v>ON1</v>
      </c>
      <c r="H2038" s="16" t="s">
        <v>21</v>
      </c>
      <c r="I2038" s="16" t="s">
        <v>49</v>
      </c>
      <c r="J2038" s="16" t="str">
        <f>""</f>
        <v/>
      </c>
      <c r="K2038" s="16" t="str">
        <f>"PFES1162732095_0001"</f>
        <v>PFES1162732095_0001</v>
      </c>
      <c r="L2038" s="16">
        <v>1</v>
      </c>
      <c r="M2038" s="16">
        <v>12</v>
      </c>
    </row>
    <row r="2039" spans="1:13">
      <c r="A2039" s="6">
        <v>43851</v>
      </c>
      <c r="B2039" s="7">
        <v>0.50208333333333333</v>
      </c>
      <c r="C2039" s="16" t="str">
        <f>"FES1162732101"</f>
        <v>FES1162732101</v>
      </c>
      <c r="D2039" s="16" t="s">
        <v>19</v>
      </c>
      <c r="E2039" s="16" t="s">
        <v>214</v>
      </c>
      <c r="F2039" s="16" t="str">
        <f>"2170722121 "</f>
        <v xml:space="preserve">2170722121 </v>
      </c>
      <c r="G2039" s="16" t="str">
        <f t="shared" si="61"/>
        <v>ON1</v>
      </c>
      <c r="H2039" s="16" t="s">
        <v>21</v>
      </c>
      <c r="I2039" s="16" t="s">
        <v>215</v>
      </c>
      <c r="J2039" s="16" t="str">
        <f>""</f>
        <v/>
      </c>
      <c r="K2039" s="16" t="str">
        <f>"PFES1162732101_0001"</f>
        <v>PFES1162732101_0001</v>
      </c>
      <c r="L2039" s="16">
        <v>1</v>
      </c>
      <c r="M2039" s="16">
        <v>2</v>
      </c>
    </row>
    <row r="2040" spans="1:13">
      <c r="A2040" s="6">
        <v>43851</v>
      </c>
      <c r="B2040" s="7">
        <v>0.50138888888888888</v>
      </c>
      <c r="C2040" s="16" t="str">
        <f>"FES1162732036"</f>
        <v>FES1162732036</v>
      </c>
      <c r="D2040" s="16" t="s">
        <v>19</v>
      </c>
      <c r="E2040" s="16" t="s">
        <v>132</v>
      </c>
      <c r="F2040" s="16" t="str">
        <f>"2170722813 "</f>
        <v xml:space="preserve">2170722813 </v>
      </c>
      <c r="G2040" s="16" t="str">
        <f t="shared" si="61"/>
        <v>ON1</v>
      </c>
      <c r="H2040" s="16" t="s">
        <v>21</v>
      </c>
      <c r="I2040" s="16" t="s">
        <v>133</v>
      </c>
      <c r="J2040" s="16" t="str">
        <f>""</f>
        <v/>
      </c>
      <c r="K2040" s="16" t="str">
        <f>"PFES1162732036_0001"</f>
        <v>PFES1162732036_0001</v>
      </c>
      <c r="L2040" s="16">
        <v>1</v>
      </c>
      <c r="M2040" s="16">
        <v>1</v>
      </c>
    </row>
    <row r="2041" spans="1:13">
      <c r="A2041" s="6">
        <v>43851</v>
      </c>
      <c r="B2041" s="7">
        <v>0.50138888888888888</v>
      </c>
      <c r="C2041" s="16" t="str">
        <f>"FES1162732010"</f>
        <v>FES1162732010</v>
      </c>
      <c r="D2041" s="16" t="s">
        <v>19</v>
      </c>
      <c r="E2041" s="16" t="s">
        <v>322</v>
      </c>
      <c r="F2041" s="16" t="str">
        <f>"2170724636 "</f>
        <v xml:space="preserve">2170724636 </v>
      </c>
      <c r="G2041" s="16" t="str">
        <f t="shared" si="61"/>
        <v>ON1</v>
      </c>
      <c r="H2041" s="16" t="s">
        <v>21</v>
      </c>
      <c r="I2041" s="16" t="s">
        <v>323</v>
      </c>
      <c r="J2041" s="16" t="str">
        <f>""</f>
        <v/>
      </c>
      <c r="K2041" s="16" t="str">
        <f>"PFES1162732010_0001"</f>
        <v>PFES1162732010_0001</v>
      </c>
      <c r="L2041" s="16">
        <v>1</v>
      </c>
      <c r="M2041" s="16">
        <v>12</v>
      </c>
    </row>
    <row r="2042" spans="1:13">
      <c r="A2042" s="6">
        <v>43851</v>
      </c>
      <c r="B2042" s="7">
        <v>0.50069444444444444</v>
      </c>
      <c r="C2042" s="16" t="str">
        <f>"FES1162732054"</f>
        <v>FES1162732054</v>
      </c>
      <c r="D2042" s="16" t="s">
        <v>19</v>
      </c>
      <c r="E2042" s="16" t="s">
        <v>666</v>
      </c>
      <c r="F2042" s="16" t="str">
        <f>"2170723645 "</f>
        <v xml:space="preserve">2170723645 </v>
      </c>
      <c r="G2042" s="16" t="str">
        <f t="shared" si="61"/>
        <v>ON1</v>
      </c>
      <c r="H2042" s="16" t="s">
        <v>21</v>
      </c>
      <c r="I2042" s="16" t="s">
        <v>135</v>
      </c>
      <c r="J2042" s="16" t="str">
        <f>""</f>
        <v/>
      </c>
      <c r="K2042" s="16" t="str">
        <f>"PFES1162732054_0001"</f>
        <v>PFES1162732054_0001</v>
      </c>
      <c r="L2042" s="16">
        <v>1</v>
      </c>
      <c r="M2042" s="16">
        <v>1</v>
      </c>
    </row>
    <row r="2043" spans="1:13">
      <c r="A2043" s="6">
        <v>43851</v>
      </c>
      <c r="B2043" s="7">
        <v>0.50069444444444444</v>
      </c>
      <c r="C2043" s="16" t="str">
        <f>"FES1162732067"</f>
        <v>FES1162732067</v>
      </c>
      <c r="D2043" s="16" t="s">
        <v>19</v>
      </c>
      <c r="E2043" s="16" t="s">
        <v>356</v>
      </c>
      <c r="F2043" s="16" t="str">
        <f>"2170724625 "</f>
        <v xml:space="preserve">2170724625 </v>
      </c>
      <c r="G2043" s="16" t="str">
        <f>"DBC"</f>
        <v>DBC</v>
      </c>
      <c r="H2043" s="16" t="s">
        <v>21</v>
      </c>
      <c r="I2043" s="16" t="s">
        <v>357</v>
      </c>
      <c r="J2043" s="16" t="str">
        <f>""</f>
        <v/>
      </c>
      <c r="K2043" s="16" t="str">
        <f>"PFES1162732067_0001"</f>
        <v>PFES1162732067_0001</v>
      </c>
      <c r="L2043" s="16">
        <v>1</v>
      </c>
      <c r="M2043" s="16">
        <v>23</v>
      </c>
    </row>
    <row r="2044" spans="1:13">
      <c r="A2044" s="6">
        <v>43851</v>
      </c>
      <c r="B2044" s="7">
        <v>0.5</v>
      </c>
      <c r="C2044" s="16" t="str">
        <f>"FES1162732096"</f>
        <v>FES1162732096</v>
      </c>
      <c r="D2044" s="16" t="s">
        <v>19</v>
      </c>
      <c r="E2044" s="16" t="s">
        <v>218</v>
      </c>
      <c r="F2044" s="16" t="str">
        <f>"2170721607 "</f>
        <v xml:space="preserve">2170721607 </v>
      </c>
      <c r="G2044" s="16" t="str">
        <f>"ON1"</f>
        <v>ON1</v>
      </c>
      <c r="H2044" s="16" t="s">
        <v>21</v>
      </c>
      <c r="I2044" s="16" t="s">
        <v>49</v>
      </c>
      <c r="J2044" s="16" t="str">
        <f>""</f>
        <v/>
      </c>
      <c r="K2044" s="16" t="str">
        <f>"PFES1162732096_0001"</f>
        <v>PFES1162732096_0001</v>
      </c>
      <c r="L2044" s="16">
        <v>1</v>
      </c>
      <c r="M2044" s="16">
        <v>12</v>
      </c>
    </row>
    <row r="2045" spans="1:13">
      <c r="A2045" s="6">
        <v>43851</v>
      </c>
      <c r="B2045" s="7">
        <v>0.5</v>
      </c>
      <c r="C2045" s="16" t="str">
        <f>"FES1162732093"</f>
        <v>FES1162732093</v>
      </c>
      <c r="D2045" s="16" t="s">
        <v>19</v>
      </c>
      <c r="E2045" s="16" t="s">
        <v>566</v>
      </c>
      <c r="F2045" s="16" t="str">
        <f>"2170721598 "</f>
        <v xml:space="preserve">2170721598 </v>
      </c>
      <c r="G2045" s="16" t="str">
        <f>"ON1"</f>
        <v>ON1</v>
      </c>
      <c r="H2045" s="16" t="s">
        <v>21</v>
      </c>
      <c r="I2045" s="16" t="s">
        <v>249</v>
      </c>
      <c r="J2045" s="16" t="str">
        <f>""</f>
        <v/>
      </c>
      <c r="K2045" s="16" t="str">
        <f>"PFES1162732093_0001"</f>
        <v>PFES1162732093_0001</v>
      </c>
      <c r="L2045" s="16">
        <v>1</v>
      </c>
      <c r="M2045" s="16">
        <v>4</v>
      </c>
    </row>
    <row r="2046" spans="1:13">
      <c r="A2046" s="6">
        <v>43851</v>
      </c>
      <c r="B2046" s="7">
        <v>0.4993055555555555</v>
      </c>
      <c r="C2046" s="16" t="str">
        <f>"FES1162732030"</f>
        <v>FES1162732030</v>
      </c>
      <c r="D2046" s="16" t="s">
        <v>19</v>
      </c>
      <c r="E2046" s="16" t="s">
        <v>147</v>
      </c>
      <c r="F2046" s="16" t="str">
        <f>"2170722628 "</f>
        <v xml:space="preserve">2170722628 </v>
      </c>
      <c r="G2046" s="16" t="str">
        <f>"ON1"</f>
        <v>ON1</v>
      </c>
      <c r="H2046" s="16" t="s">
        <v>21</v>
      </c>
      <c r="I2046" s="16" t="s">
        <v>148</v>
      </c>
      <c r="J2046" s="16" t="str">
        <f>""</f>
        <v/>
      </c>
      <c r="K2046" s="16" t="str">
        <f>"PFES1162732030_0001"</f>
        <v>PFES1162732030_0001</v>
      </c>
      <c r="L2046" s="16">
        <v>1</v>
      </c>
      <c r="M2046" s="16">
        <v>2</v>
      </c>
    </row>
    <row r="2047" spans="1:13">
      <c r="A2047" s="6">
        <v>43851</v>
      </c>
      <c r="B2047" s="7">
        <v>0.49861111111111112</v>
      </c>
      <c r="C2047" s="16" t="str">
        <f>"FES1162732092"</f>
        <v>FES1162732092</v>
      </c>
      <c r="D2047" s="16" t="s">
        <v>19</v>
      </c>
      <c r="E2047" s="16" t="s">
        <v>244</v>
      </c>
      <c r="F2047" s="16" t="str">
        <f>"2170721560 "</f>
        <v xml:space="preserve">2170721560 </v>
      </c>
      <c r="G2047" s="16" t="str">
        <f>"DBC"</f>
        <v>DBC</v>
      </c>
      <c r="H2047" s="16" t="s">
        <v>21</v>
      </c>
      <c r="I2047" s="16" t="s">
        <v>36</v>
      </c>
      <c r="J2047" s="16" t="str">
        <f>""</f>
        <v/>
      </c>
      <c r="K2047" s="16" t="str">
        <f>"PFES1162732092_0001"</f>
        <v>PFES1162732092_0001</v>
      </c>
      <c r="L2047" s="16">
        <v>1</v>
      </c>
      <c r="M2047" s="16">
        <v>24</v>
      </c>
    </row>
    <row r="2048" spans="1:13">
      <c r="A2048" s="6">
        <v>43851</v>
      </c>
      <c r="B2048" s="7">
        <v>0.49583333333333335</v>
      </c>
      <c r="C2048" s="16" t="str">
        <f>"FES1162732124"</f>
        <v>FES1162732124</v>
      </c>
      <c r="D2048" s="16" t="s">
        <v>19</v>
      </c>
      <c r="E2048" s="16" t="s">
        <v>170</v>
      </c>
      <c r="F2048" s="16" t="str">
        <f>"2170724682 "</f>
        <v xml:space="preserve">2170724682 </v>
      </c>
      <c r="G2048" s="16" t="str">
        <f t="shared" ref="G2048:G2111" si="62">"ON1"</f>
        <v>ON1</v>
      </c>
      <c r="H2048" s="16" t="s">
        <v>21</v>
      </c>
      <c r="I2048" s="16" t="s">
        <v>63</v>
      </c>
      <c r="J2048" s="16" t="str">
        <f>""</f>
        <v/>
      </c>
      <c r="K2048" s="16" t="str">
        <f>"PFES1162732124_0001"</f>
        <v>PFES1162732124_0001</v>
      </c>
      <c r="L2048" s="16">
        <v>1</v>
      </c>
      <c r="M2048" s="16">
        <v>1</v>
      </c>
    </row>
    <row r="2049" spans="1:13">
      <c r="A2049" s="6">
        <v>43851</v>
      </c>
      <c r="B2049" s="7">
        <v>0.49374999999999997</v>
      </c>
      <c r="C2049" s="16" t="str">
        <f>"FES1162732057"</f>
        <v>FES1162732057</v>
      </c>
      <c r="D2049" s="16" t="s">
        <v>19</v>
      </c>
      <c r="E2049" s="16" t="s">
        <v>185</v>
      </c>
      <c r="F2049" s="16" t="str">
        <f>"2170723984 "</f>
        <v xml:space="preserve">2170723984 </v>
      </c>
      <c r="G2049" s="16" t="str">
        <f t="shared" si="62"/>
        <v>ON1</v>
      </c>
      <c r="H2049" s="16" t="s">
        <v>21</v>
      </c>
      <c r="I2049" s="16" t="s">
        <v>47</v>
      </c>
      <c r="J2049" s="16" t="str">
        <f>""</f>
        <v/>
      </c>
      <c r="K2049" s="16" t="str">
        <f>"PFES1162732057_0001"</f>
        <v>PFES1162732057_0001</v>
      </c>
      <c r="L2049" s="16">
        <v>1</v>
      </c>
      <c r="M2049" s="16">
        <v>1</v>
      </c>
    </row>
    <row r="2050" spans="1:13">
      <c r="A2050" s="6">
        <v>43851</v>
      </c>
      <c r="B2050" s="7">
        <v>0.49236111111111108</v>
      </c>
      <c r="C2050" s="16" t="str">
        <f>"FES1162732007"</f>
        <v>FES1162732007</v>
      </c>
      <c r="D2050" s="16" t="s">
        <v>19</v>
      </c>
      <c r="E2050" s="16" t="s">
        <v>563</v>
      </c>
      <c r="F2050" s="16" t="str">
        <f>"2170723472 "</f>
        <v xml:space="preserve">2170723472 </v>
      </c>
      <c r="G2050" s="16" t="str">
        <f t="shared" si="62"/>
        <v>ON1</v>
      </c>
      <c r="H2050" s="16" t="s">
        <v>21</v>
      </c>
      <c r="I2050" s="16" t="s">
        <v>564</v>
      </c>
      <c r="J2050" s="16" t="str">
        <f>""</f>
        <v/>
      </c>
      <c r="K2050" s="16" t="str">
        <f>"PFES1162732007_0001"</f>
        <v>PFES1162732007_0001</v>
      </c>
      <c r="L2050" s="16">
        <v>1</v>
      </c>
      <c r="M2050" s="16">
        <v>1</v>
      </c>
    </row>
    <row r="2051" spans="1:13">
      <c r="A2051" s="6">
        <v>43851</v>
      </c>
      <c r="B2051" s="7">
        <v>0.4916666666666667</v>
      </c>
      <c r="C2051" s="16" t="str">
        <f>"FES1162732052"</f>
        <v>FES1162732052</v>
      </c>
      <c r="D2051" s="16" t="s">
        <v>19</v>
      </c>
      <c r="E2051" s="16" t="s">
        <v>37</v>
      </c>
      <c r="F2051" s="16" t="str">
        <f>"2170723492 "</f>
        <v xml:space="preserve">2170723492 </v>
      </c>
      <c r="G2051" s="16" t="str">
        <f t="shared" si="62"/>
        <v>ON1</v>
      </c>
      <c r="H2051" s="16" t="s">
        <v>21</v>
      </c>
      <c r="I2051" s="16" t="s">
        <v>38</v>
      </c>
      <c r="J2051" s="16" t="str">
        <f>""</f>
        <v/>
      </c>
      <c r="K2051" s="16" t="str">
        <f>"PFES1162732052_0001"</f>
        <v>PFES1162732052_0001</v>
      </c>
      <c r="L2051" s="16">
        <v>1</v>
      </c>
      <c r="M2051" s="16">
        <v>1</v>
      </c>
    </row>
    <row r="2052" spans="1:13">
      <c r="A2052" s="6">
        <v>43851</v>
      </c>
      <c r="B2052" s="7">
        <v>0.47916666666666669</v>
      </c>
      <c r="C2052" s="16" t="str">
        <f>"FES1162732047"</f>
        <v>FES1162732047</v>
      </c>
      <c r="D2052" s="16" t="s">
        <v>19</v>
      </c>
      <c r="E2052" s="16" t="s">
        <v>188</v>
      </c>
      <c r="F2052" s="16" t="str">
        <f>"2170722883 "</f>
        <v xml:space="preserve">2170722883 </v>
      </c>
      <c r="G2052" s="16" t="str">
        <f t="shared" si="62"/>
        <v>ON1</v>
      </c>
      <c r="H2052" s="16" t="s">
        <v>21</v>
      </c>
      <c r="I2052" s="16" t="s">
        <v>189</v>
      </c>
      <c r="J2052" s="16" t="str">
        <f>""</f>
        <v/>
      </c>
      <c r="K2052" s="16" t="str">
        <f>"PFES1162732047_0001"</f>
        <v>PFES1162732047_0001</v>
      </c>
      <c r="L2052" s="16">
        <v>1</v>
      </c>
      <c r="M2052" s="16">
        <v>1</v>
      </c>
    </row>
    <row r="2053" spans="1:13">
      <c r="A2053" s="6">
        <v>43851</v>
      </c>
      <c r="B2053" s="7">
        <v>0.47847222222222219</v>
      </c>
      <c r="C2053" s="16" t="str">
        <f>"FES1162732061"</f>
        <v>FES1162732061</v>
      </c>
      <c r="D2053" s="16" t="s">
        <v>19</v>
      </c>
      <c r="E2053" s="16" t="s">
        <v>224</v>
      </c>
      <c r="F2053" s="16" t="str">
        <f>"2170724331 "</f>
        <v xml:space="preserve">2170724331 </v>
      </c>
      <c r="G2053" s="16" t="str">
        <f t="shared" si="62"/>
        <v>ON1</v>
      </c>
      <c r="H2053" s="16" t="s">
        <v>21</v>
      </c>
      <c r="I2053" s="16" t="s">
        <v>500</v>
      </c>
      <c r="J2053" s="16" t="str">
        <f>""</f>
        <v/>
      </c>
      <c r="K2053" s="16" t="str">
        <f>"PFES1162732061_0001"</f>
        <v>PFES1162732061_0001</v>
      </c>
      <c r="L2053" s="16">
        <v>1</v>
      </c>
      <c r="M2053" s="16">
        <v>1</v>
      </c>
    </row>
    <row r="2054" spans="1:13">
      <c r="A2054" s="6">
        <v>43851</v>
      </c>
      <c r="B2054" s="7">
        <v>0.47847222222222219</v>
      </c>
      <c r="C2054" s="16" t="str">
        <f>"FES1162732066"</f>
        <v>FES1162732066</v>
      </c>
      <c r="D2054" s="16" t="s">
        <v>19</v>
      </c>
      <c r="E2054" s="16" t="s">
        <v>873</v>
      </c>
      <c r="F2054" s="16" t="str">
        <f>"2170724604 "</f>
        <v xml:space="preserve">2170724604 </v>
      </c>
      <c r="G2054" s="16" t="str">
        <f t="shared" si="62"/>
        <v>ON1</v>
      </c>
      <c r="H2054" s="16" t="s">
        <v>21</v>
      </c>
      <c r="I2054" s="16" t="s">
        <v>640</v>
      </c>
      <c r="J2054" s="16" t="str">
        <f>""</f>
        <v/>
      </c>
      <c r="K2054" s="16" t="str">
        <f>"PFES1162732066_0001"</f>
        <v>PFES1162732066_0001</v>
      </c>
      <c r="L2054" s="16">
        <v>1</v>
      </c>
      <c r="M2054" s="16">
        <v>1</v>
      </c>
    </row>
    <row r="2055" spans="1:13">
      <c r="A2055" s="6">
        <v>43851</v>
      </c>
      <c r="B2055" s="7">
        <v>0.4777777777777778</v>
      </c>
      <c r="C2055" s="16" t="str">
        <f>"FES1162732060"</f>
        <v>FES1162732060</v>
      </c>
      <c r="D2055" s="16" t="s">
        <v>19</v>
      </c>
      <c r="E2055" s="16" t="s">
        <v>224</v>
      </c>
      <c r="F2055" s="16" t="str">
        <f>"2170724330 "</f>
        <v xml:space="preserve">2170724330 </v>
      </c>
      <c r="G2055" s="16" t="str">
        <f t="shared" si="62"/>
        <v>ON1</v>
      </c>
      <c r="H2055" s="16" t="s">
        <v>21</v>
      </c>
      <c r="I2055" s="16" t="s">
        <v>500</v>
      </c>
      <c r="J2055" s="16" t="str">
        <f>""</f>
        <v/>
      </c>
      <c r="K2055" s="16" t="str">
        <f>"PFES1162732060_0001"</f>
        <v>PFES1162732060_0001</v>
      </c>
      <c r="L2055" s="16">
        <v>1</v>
      </c>
      <c r="M2055" s="16">
        <v>1</v>
      </c>
    </row>
    <row r="2056" spans="1:13">
      <c r="A2056" s="6">
        <v>43851</v>
      </c>
      <c r="B2056" s="7">
        <v>0.47569444444444442</v>
      </c>
      <c r="C2056" s="16" t="str">
        <f>"FES1162732064"</f>
        <v>FES1162732064</v>
      </c>
      <c r="D2056" s="16" t="s">
        <v>19</v>
      </c>
      <c r="E2056" s="16" t="s">
        <v>224</v>
      </c>
      <c r="F2056" s="16" t="str">
        <f>"2170724426 "</f>
        <v xml:space="preserve">2170724426 </v>
      </c>
      <c r="G2056" s="16" t="str">
        <f t="shared" si="62"/>
        <v>ON1</v>
      </c>
      <c r="H2056" s="16" t="s">
        <v>21</v>
      </c>
      <c r="I2056" s="16" t="s">
        <v>500</v>
      </c>
      <c r="J2056" s="16" t="str">
        <f>""</f>
        <v/>
      </c>
      <c r="K2056" s="16" t="str">
        <f>"PFES1162732064_0001"</f>
        <v>PFES1162732064_0001</v>
      </c>
      <c r="L2056" s="16">
        <v>1</v>
      </c>
      <c r="M2056" s="16">
        <v>1</v>
      </c>
    </row>
    <row r="2057" spans="1:13">
      <c r="A2057" s="6">
        <v>43851</v>
      </c>
      <c r="B2057" s="7">
        <v>0.43194444444444446</v>
      </c>
      <c r="C2057" s="16" t="str">
        <f>"FES1162732058"</f>
        <v>FES1162732058</v>
      </c>
      <c r="D2057" s="16" t="s">
        <v>19</v>
      </c>
      <c r="E2057" s="16" t="s">
        <v>185</v>
      </c>
      <c r="F2057" s="16" t="str">
        <f>"2170723985 "</f>
        <v xml:space="preserve">2170723985 </v>
      </c>
      <c r="G2057" s="16" t="str">
        <f t="shared" si="62"/>
        <v>ON1</v>
      </c>
      <c r="H2057" s="16" t="s">
        <v>21</v>
      </c>
      <c r="I2057" s="16" t="s">
        <v>47</v>
      </c>
      <c r="J2057" s="16" t="str">
        <f>""</f>
        <v/>
      </c>
      <c r="K2057" s="16" t="str">
        <f>"PFES1162732058_0001"</f>
        <v>PFES1162732058_0001</v>
      </c>
      <c r="L2057" s="16">
        <v>1</v>
      </c>
      <c r="M2057" s="16">
        <v>1</v>
      </c>
    </row>
    <row r="2058" spans="1:13">
      <c r="A2058" s="6">
        <v>43851</v>
      </c>
      <c r="B2058" s="7">
        <v>0.43124999999999997</v>
      </c>
      <c r="C2058" s="16" t="str">
        <f>"FES1162732022"</f>
        <v>FES1162732022</v>
      </c>
      <c r="D2058" s="16" t="s">
        <v>19</v>
      </c>
      <c r="E2058" s="16" t="s">
        <v>216</v>
      </c>
      <c r="F2058" s="16" t="str">
        <f>"2170722284 "</f>
        <v xml:space="preserve">2170722284 </v>
      </c>
      <c r="G2058" s="16" t="str">
        <f t="shared" si="62"/>
        <v>ON1</v>
      </c>
      <c r="H2058" s="16" t="s">
        <v>21</v>
      </c>
      <c r="I2058" s="16" t="s">
        <v>217</v>
      </c>
      <c r="J2058" s="16" t="str">
        <f>""</f>
        <v/>
      </c>
      <c r="K2058" s="16" t="str">
        <f>"PFES1162732022_0001"</f>
        <v>PFES1162732022_0001</v>
      </c>
      <c r="L2058" s="16">
        <v>1</v>
      </c>
      <c r="M2058" s="16">
        <v>1</v>
      </c>
    </row>
    <row r="2059" spans="1:13">
      <c r="A2059" s="6">
        <v>43851</v>
      </c>
      <c r="B2059" s="7">
        <v>0.43055555555555558</v>
      </c>
      <c r="C2059" s="16" t="str">
        <f>"FES1162732056"</f>
        <v>FES1162732056</v>
      </c>
      <c r="D2059" s="16" t="s">
        <v>19</v>
      </c>
      <c r="E2059" s="16" t="s">
        <v>185</v>
      </c>
      <c r="F2059" s="16" t="str">
        <f>"2170723980 "</f>
        <v xml:space="preserve">2170723980 </v>
      </c>
      <c r="G2059" s="16" t="str">
        <f t="shared" si="62"/>
        <v>ON1</v>
      </c>
      <c r="H2059" s="16" t="s">
        <v>21</v>
      </c>
      <c r="I2059" s="16" t="s">
        <v>47</v>
      </c>
      <c r="J2059" s="16" t="str">
        <f>""</f>
        <v/>
      </c>
      <c r="K2059" s="16" t="str">
        <f>"PFES1162732056_0001"</f>
        <v>PFES1162732056_0001</v>
      </c>
      <c r="L2059" s="16">
        <v>1</v>
      </c>
      <c r="M2059" s="16">
        <v>1</v>
      </c>
    </row>
    <row r="2060" spans="1:13">
      <c r="A2060" s="6">
        <v>43851</v>
      </c>
      <c r="B2060" s="7">
        <v>0.42986111111111108</v>
      </c>
      <c r="C2060" s="16" t="str">
        <f>"FES1162732041"</f>
        <v>FES1162732041</v>
      </c>
      <c r="D2060" s="16" t="s">
        <v>19</v>
      </c>
      <c r="E2060" s="16" t="s">
        <v>46</v>
      </c>
      <c r="F2060" s="16" t="str">
        <f>"2170722833 "</f>
        <v xml:space="preserve">2170722833 </v>
      </c>
      <c r="G2060" s="16" t="str">
        <f t="shared" si="62"/>
        <v>ON1</v>
      </c>
      <c r="H2060" s="16" t="s">
        <v>21</v>
      </c>
      <c r="I2060" s="16" t="s">
        <v>47</v>
      </c>
      <c r="J2060" s="16" t="str">
        <f>""</f>
        <v/>
      </c>
      <c r="K2060" s="16" t="str">
        <f>"PFES1162732041_0001"</f>
        <v>PFES1162732041_0001</v>
      </c>
      <c r="L2060" s="16">
        <v>1</v>
      </c>
      <c r="M2060" s="16">
        <v>1</v>
      </c>
    </row>
    <row r="2061" spans="1:13">
      <c r="A2061" s="6">
        <v>43851</v>
      </c>
      <c r="B2061" s="7">
        <v>0.4291666666666667</v>
      </c>
      <c r="C2061" s="16" t="str">
        <f>"FES1162732011"</f>
        <v>FES1162732011</v>
      </c>
      <c r="D2061" s="16" t="s">
        <v>19</v>
      </c>
      <c r="E2061" s="16" t="s">
        <v>259</v>
      </c>
      <c r="F2061" s="16" t="str">
        <f>"2170724637 "</f>
        <v xml:space="preserve">2170724637 </v>
      </c>
      <c r="G2061" s="16" t="str">
        <f t="shared" si="62"/>
        <v>ON1</v>
      </c>
      <c r="H2061" s="16" t="s">
        <v>21</v>
      </c>
      <c r="I2061" s="16" t="s">
        <v>260</v>
      </c>
      <c r="J2061" s="16" t="str">
        <f>""</f>
        <v/>
      </c>
      <c r="K2061" s="16" t="str">
        <f>"PFES1162732011_0001"</f>
        <v>PFES1162732011_0001</v>
      </c>
      <c r="L2061" s="16">
        <v>1</v>
      </c>
      <c r="M2061" s="16">
        <v>1</v>
      </c>
    </row>
    <row r="2062" spans="1:13">
      <c r="A2062" s="6">
        <v>43851</v>
      </c>
      <c r="B2062" s="7">
        <v>0.4284722222222222</v>
      </c>
      <c r="C2062" s="16" t="str">
        <f>"FES1162732037"</f>
        <v>FES1162732037</v>
      </c>
      <c r="D2062" s="16" t="s">
        <v>19</v>
      </c>
      <c r="E2062" s="16" t="s">
        <v>273</v>
      </c>
      <c r="F2062" s="16" t="str">
        <f>"2170722815 "</f>
        <v xml:space="preserve">2170722815 </v>
      </c>
      <c r="G2062" s="16" t="str">
        <f t="shared" si="62"/>
        <v>ON1</v>
      </c>
      <c r="H2062" s="16" t="s">
        <v>21</v>
      </c>
      <c r="I2062" s="16" t="s">
        <v>274</v>
      </c>
      <c r="J2062" s="16" t="str">
        <f>""</f>
        <v/>
      </c>
      <c r="K2062" s="16" t="str">
        <f>"PFES1162732037_0001"</f>
        <v>PFES1162732037_0001</v>
      </c>
      <c r="L2062" s="16">
        <v>1</v>
      </c>
      <c r="M2062" s="16">
        <v>1</v>
      </c>
    </row>
    <row r="2063" spans="1:13">
      <c r="A2063" s="6">
        <v>43851</v>
      </c>
      <c r="B2063" s="7">
        <v>0.42777777777777781</v>
      </c>
      <c r="C2063" s="16" t="str">
        <f>"FES1162732044"</f>
        <v>FES1162732044</v>
      </c>
      <c r="D2063" s="16" t="s">
        <v>19</v>
      </c>
      <c r="E2063" s="16" t="s">
        <v>352</v>
      </c>
      <c r="F2063" s="16" t="str">
        <f>"2170722842 "</f>
        <v xml:space="preserve">2170722842 </v>
      </c>
      <c r="G2063" s="16" t="str">
        <f t="shared" si="62"/>
        <v>ON1</v>
      </c>
      <c r="H2063" s="16" t="s">
        <v>21</v>
      </c>
      <c r="I2063" s="16" t="s">
        <v>114</v>
      </c>
      <c r="J2063" s="16" t="str">
        <f>""</f>
        <v/>
      </c>
      <c r="K2063" s="16" t="str">
        <f>"PFES1162732044_0001"</f>
        <v>PFES1162732044_0001</v>
      </c>
      <c r="L2063" s="16">
        <v>1</v>
      </c>
      <c r="M2063" s="16">
        <v>1</v>
      </c>
    </row>
    <row r="2064" spans="1:13">
      <c r="A2064" s="6">
        <v>43851</v>
      </c>
      <c r="B2064" s="7">
        <v>0.42708333333333331</v>
      </c>
      <c r="C2064" s="16" t="str">
        <f>"FES1162732029"</f>
        <v>FES1162732029</v>
      </c>
      <c r="D2064" s="16" t="s">
        <v>19</v>
      </c>
      <c r="E2064" s="16" t="s">
        <v>147</v>
      </c>
      <c r="F2064" s="16" t="str">
        <f>"2170722626 "</f>
        <v xml:space="preserve">2170722626 </v>
      </c>
      <c r="G2064" s="16" t="str">
        <f t="shared" si="62"/>
        <v>ON1</v>
      </c>
      <c r="H2064" s="16" t="s">
        <v>21</v>
      </c>
      <c r="I2064" s="16" t="s">
        <v>148</v>
      </c>
      <c r="J2064" s="16" t="str">
        <f>""</f>
        <v/>
      </c>
      <c r="K2064" s="16" t="str">
        <f>"PFES1162732029_0001"</f>
        <v>PFES1162732029_0001</v>
      </c>
      <c r="L2064" s="16">
        <v>1</v>
      </c>
      <c r="M2064" s="16">
        <v>1</v>
      </c>
    </row>
    <row r="2065" spans="1:13">
      <c r="A2065" s="6">
        <v>43851</v>
      </c>
      <c r="B2065" s="7">
        <v>0.42638888888888887</v>
      </c>
      <c r="C2065" s="16" t="str">
        <f>"FES1162732059"</f>
        <v>FES1162732059</v>
      </c>
      <c r="D2065" s="16" t="s">
        <v>19</v>
      </c>
      <c r="E2065" s="16" t="s">
        <v>185</v>
      </c>
      <c r="F2065" s="16" t="str">
        <f>"2170724014 "</f>
        <v xml:space="preserve">2170724014 </v>
      </c>
      <c r="G2065" s="16" t="str">
        <f t="shared" si="62"/>
        <v>ON1</v>
      </c>
      <c r="H2065" s="16" t="s">
        <v>21</v>
      </c>
      <c r="I2065" s="16" t="s">
        <v>47</v>
      </c>
      <c r="J2065" s="16" t="str">
        <f>""</f>
        <v/>
      </c>
      <c r="K2065" s="16" t="str">
        <f>"PFES1162732059_0001"</f>
        <v>PFES1162732059_0001</v>
      </c>
      <c r="L2065" s="16">
        <v>1</v>
      </c>
      <c r="M2065" s="16">
        <v>1</v>
      </c>
    </row>
    <row r="2066" spans="1:13">
      <c r="A2066" s="6">
        <v>43851</v>
      </c>
      <c r="B2066" s="7">
        <v>0.42430555555555555</v>
      </c>
      <c r="C2066" s="16" t="str">
        <f>"FES1162732020"</f>
        <v>FES1162732020</v>
      </c>
      <c r="D2066" s="16" t="s">
        <v>19</v>
      </c>
      <c r="E2066" s="16" t="s">
        <v>874</v>
      </c>
      <c r="F2066" s="16" t="str">
        <f>"2170722007 "</f>
        <v xml:space="preserve">2170722007 </v>
      </c>
      <c r="G2066" s="16" t="str">
        <f t="shared" si="62"/>
        <v>ON1</v>
      </c>
      <c r="H2066" s="16" t="s">
        <v>21</v>
      </c>
      <c r="I2066" s="16" t="s">
        <v>377</v>
      </c>
      <c r="J2066" s="16" t="str">
        <f>""</f>
        <v/>
      </c>
      <c r="K2066" s="16" t="str">
        <f>"PFES1162732020_0001"</f>
        <v>PFES1162732020_0001</v>
      </c>
      <c r="L2066" s="16">
        <v>1</v>
      </c>
      <c r="M2066" s="16">
        <v>1</v>
      </c>
    </row>
    <row r="2067" spans="1:13">
      <c r="A2067" s="6">
        <v>43851</v>
      </c>
      <c r="B2067" s="7">
        <v>0.42291666666666666</v>
      </c>
      <c r="C2067" s="16" t="str">
        <f>"FES1162732017"</f>
        <v>FES1162732017</v>
      </c>
      <c r="D2067" s="16" t="s">
        <v>19</v>
      </c>
      <c r="E2067" s="16" t="s">
        <v>153</v>
      </c>
      <c r="F2067" s="16" t="str">
        <f>"2170721210 "</f>
        <v xml:space="preserve">2170721210 </v>
      </c>
      <c r="G2067" s="16" t="str">
        <f t="shared" si="62"/>
        <v>ON1</v>
      </c>
      <c r="H2067" s="16" t="s">
        <v>21</v>
      </c>
      <c r="I2067" s="16" t="s">
        <v>146</v>
      </c>
      <c r="J2067" s="16" t="str">
        <f>""</f>
        <v/>
      </c>
      <c r="K2067" s="16" t="str">
        <f>"PFES1162732017_0001"</f>
        <v>PFES1162732017_0001</v>
      </c>
      <c r="L2067" s="16">
        <v>1</v>
      </c>
      <c r="M2067" s="16">
        <v>1</v>
      </c>
    </row>
    <row r="2068" spans="1:13">
      <c r="A2068" s="6">
        <v>43851</v>
      </c>
      <c r="B2068" s="7">
        <v>0.42083333333333334</v>
      </c>
      <c r="C2068" s="16" t="str">
        <f>"FES1162732042"</f>
        <v>FES1162732042</v>
      </c>
      <c r="D2068" s="16" t="s">
        <v>19</v>
      </c>
      <c r="E2068" s="16" t="s">
        <v>352</v>
      </c>
      <c r="F2068" s="16" t="str">
        <f>"2170722834 "</f>
        <v xml:space="preserve">2170722834 </v>
      </c>
      <c r="G2068" s="16" t="str">
        <f t="shared" si="62"/>
        <v>ON1</v>
      </c>
      <c r="H2068" s="16" t="s">
        <v>21</v>
      </c>
      <c r="I2068" s="16" t="s">
        <v>114</v>
      </c>
      <c r="J2068" s="16" t="str">
        <f>""</f>
        <v/>
      </c>
      <c r="K2068" s="16" t="str">
        <f>"PFES1162732042_0001"</f>
        <v>PFES1162732042_0001</v>
      </c>
      <c r="L2068" s="16">
        <v>1</v>
      </c>
      <c r="M2068" s="16">
        <v>1</v>
      </c>
    </row>
    <row r="2069" spans="1:13">
      <c r="A2069" s="6">
        <v>43851</v>
      </c>
      <c r="B2069" s="7">
        <v>0.4201388888888889</v>
      </c>
      <c r="C2069" s="16" t="str">
        <f>"FES1162732055"</f>
        <v>FES1162732055</v>
      </c>
      <c r="D2069" s="16" t="s">
        <v>19</v>
      </c>
      <c r="E2069" s="16" t="s">
        <v>343</v>
      </c>
      <c r="F2069" s="16" t="str">
        <f>"2170723882 "</f>
        <v xml:space="preserve">2170723882 </v>
      </c>
      <c r="G2069" s="16" t="str">
        <f t="shared" si="62"/>
        <v>ON1</v>
      </c>
      <c r="H2069" s="16" t="s">
        <v>21</v>
      </c>
      <c r="I2069" s="16" t="s">
        <v>344</v>
      </c>
      <c r="J2069" s="16" t="str">
        <f>""</f>
        <v/>
      </c>
      <c r="K2069" s="16" t="str">
        <f>"PFES1162732055_0001"</f>
        <v>PFES1162732055_0001</v>
      </c>
      <c r="L2069" s="16">
        <v>1</v>
      </c>
      <c r="M2069" s="16">
        <v>1</v>
      </c>
    </row>
    <row r="2070" spans="1:13">
      <c r="A2070" s="6">
        <v>43851</v>
      </c>
      <c r="B2070" s="7">
        <v>0.41875000000000001</v>
      </c>
      <c r="C2070" s="16" t="str">
        <f>"FES1162732013"</f>
        <v>FES1162732013</v>
      </c>
      <c r="D2070" s="16" t="s">
        <v>19</v>
      </c>
      <c r="E2070" s="16" t="s">
        <v>101</v>
      </c>
      <c r="F2070" s="16" t="str">
        <f>"2170724641 "</f>
        <v xml:space="preserve">2170724641 </v>
      </c>
      <c r="G2070" s="16" t="str">
        <f t="shared" si="62"/>
        <v>ON1</v>
      </c>
      <c r="H2070" s="16" t="s">
        <v>21</v>
      </c>
      <c r="I2070" s="16" t="s">
        <v>102</v>
      </c>
      <c r="J2070" s="16" t="str">
        <f>""</f>
        <v/>
      </c>
      <c r="K2070" s="16" t="str">
        <f>"PFES1162732013_0001"</f>
        <v>PFES1162732013_0001</v>
      </c>
      <c r="L2070" s="16">
        <v>1</v>
      </c>
      <c r="M2070" s="16">
        <v>1</v>
      </c>
    </row>
    <row r="2071" spans="1:13">
      <c r="A2071" s="6">
        <v>43851</v>
      </c>
      <c r="B2071" s="7">
        <v>0.41875000000000001</v>
      </c>
      <c r="C2071" s="16" t="str">
        <f>"FES1162732072"</f>
        <v>FES1162732072</v>
      </c>
      <c r="D2071" s="16" t="s">
        <v>19</v>
      </c>
      <c r="E2071" s="16" t="s">
        <v>101</v>
      </c>
      <c r="F2071" s="16" t="str">
        <f>"2170724651 "</f>
        <v xml:space="preserve">2170724651 </v>
      </c>
      <c r="G2071" s="16" t="str">
        <f t="shared" si="62"/>
        <v>ON1</v>
      </c>
      <c r="H2071" s="16" t="s">
        <v>21</v>
      </c>
      <c r="I2071" s="16" t="s">
        <v>102</v>
      </c>
      <c r="J2071" s="16" t="str">
        <f>""</f>
        <v/>
      </c>
      <c r="K2071" s="16" t="str">
        <f>"PFES1162732072_0001"</f>
        <v>PFES1162732072_0001</v>
      </c>
      <c r="L2071" s="16">
        <v>1</v>
      </c>
      <c r="M2071" s="16">
        <v>1</v>
      </c>
    </row>
    <row r="2072" spans="1:13">
      <c r="A2072" s="6">
        <v>43851</v>
      </c>
      <c r="B2072" s="7">
        <v>0.41805555555555557</v>
      </c>
      <c r="C2072" s="16" t="str">
        <f>"FES1162732062"</f>
        <v>FES1162732062</v>
      </c>
      <c r="D2072" s="16" t="s">
        <v>19</v>
      </c>
      <c r="E2072" s="16" t="s">
        <v>456</v>
      </c>
      <c r="F2072" s="16" t="str">
        <f>"2170724352 "</f>
        <v xml:space="preserve">2170724352 </v>
      </c>
      <c r="G2072" s="16" t="str">
        <f t="shared" si="62"/>
        <v>ON1</v>
      </c>
      <c r="H2072" s="16" t="s">
        <v>21</v>
      </c>
      <c r="I2072" s="16" t="s">
        <v>344</v>
      </c>
      <c r="J2072" s="16" t="str">
        <f>""</f>
        <v/>
      </c>
      <c r="K2072" s="16" t="str">
        <f>"PFES1162732062_0001"</f>
        <v>PFES1162732062_0001</v>
      </c>
      <c r="L2072" s="16">
        <v>1</v>
      </c>
      <c r="M2072" s="16">
        <v>1</v>
      </c>
    </row>
    <row r="2073" spans="1:13">
      <c r="A2073" s="6">
        <v>43851</v>
      </c>
      <c r="B2073" s="7">
        <v>0.41597222222222219</v>
      </c>
      <c r="C2073" s="16" t="str">
        <f>"FES1162732063"</f>
        <v>FES1162732063</v>
      </c>
      <c r="D2073" s="16" t="s">
        <v>19</v>
      </c>
      <c r="E2073" s="16" t="s">
        <v>136</v>
      </c>
      <c r="F2073" s="16" t="str">
        <f>"2170724371 "</f>
        <v xml:space="preserve">2170724371 </v>
      </c>
      <c r="G2073" s="16" t="str">
        <f t="shared" si="62"/>
        <v>ON1</v>
      </c>
      <c r="H2073" s="16" t="s">
        <v>21</v>
      </c>
      <c r="I2073" s="16" t="s">
        <v>137</v>
      </c>
      <c r="J2073" s="16" t="str">
        <f>""</f>
        <v/>
      </c>
      <c r="K2073" s="16" t="str">
        <f>"PFES1162732063_0001"</f>
        <v>PFES1162732063_0001</v>
      </c>
      <c r="L2073" s="16">
        <v>1</v>
      </c>
      <c r="M2073" s="16">
        <v>1</v>
      </c>
    </row>
    <row r="2074" spans="1:13">
      <c r="A2074" s="6">
        <v>43853</v>
      </c>
      <c r="B2074" s="7">
        <v>0.6875</v>
      </c>
      <c r="C2074" s="17" t="str">
        <f>"FES1162732822"</f>
        <v>FES1162732822</v>
      </c>
      <c r="D2074" s="17" t="s">
        <v>19</v>
      </c>
      <c r="E2074" s="17" t="s">
        <v>111</v>
      </c>
      <c r="F2074" s="17" t="str">
        <f>"2170724952 "</f>
        <v xml:space="preserve">2170724952 </v>
      </c>
      <c r="G2074" s="17" t="str">
        <f t="shared" si="62"/>
        <v>ON1</v>
      </c>
      <c r="H2074" s="17" t="s">
        <v>21</v>
      </c>
      <c r="I2074" s="17" t="s">
        <v>112</v>
      </c>
      <c r="J2074" s="17" t="str">
        <f>""</f>
        <v/>
      </c>
      <c r="K2074" s="17" t="str">
        <f>"PFES1162732822_0001"</f>
        <v>PFES1162732822_0001</v>
      </c>
      <c r="L2074" s="17">
        <v>1</v>
      </c>
      <c r="M2074" s="17">
        <v>10</v>
      </c>
    </row>
    <row r="2075" spans="1:13">
      <c r="A2075" s="6">
        <v>43853</v>
      </c>
      <c r="B2075" s="7">
        <v>0.68472222222222223</v>
      </c>
      <c r="C2075" s="17" t="str">
        <f>"FES1162732844"</f>
        <v>FES1162732844</v>
      </c>
      <c r="D2075" s="17" t="s">
        <v>19</v>
      </c>
      <c r="E2075" s="17" t="s">
        <v>875</v>
      </c>
      <c r="F2075" s="17" t="str">
        <f>"2170725320 "</f>
        <v xml:space="preserve">2170725320 </v>
      </c>
      <c r="G2075" s="17" t="str">
        <f t="shared" si="62"/>
        <v>ON1</v>
      </c>
      <c r="H2075" s="17" t="s">
        <v>21</v>
      </c>
      <c r="I2075" s="17" t="s">
        <v>718</v>
      </c>
      <c r="J2075" s="17" t="str">
        <f>""</f>
        <v/>
      </c>
      <c r="K2075" s="17" t="str">
        <f>"PFES1162732844_0001"</f>
        <v>PFES1162732844_0001</v>
      </c>
      <c r="L2075" s="17">
        <v>1</v>
      </c>
      <c r="M2075" s="17">
        <v>1</v>
      </c>
    </row>
    <row r="2076" spans="1:13">
      <c r="A2076" s="6">
        <v>43853</v>
      </c>
      <c r="B2076" s="7">
        <v>0.68472222222222223</v>
      </c>
      <c r="C2076" s="17" t="str">
        <f>"FES1162732853"</f>
        <v>FES1162732853</v>
      </c>
      <c r="D2076" s="17" t="s">
        <v>19</v>
      </c>
      <c r="E2076" s="17" t="s">
        <v>876</v>
      </c>
      <c r="F2076" s="17" t="str">
        <f>"2170722871 "</f>
        <v xml:space="preserve">2170722871 </v>
      </c>
      <c r="G2076" s="17" t="str">
        <f t="shared" si="62"/>
        <v>ON1</v>
      </c>
      <c r="H2076" s="17" t="s">
        <v>21</v>
      </c>
      <c r="I2076" s="17" t="s">
        <v>877</v>
      </c>
      <c r="J2076" s="17" t="str">
        <f>""</f>
        <v/>
      </c>
      <c r="K2076" s="17" t="str">
        <f>"PFES1162732853_0001"</f>
        <v>PFES1162732853_0001</v>
      </c>
      <c r="L2076" s="17">
        <v>1</v>
      </c>
      <c r="M2076" s="17">
        <v>1</v>
      </c>
    </row>
    <row r="2077" spans="1:13">
      <c r="A2077" s="6">
        <v>43853</v>
      </c>
      <c r="B2077" s="7">
        <v>0.68402777777777779</v>
      </c>
      <c r="C2077" s="17" t="str">
        <f>"FES1162732848"</f>
        <v>FES1162732848</v>
      </c>
      <c r="D2077" s="17" t="s">
        <v>19</v>
      </c>
      <c r="E2077" s="17" t="s">
        <v>878</v>
      </c>
      <c r="F2077" s="17" t="str">
        <f>"2170725323 "</f>
        <v xml:space="preserve">2170725323 </v>
      </c>
      <c r="G2077" s="17" t="str">
        <f t="shared" si="62"/>
        <v>ON1</v>
      </c>
      <c r="H2077" s="17" t="s">
        <v>21</v>
      </c>
      <c r="I2077" s="17" t="s">
        <v>76</v>
      </c>
      <c r="J2077" s="17" t="str">
        <f>""</f>
        <v/>
      </c>
      <c r="K2077" s="17" t="str">
        <f>"PFES1162732848_0001"</f>
        <v>PFES1162732848_0001</v>
      </c>
      <c r="L2077" s="17">
        <v>1</v>
      </c>
      <c r="M2077" s="17">
        <v>1</v>
      </c>
    </row>
    <row r="2078" spans="1:13">
      <c r="A2078" s="6">
        <v>43853</v>
      </c>
      <c r="B2078" s="7">
        <v>0.68402777777777779</v>
      </c>
      <c r="C2078" s="17" t="str">
        <f>"FES1162732745"</f>
        <v>FES1162732745</v>
      </c>
      <c r="D2078" s="17" t="s">
        <v>19</v>
      </c>
      <c r="E2078" s="17" t="s">
        <v>879</v>
      </c>
      <c r="F2078" s="17" t="str">
        <f>"2170725199 "</f>
        <v xml:space="preserve">2170725199 </v>
      </c>
      <c r="G2078" s="17" t="str">
        <f t="shared" si="62"/>
        <v>ON1</v>
      </c>
      <c r="H2078" s="17" t="s">
        <v>21</v>
      </c>
      <c r="I2078" s="17" t="s">
        <v>880</v>
      </c>
      <c r="J2078" s="17" t="str">
        <f>""</f>
        <v/>
      </c>
      <c r="K2078" s="17" t="str">
        <f>"PFES1162732745_0001"</f>
        <v>PFES1162732745_0001</v>
      </c>
      <c r="L2078" s="17">
        <v>1</v>
      </c>
      <c r="M2078" s="17">
        <v>1</v>
      </c>
    </row>
    <row r="2079" spans="1:13">
      <c r="A2079" s="6">
        <v>43853</v>
      </c>
      <c r="B2079" s="7">
        <v>0.68402777777777779</v>
      </c>
      <c r="C2079" s="17" t="str">
        <f>"FES1162732819"</f>
        <v>FES1162732819</v>
      </c>
      <c r="D2079" s="17" t="s">
        <v>19</v>
      </c>
      <c r="E2079" s="17" t="s">
        <v>33</v>
      </c>
      <c r="F2079" s="17" t="str">
        <f>"2170724794 "</f>
        <v xml:space="preserve">2170724794 </v>
      </c>
      <c r="G2079" s="17" t="str">
        <f t="shared" si="62"/>
        <v>ON1</v>
      </c>
      <c r="H2079" s="17" t="s">
        <v>21</v>
      </c>
      <c r="I2079" s="17" t="s">
        <v>34</v>
      </c>
      <c r="J2079" s="17" t="str">
        <f>""</f>
        <v/>
      </c>
      <c r="K2079" s="17" t="str">
        <f>"PFES1162732819_0001"</f>
        <v>PFES1162732819_0001</v>
      </c>
      <c r="L2079" s="17">
        <v>1</v>
      </c>
      <c r="M2079" s="17">
        <v>7</v>
      </c>
    </row>
    <row r="2080" spans="1:13">
      <c r="A2080" s="6">
        <v>43853</v>
      </c>
      <c r="B2080" s="7">
        <v>0.68333333333333324</v>
      </c>
      <c r="C2080" s="17" t="str">
        <f>"FES1162732799"</f>
        <v>FES1162732799</v>
      </c>
      <c r="D2080" s="17" t="s">
        <v>19</v>
      </c>
      <c r="E2080" s="17" t="s">
        <v>224</v>
      </c>
      <c r="F2080" s="17" t="str">
        <f>"2170725286 "</f>
        <v xml:space="preserve">2170725286 </v>
      </c>
      <c r="G2080" s="17" t="str">
        <f t="shared" si="62"/>
        <v>ON1</v>
      </c>
      <c r="H2080" s="17" t="s">
        <v>21</v>
      </c>
      <c r="I2080" s="17" t="s">
        <v>500</v>
      </c>
      <c r="J2080" s="17" t="str">
        <f>""</f>
        <v/>
      </c>
      <c r="K2080" s="17" t="str">
        <f>"PFES1162732799_0001"</f>
        <v>PFES1162732799_0001</v>
      </c>
      <c r="L2080" s="17">
        <v>1</v>
      </c>
      <c r="M2080" s="17">
        <v>2</v>
      </c>
    </row>
    <row r="2081" spans="1:13">
      <c r="A2081" s="6">
        <v>43853</v>
      </c>
      <c r="B2081" s="7">
        <v>0.68333333333333324</v>
      </c>
      <c r="C2081" s="17" t="str">
        <f>"FES1162732850"</f>
        <v>FES1162732850</v>
      </c>
      <c r="D2081" s="17" t="s">
        <v>19</v>
      </c>
      <c r="E2081" s="17" t="s">
        <v>881</v>
      </c>
      <c r="F2081" s="17" t="str">
        <f>"2170725327 "</f>
        <v xml:space="preserve">2170725327 </v>
      </c>
      <c r="G2081" s="17" t="str">
        <f t="shared" si="62"/>
        <v>ON1</v>
      </c>
      <c r="H2081" s="17" t="s">
        <v>21</v>
      </c>
      <c r="I2081" s="17" t="s">
        <v>313</v>
      </c>
      <c r="J2081" s="17" t="str">
        <f>""</f>
        <v/>
      </c>
      <c r="K2081" s="17" t="str">
        <f>"PFES1162732850_0001"</f>
        <v>PFES1162732850_0001</v>
      </c>
      <c r="L2081" s="17">
        <v>1</v>
      </c>
      <c r="M2081" s="17">
        <v>1</v>
      </c>
    </row>
    <row r="2082" spans="1:13">
      <c r="A2082" s="6">
        <v>43853</v>
      </c>
      <c r="B2082" s="7">
        <v>0.68333333333333324</v>
      </c>
      <c r="C2082" s="17" t="str">
        <f>"FES1162732836"</f>
        <v>FES1162732836</v>
      </c>
      <c r="D2082" s="17" t="s">
        <v>19</v>
      </c>
      <c r="E2082" s="17" t="s">
        <v>242</v>
      </c>
      <c r="F2082" s="17" t="str">
        <f>"217072516 "</f>
        <v xml:space="preserve">217072516 </v>
      </c>
      <c r="G2082" s="17" t="str">
        <f t="shared" si="62"/>
        <v>ON1</v>
      </c>
      <c r="H2082" s="17" t="s">
        <v>21</v>
      </c>
      <c r="I2082" s="17" t="s">
        <v>85</v>
      </c>
      <c r="J2082" s="17" t="str">
        <f>"OIL"</f>
        <v>OIL</v>
      </c>
      <c r="K2082" s="17" t="str">
        <f>"PFES1162732836_0001"</f>
        <v>PFES1162732836_0001</v>
      </c>
      <c r="L2082" s="17">
        <v>1</v>
      </c>
      <c r="M2082" s="17">
        <v>9</v>
      </c>
    </row>
    <row r="2083" spans="1:13">
      <c r="A2083" s="6">
        <v>43853</v>
      </c>
      <c r="B2083" s="7">
        <v>0.68263888888888891</v>
      </c>
      <c r="C2083" s="17" t="str">
        <f>"FES1162732858"</f>
        <v>FES1162732858</v>
      </c>
      <c r="D2083" s="17" t="s">
        <v>19</v>
      </c>
      <c r="E2083" s="17" t="s">
        <v>304</v>
      </c>
      <c r="F2083" s="17" t="str">
        <f>"2170725334 "</f>
        <v xml:space="preserve">2170725334 </v>
      </c>
      <c r="G2083" s="17" t="str">
        <f t="shared" si="62"/>
        <v>ON1</v>
      </c>
      <c r="H2083" s="17" t="s">
        <v>21</v>
      </c>
      <c r="I2083" s="17" t="s">
        <v>305</v>
      </c>
      <c r="J2083" s="17" t="str">
        <f>""</f>
        <v/>
      </c>
      <c r="K2083" s="17" t="str">
        <f>"PFES1162732858_0001"</f>
        <v>PFES1162732858_0001</v>
      </c>
      <c r="L2083" s="17">
        <v>1</v>
      </c>
      <c r="M2083" s="17">
        <v>1</v>
      </c>
    </row>
    <row r="2084" spans="1:13">
      <c r="A2084" s="6">
        <v>43853</v>
      </c>
      <c r="B2084" s="7">
        <v>0.68263888888888891</v>
      </c>
      <c r="C2084" s="17" t="str">
        <f>"FES1162732564"</f>
        <v>FES1162732564</v>
      </c>
      <c r="D2084" s="17" t="s">
        <v>19</v>
      </c>
      <c r="E2084" s="17" t="s">
        <v>199</v>
      </c>
      <c r="F2084" s="17" t="str">
        <f>"2170723022 "</f>
        <v xml:space="preserve">2170723022 </v>
      </c>
      <c r="G2084" s="17" t="str">
        <f t="shared" si="62"/>
        <v>ON1</v>
      </c>
      <c r="H2084" s="17" t="s">
        <v>21</v>
      </c>
      <c r="I2084" s="17" t="s">
        <v>200</v>
      </c>
      <c r="J2084" s="17" t="str">
        <f>""</f>
        <v/>
      </c>
      <c r="K2084" s="17" t="str">
        <f>"PFES1162732564_0001"</f>
        <v>PFES1162732564_0001</v>
      </c>
      <c r="L2084" s="17">
        <v>1</v>
      </c>
      <c r="M2084" s="17">
        <v>1</v>
      </c>
    </row>
    <row r="2085" spans="1:13">
      <c r="A2085" s="6">
        <v>43853</v>
      </c>
      <c r="B2085" s="7">
        <v>0.68194444444444446</v>
      </c>
      <c r="C2085" s="17" t="str">
        <f>"FES1162732562"</f>
        <v>FES1162732562</v>
      </c>
      <c r="D2085" s="17" t="s">
        <v>19</v>
      </c>
      <c r="E2085" s="17" t="s">
        <v>199</v>
      </c>
      <c r="F2085" s="17" t="str">
        <f>"2170723015 "</f>
        <v xml:space="preserve">2170723015 </v>
      </c>
      <c r="G2085" s="17" t="str">
        <f t="shared" si="62"/>
        <v>ON1</v>
      </c>
      <c r="H2085" s="17" t="s">
        <v>21</v>
      </c>
      <c r="I2085" s="17" t="s">
        <v>200</v>
      </c>
      <c r="J2085" s="17" t="str">
        <f>""</f>
        <v/>
      </c>
      <c r="K2085" s="17" t="str">
        <f>"PFES1162732562_0001"</f>
        <v>PFES1162732562_0001</v>
      </c>
      <c r="L2085" s="17">
        <v>1</v>
      </c>
      <c r="M2085" s="17">
        <v>1</v>
      </c>
    </row>
    <row r="2086" spans="1:13">
      <c r="A2086" s="6">
        <v>43853</v>
      </c>
      <c r="B2086" s="7">
        <v>0.68194444444444446</v>
      </c>
      <c r="C2086" s="17" t="str">
        <f>"FES1162732845"</f>
        <v>FES1162732845</v>
      </c>
      <c r="D2086" s="17" t="s">
        <v>19</v>
      </c>
      <c r="E2086" s="17" t="s">
        <v>342</v>
      </c>
      <c r="F2086" s="17" t="str">
        <f>"217075231"</f>
        <v>217075231</v>
      </c>
      <c r="G2086" s="17" t="str">
        <f t="shared" si="62"/>
        <v>ON1</v>
      </c>
      <c r="H2086" s="17" t="s">
        <v>21</v>
      </c>
      <c r="I2086" s="17" t="s">
        <v>233</v>
      </c>
      <c r="K2086" s="17" t="str">
        <f>"PFES1162732845_0001"</f>
        <v>PFES1162732845_0001</v>
      </c>
      <c r="L2086" s="17">
        <v>1</v>
      </c>
      <c r="M2086" s="17">
        <v>1</v>
      </c>
    </row>
    <row r="2087" spans="1:13">
      <c r="A2087" s="6">
        <v>43853</v>
      </c>
      <c r="B2087" s="7">
        <v>0.68125000000000002</v>
      </c>
      <c r="C2087" s="17" t="str">
        <f>"FES1162732839"</f>
        <v>FES1162732839</v>
      </c>
      <c r="D2087" s="17" t="s">
        <v>19</v>
      </c>
      <c r="E2087" s="17" t="s">
        <v>882</v>
      </c>
      <c r="F2087" s="17" t="str">
        <f>"2170721086 "</f>
        <v xml:space="preserve">2170721086 </v>
      </c>
      <c r="G2087" s="17" t="str">
        <f t="shared" si="62"/>
        <v>ON1</v>
      </c>
      <c r="H2087" s="17" t="s">
        <v>21</v>
      </c>
      <c r="I2087" s="17" t="s">
        <v>277</v>
      </c>
      <c r="J2087" s="17" t="str">
        <f>""</f>
        <v/>
      </c>
      <c r="K2087" s="17" t="str">
        <f>"PFES1162732839_0001"</f>
        <v>PFES1162732839_0001</v>
      </c>
      <c r="L2087" s="17">
        <v>1</v>
      </c>
      <c r="M2087" s="17">
        <v>16</v>
      </c>
    </row>
    <row r="2088" spans="1:13">
      <c r="A2088" s="6">
        <v>43853</v>
      </c>
      <c r="B2088" s="7">
        <v>0.68125000000000002</v>
      </c>
      <c r="C2088" s="17" t="str">
        <f>"FES1162732841"</f>
        <v>FES1162732841</v>
      </c>
      <c r="D2088" s="17" t="s">
        <v>19</v>
      </c>
      <c r="E2088" s="17" t="s">
        <v>883</v>
      </c>
      <c r="F2088" s="17" t="str">
        <f>"2170722512 "</f>
        <v xml:space="preserve">2170722512 </v>
      </c>
      <c r="G2088" s="17" t="str">
        <f t="shared" si="62"/>
        <v>ON1</v>
      </c>
      <c r="H2088" s="17" t="s">
        <v>21</v>
      </c>
      <c r="I2088" s="17" t="s">
        <v>69</v>
      </c>
      <c r="J2088" s="17" t="str">
        <f>""</f>
        <v/>
      </c>
      <c r="K2088" s="17" t="str">
        <f>"PFES1162732841_0001"</f>
        <v>PFES1162732841_0001</v>
      </c>
      <c r="L2088" s="17">
        <v>1</v>
      </c>
      <c r="M2088" s="17">
        <v>1</v>
      </c>
    </row>
    <row r="2089" spans="1:13">
      <c r="A2089" s="6">
        <v>43853</v>
      </c>
      <c r="B2089" s="7">
        <v>0.68055555555555547</v>
      </c>
      <c r="C2089" s="17" t="str">
        <f>"FES1162732843"</f>
        <v>FES1162732843</v>
      </c>
      <c r="D2089" s="17" t="s">
        <v>19</v>
      </c>
      <c r="E2089" s="17" t="s">
        <v>64</v>
      </c>
      <c r="F2089" s="17" t="str">
        <f>"2170721966 "</f>
        <v xml:space="preserve">2170721966 </v>
      </c>
      <c r="G2089" s="17" t="str">
        <f t="shared" si="62"/>
        <v>ON1</v>
      </c>
      <c r="H2089" s="17" t="s">
        <v>21</v>
      </c>
      <c r="I2089" s="17" t="s">
        <v>60</v>
      </c>
      <c r="J2089" s="17" t="str">
        <f>""</f>
        <v/>
      </c>
      <c r="K2089" s="17" t="str">
        <f>"PFES1162732843_0001"</f>
        <v>PFES1162732843_0001</v>
      </c>
      <c r="L2089" s="17">
        <v>1</v>
      </c>
      <c r="M2089" s="17">
        <v>1</v>
      </c>
    </row>
    <row r="2090" spans="1:13">
      <c r="A2090" s="6">
        <v>43853</v>
      </c>
      <c r="B2090" s="7">
        <v>0.68055555555555547</v>
      </c>
      <c r="C2090" s="17" t="str">
        <f>"FES1162732806"</f>
        <v>FES1162732806</v>
      </c>
      <c r="D2090" s="17" t="s">
        <v>19</v>
      </c>
      <c r="E2090" s="17" t="s">
        <v>398</v>
      </c>
      <c r="F2090" s="17" t="str">
        <f>"2170723228 "</f>
        <v xml:space="preserve">2170723228 </v>
      </c>
      <c r="G2090" s="17" t="str">
        <f t="shared" si="62"/>
        <v>ON1</v>
      </c>
      <c r="H2090" s="17" t="s">
        <v>21</v>
      </c>
      <c r="I2090" s="17" t="s">
        <v>399</v>
      </c>
      <c r="J2090" s="17" t="str">
        <f>""</f>
        <v/>
      </c>
      <c r="K2090" s="17" t="str">
        <f>"PFES1162732806_0001"</f>
        <v>PFES1162732806_0001</v>
      </c>
      <c r="L2090" s="17">
        <v>1</v>
      </c>
      <c r="M2090" s="17">
        <v>4</v>
      </c>
    </row>
    <row r="2091" spans="1:13">
      <c r="A2091" s="6">
        <v>43853</v>
      </c>
      <c r="B2091" s="7">
        <v>0.67986111111111114</v>
      </c>
      <c r="C2091" s="17" t="str">
        <f>"FES1162732849"</f>
        <v>FES1162732849</v>
      </c>
      <c r="D2091" s="17" t="s">
        <v>19</v>
      </c>
      <c r="E2091" s="17" t="s">
        <v>331</v>
      </c>
      <c r="F2091" s="17" t="str">
        <f>"21707253235 "</f>
        <v xml:space="preserve">21707253235 </v>
      </c>
      <c r="G2091" s="17" t="str">
        <f t="shared" si="62"/>
        <v>ON1</v>
      </c>
      <c r="H2091" s="17" t="s">
        <v>21</v>
      </c>
      <c r="I2091" s="17" t="s">
        <v>303</v>
      </c>
      <c r="J2091" s="17" t="str">
        <f>""</f>
        <v/>
      </c>
      <c r="K2091" s="17" t="str">
        <f>"PFES1162732849_0001"</f>
        <v>PFES1162732849_0001</v>
      </c>
      <c r="L2091" s="17">
        <v>1</v>
      </c>
      <c r="M2091" s="17">
        <v>6</v>
      </c>
    </row>
    <row r="2092" spans="1:13">
      <c r="A2092" s="6">
        <v>43853</v>
      </c>
      <c r="B2092" s="7">
        <v>0.67986111111111114</v>
      </c>
      <c r="C2092" s="17" t="str">
        <f>"FES1162732831"</f>
        <v>FES1162732831</v>
      </c>
      <c r="D2092" s="17" t="s">
        <v>19</v>
      </c>
      <c r="E2092" s="17" t="s">
        <v>387</v>
      </c>
      <c r="F2092" s="17" t="str">
        <f>"2170725310 "</f>
        <v xml:space="preserve">2170725310 </v>
      </c>
      <c r="G2092" s="17" t="str">
        <f t="shared" si="62"/>
        <v>ON1</v>
      </c>
      <c r="H2092" s="17" t="s">
        <v>21</v>
      </c>
      <c r="I2092" s="17" t="s">
        <v>202</v>
      </c>
      <c r="J2092" s="17" t="str">
        <f>""</f>
        <v/>
      </c>
      <c r="K2092" s="17" t="str">
        <f>"PFES1162732831_0001"</f>
        <v>PFES1162732831_0001</v>
      </c>
      <c r="L2092" s="17">
        <v>1</v>
      </c>
      <c r="M2092" s="17">
        <v>1</v>
      </c>
    </row>
    <row r="2093" spans="1:13">
      <c r="A2093" s="6">
        <v>43853</v>
      </c>
      <c r="B2093" s="7">
        <v>0.6791666666666667</v>
      </c>
      <c r="C2093" s="17" t="str">
        <f>"FES1162732851"</f>
        <v>FES1162732851</v>
      </c>
      <c r="D2093" s="17" t="s">
        <v>19</v>
      </c>
      <c r="E2093" s="17" t="s">
        <v>171</v>
      </c>
      <c r="F2093" s="17" t="str">
        <f>"2170725328 "</f>
        <v xml:space="preserve">2170725328 </v>
      </c>
      <c r="G2093" s="17" t="str">
        <f t="shared" si="62"/>
        <v>ON1</v>
      </c>
      <c r="H2093" s="17" t="s">
        <v>21</v>
      </c>
      <c r="I2093" s="17" t="s">
        <v>47</v>
      </c>
      <c r="J2093" s="17" t="str">
        <f>""</f>
        <v/>
      </c>
      <c r="K2093" s="17" t="str">
        <f>"PFES1162732851_0001"</f>
        <v>PFES1162732851_0001</v>
      </c>
      <c r="L2093" s="17">
        <v>1</v>
      </c>
      <c r="M2093" s="17">
        <v>1</v>
      </c>
    </row>
    <row r="2094" spans="1:13">
      <c r="A2094" s="6">
        <v>43853</v>
      </c>
      <c r="B2094" s="7">
        <v>0.67847222222222225</v>
      </c>
      <c r="C2094" s="17" t="str">
        <f>"FES1162732834"</f>
        <v>FES1162732834</v>
      </c>
      <c r="D2094" s="17" t="s">
        <v>19</v>
      </c>
      <c r="E2094" s="17" t="s">
        <v>537</v>
      </c>
      <c r="F2094" s="17" t="str">
        <f>"2170722800 "</f>
        <v xml:space="preserve">2170722800 </v>
      </c>
      <c r="G2094" s="17" t="str">
        <f t="shared" si="62"/>
        <v>ON1</v>
      </c>
      <c r="H2094" s="17" t="s">
        <v>21</v>
      </c>
      <c r="I2094" s="17" t="s">
        <v>209</v>
      </c>
      <c r="J2094" s="17" t="str">
        <f>""</f>
        <v/>
      </c>
      <c r="K2094" s="17" t="str">
        <f>"PFES1162732834_0001"</f>
        <v>PFES1162732834_0001</v>
      </c>
      <c r="L2094" s="17">
        <v>1</v>
      </c>
      <c r="M2094" s="17">
        <v>1</v>
      </c>
    </row>
    <row r="2095" spans="1:13">
      <c r="A2095" s="6">
        <v>43853</v>
      </c>
      <c r="B2095" s="7">
        <v>0.67847222222222225</v>
      </c>
      <c r="C2095" s="17" t="str">
        <f>"FES1162732808"</f>
        <v>FES1162732808</v>
      </c>
      <c r="D2095" s="17" t="s">
        <v>19</v>
      </c>
      <c r="E2095" s="17" t="s">
        <v>703</v>
      </c>
      <c r="F2095" s="17" t="str">
        <f>"2170725296 "</f>
        <v xml:space="preserve">2170725296 </v>
      </c>
      <c r="G2095" s="17" t="str">
        <f t="shared" si="62"/>
        <v>ON1</v>
      </c>
      <c r="H2095" s="17" t="s">
        <v>21</v>
      </c>
      <c r="I2095" s="17" t="s">
        <v>704</v>
      </c>
      <c r="J2095" s="17" t="str">
        <f>""</f>
        <v/>
      </c>
      <c r="K2095" s="17" t="str">
        <f>"PFES1162732808_0001"</f>
        <v>PFES1162732808_0001</v>
      </c>
      <c r="L2095" s="17">
        <v>1</v>
      </c>
      <c r="M2095" s="17">
        <v>1</v>
      </c>
    </row>
    <row r="2096" spans="1:13">
      <c r="A2096" s="6">
        <v>43853</v>
      </c>
      <c r="B2096" s="7">
        <v>0.67638888888888893</v>
      </c>
      <c r="C2096" s="17" t="str">
        <f>"FES1162732814"</f>
        <v>FES1162732814</v>
      </c>
      <c r="D2096" s="17" t="s">
        <v>19</v>
      </c>
      <c r="E2096" s="17" t="s">
        <v>101</v>
      </c>
      <c r="F2096" s="17" t="str">
        <f>"2170724224 "</f>
        <v xml:space="preserve">2170724224 </v>
      </c>
      <c r="G2096" s="17" t="str">
        <f t="shared" si="62"/>
        <v>ON1</v>
      </c>
      <c r="H2096" s="17" t="s">
        <v>21</v>
      </c>
      <c r="I2096" s="17" t="s">
        <v>102</v>
      </c>
      <c r="J2096" s="17" t="str">
        <f>""</f>
        <v/>
      </c>
      <c r="K2096" s="17" t="str">
        <f>"PFES1162732814_0001"</f>
        <v>PFES1162732814_0001</v>
      </c>
      <c r="L2096" s="17">
        <v>1</v>
      </c>
      <c r="M2096" s="17">
        <v>1</v>
      </c>
    </row>
    <row r="2097" spans="1:13">
      <c r="A2097" s="6">
        <v>43853</v>
      </c>
      <c r="B2097" s="7">
        <v>0.66805555555555562</v>
      </c>
      <c r="C2097" s="17" t="str">
        <f>"FES1162732723"</f>
        <v>FES1162732723</v>
      </c>
      <c r="D2097" s="17" t="s">
        <v>19</v>
      </c>
      <c r="E2097" s="17" t="s">
        <v>884</v>
      </c>
      <c r="F2097" s="17" t="str">
        <f>"2170725171 "</f>
        <v xml:space="preserve">2170725171 </v>
      </c>
      <c r="G2097" s="17" t="str">
        <f t="shared" si="62"/>
        <v>ON1</v>
      </c>
      <c r="H2097" s="17" t="s">
        <v>21</v>
      </c>
      <c r="I2097" s="17" t="s">
        <v>562</v>
      </c>
      <c r="J2097" s="17" t="str">
        <f>""</f>
        <v/>
      </c>
      <c r="K2097" s="17" t="str">
        <f>"PFES1162732723_0001"</f>
        <v>PFES1162732723_0001</v>
      </c>
      <c r="L2097" s="17">
        <v>1</v>
      </c>
      <c r="M2097" s="17">
        <v>1</v>
      </c>
    </row>
    <row r="2098" spans="1:13">
      <c r="A2098" s="6">
        <v>43853</v>
      </c>
      <c r="B2098" s="7">
        <v>0.66805555555555562</v>
      </c>
      <c r="C2098" s="17" t="str">
        <f>"FES1162732532"</f>
        <v>FES1162732532</v>
      </c>
      <c r="D2098" s="17" t="s">
        <v>19</v>
      </c>
      <c r="E2098" s="17" t="s">
        <v>82</v>
      </c>
      <c r="F2098" s="17" t="str">
        <f>"2170723025 "</f>
        <v xml:space="preserve">2170723025 </v>
      </c>
      <c r="G2098" s="17" t="str">
        <f t="shared" si="62"/>
        <v>ON1</v>
      </c>
      <c r="H2098" s="17" t="s">
        <v>21</v>
      </c>
      <c r="I2098" s="17" t="s">
        <v>83</v>
      </c>
      <c r="J2098" s="17" t="str">
        <f>""</f>
        <v/>
      </c>
      <c r="K2098" s="17" t="str">
        <f>"PFES1162732532_0001"</f>
        <v>PFES1162732532_0001</v>
      </c>
      <c r="L2098" s="17">
        <v>1</v>
      </c>
      <c r="M2098" s="17">
        <v>2</v>
      </c>
    </row>
    <row r="2099" spans="1:13">
      <c r="A2099" s="6">
        <v>43853</v>
      </c>
      <c r="B2099" s="7">
        <v>0.66805555555555562</v>
      </c>
      <c r="C2099" s="17" t="str">
        <f>"FES1162732620"</f>
        <v>FES1162732620</v>
      </c>
      <c r="D2099" s="17" t="s">
        <v>19</v>
      </c>
      <c r="E2099" s="17" t="s">
        <v>625</v>
      </c>
      <c r="F2099" s="17" t="str">
        <f>"2170723554 "</f>
        <v xml:space="preserve">2170723554 </v>
      </c>
      <c r="G2099" s="17" t="str">
        <f t="shared" si="62"/>
        <v>ON1</v>
      </c>
      <c r="H2099" s="17" t="s">
        <v>21</v>
      </c>
      <c r="I2099" s="17" t="s">
        <v>237</v>
      </c>
      <c r="J2099" s="17" t="str">
        <f>""</f>
        <v/>
      </c>
      <c r="K2099" s="17" t="str">
        <f>"PFES1162732620_0001"</f>
        <v>PFES1162732620_0001</v>
      </c>
      <c r="L2099" s="17">
        <v>1</v>
      </c>
      <c r="M2099" s="17">
        <v>3</v>
      </c>
    </row>
    <row r="2100" spans="1:13">
      <c r="A2100" s="6">
        <v>43853</v>
      </c>
      <c r="B2100" s="7">
        <v>0.66805555555555562</v>
      </c>
      <c r="C2100" s="17" t="str">
        <f>"FES1162732800"</f>
        <v>FES1162732800</v>
      </c>
      <c r="D2100" s="17" t="s">
        <v>19</v>
      </c>
      <c r="E2100" s="17" t="s">
        <v>199</v>
      </c>
      <c r="F2100" s="17" t="str">
        <f>"2170725289 "</f>
        <v xml:space="preserve">2170725289 </v>
      </c>
      <c r="G2100" s="17" t="str">
        <f t="shared" si="62"/>
        <v>ON1</v>
      </c>
      <c r="H2100" s="17" t="s">
        <v>21</v>
      </c>
      <c r="I2100" s="17" t="s">
        <v>200</v>
      </c>
      <c r="J2100" s="17" t="str">
        <f>""</f>
        <v/>
      </c>
      <c r="K2100" s="17" t="str">
        <f>"PFES1162732800_0001"</f>
        <v>PFES1162732800_0001</v>
      </c>
      <c r="L2100" s="17">
        <v>1</v>
      </c>
      <c r="M2100" s="17">
        <v>1</v>
      </c>
    </row>
    <row r="2101" spans="1:13">
      <c r="A2101" s="6">
        <v>43853</v>
      </c>
      <c r="B2101" s="7">
        <v>0.66736111111111107</v>
      </c>
      <c r="C2101" s="17" t="str">
        <f>"FES1162732810"</f>
        <v>FES1162732810</v>
      </c>
      <c r="D2101" s="17" t="s">
        <v>19</v>
      </c>
      <c r="E2101" s="17" t="s">
        <v>68</v>
      </c>
      <c r="F2101" s="17" t="str">
        <f>"2170725298 "</f>
        <v xml:space="preserve">2170725298 </v>
      </c>
      <c r="G2101" s="17" t="str">
        <f t="shared" si="62"/>
        <v>ON1</v>
      </c>
      <c r="H2101" s="17" t="s">
        <v>21</v>
      </c>
      <c r="I2101" s="17" t="s">
        <v>69</v>
      </c>
      <c r="J2101" s="17" t="str">
        <f>""</f>
        <v/>
      </c>
      <c r="K2101" s="17" t="str">
        <f>"PFES1162732810_0001"</f>
        <v>PFES1162732810_0001</v>
      </c>
      <c r="L2101" s="17">
        <v>1</v>
      </c>
      <c r="M2101" s="17">
        <v>1</v>
      </c>
    </row>
    <row r="2102" spans="1:13">
      <c r="A2102" s="6">
        <v>43853</v>
      </c>
      <c r="B2102" s="7">
        <v>0.66666666666666663</v>
      </c>
      <c r="C2102" s="17" t="str">
        <f>"FES1162732780"</f>
        <v>FES1162732780</v>
      </c>
      <c r="D2102" s="17" t="s">
        <v>19</v>
      </c>
      <c r="E2102" s="17" t="s">
        <v>885</v>
      </c>
      <c r="F2102" s="17" t="str">
        <f>"2170725251 "</f>
        <v xml:space="preserve">2170725251 </v>
      </c>
      <c r="G2102" s="17" t="str">
        <f t="shared" si="62"/>
        <v>ON1</v>
      </c>
      <c r="H2102" s="17" t="s">
        <v>21</v>
      </c>
      <c r="I2102" s="17" t="s">
        <v>886</v>
      </c>
      <c r="J2102" s="17" t="str">
        <f>""</f>
        <v/>
      </c>
      <c r="K2102" s="17" t="str">
        <f>"PFES1162732780_0001"</f>
        <v>PFES1162732780_0001</v>
      </c>
      <c r="L2102" s="17">
        <v>1</v>
      </c>
      <c r="M2102" s="17">
        <v>1</v>
      </c>
    </row>
    <row r="2103" spans="1:13">
      <c r="A2103" s="6">
        <v>43853</v>
      </c>
      <c r="B2103" s="7">
        <v>0.66597222222222219</v>
      </c>
      <c r="C2103" s="17" t="str">
        <f>"FES1162732789"</f>
        <v>FES1162732789</v>
      </c>
      <c r="D2103" s="17" t="s">
        <v>19</v>
      </c>
      <c r="E2103" s="17" t="s">
        <v>387</v>
      </c>
      <c r="F2103" s="17" t="str">
        <f>"2170725269 "</f>
        <v xml:space="preserve">2170725269 </v>
      </c>
      <c r="G2103" s="17" t="str">
        <f t="shared" si="62"/>
        <v>ON1</v>
      </c>
      <c r="H2103" s="17" t="s">
        <v>21</v>
      </c>
      <c r="I2103" s="17" t="s">
        <v>202</v>
      </c>
      <c r="J2103" s="17" t="str">
        <f>""</f>
        <v/>
      </c>
      <c r="K2103" s="17" t="str">
        <f>"PFES1162732789_0001"</f>
        <v>PFES1162732789_0001</v>
      </c>
      <c r="L2103" s="17">
        <v>1</v>
      </c>
      <c r="M2103" s="17">
        <v>1</v>
      </c>
    </row>
    <row r="2104" spans="1:13">
      <c r="A2104" s="6">
        <v>43853</v>
      </c>
      <c r="B2104" s="7">
        <v>0.66527777777777775</v>
      </c>
      <c r="C2104" s="17" t="str">
        <f>"FES1162732601"</f>
        <v>FES1162732601</v>
      </c>
      <c r="D2104" s="17" t="s">
        <v>19</v>
      </c>
      <c r="E2104" s="17" t="s">
        <v>378</v>
      </c>
      <c r="F2104" s="17" t="str">
        <f>"2170723364 "</f>
        <v xml:space="preserve">2170723364 </v>
      </c>
      <c r="G2104" s="17" t="str">
        <f t="shared" si="62"/>
        <v>ON1</v>
      </c>
      <c r="H2104" s="17" t="s">
        <v>21</v>
      </c>
      <c r="I2104" s="17" t="s">
        <v>379</v>
      </c>
      <c r="J2104" s="17" t="str">
        <f>""</f>
        <v/>
      </c>
      <c r="K2104" s="17" t="str">
        <f>"PFES1162732601_0001"</f>
        <v>PFES1162732601_0001</v>
      </c>
      <c r="L2104" s="17">
        <v>1</v>
      </c>
      <c r="M2104" s="17">
        <v>1</v>
      </c>
    </row>
    <row r="2105" spans="1:13">
      <c r="A2105" s="6">
        <v>43853</v>
      </c>
      <c r="B2105" s="7">
        <v>0.6645833333333333</v>
      </c>
      <c r="C2105" s="17" t="str">
        <f>"FES1162732807"</f>
        <v>FES1162732807</v>
      </c>
      <c r="D2105" s="17" t="s">
        <v>19</v>
      </c>
      <c r="E2105" s="17" t="s">
        <v>495</v>
      </c>
      <c r="F2105" s="17" t="str">
        <f>"2170725246 "</f>
        <v xml:space="preserve">2170725246 </v>
      </c>
      <c r="G2105" s="17" t="str">
        <f t="shared" si="62"/>
        <v>ON1</v>
      </c>
      <c r="H2105" s="17" t="s">
        <v>21</v>
      </c>
      <c r="I2105" s="17" t="s">
        <v>496</v>
      </c>
      <c r="J2105" s="17" t="str">
        <f>""</f>
        <v/>
      </c>
      <c r="K2105" s="17" t="str">
        <f>"PFES1162732807_0001"</f>
        <v>PFES1162732807_0001</v>
      </c>
      <c r="L2105" s="17">
        <v>1</v>
      </c>
      <c r="M2105" s="17">
        <v>6</v>
      </c>
    </row>
    <row r="2106" spans="1:13">
      <c r="A2106" s="6">
        <v>43853</v>
      </c>
      <c r="B2106" s="7">
        <v>0.6645833333333333</v>
      </c>
      <c r="C2106" s="17" t="str">
        <f>"FES1162732572"</f>
        <v>FES1162732572</v>
      </c>
      <c r="D2106" s="17" t="s">
        <v>19</v>
      </c>
      <c r="E2106" s="17" t="s">
        <v>887</v>
      </c>
      <c r="F2106" s="17" t="str">
        <f>"2170723084 "</f>
        <v xml:space="preserve">2170723084 </v>
      </c>
      <c r="G2106" s="17" t="str">
        <f t="shared" si="62"/>
        <v>ON1</v>
      </c>
      <c r="H2106" s="17" t="s">
        <v>21</v>
      </c>
      <c r="I2106" s="17" t="s">
        <v>355</v>
      </c>
      <c r="J2106" s="17" t="str">
        <f>""</f>
        <v/>
      </c>
      <c r="K2106" s="17" t="str">
        <f>"PFES1162732572_0001"</f>
        <v>PFES1162732572_0001</v>
      </c>
      <c r="L2106" s="17">
        <v>1</v>
      </c>
      <c r="M2106" s="17">
        <v>1</v>
      </c>
    </row>
    <row r="2107" spans="1:13">
      <c r="A2107" s="6">
        <v>43853</v>
      </c>
      <c r="B2107" s="7">
        <v>0.66388888888888886</v>
      </c>
      <c r="C2107" s="17" t="str">
        <f>"FES1162732826"</f>
        <v>FES1162732826</v>
      </c>
      <c r="D2107" s="17" t="s">
        <v>19</v>
      </c>
      <c r="E2107" s="17" t="s">
        <v>252</v>
      </c>
      <c r="F2107" s="17" t="str">
        <f>"2170721784 "</f>
        <v xml:space="preserve">2170721784 </v>
      </c>
      <c r="G2107" s="17" t="str">
        <f t="shared" si="62"/>
        <v>ON1</v>
      </c>
      <c r="H2107" s="17" t="s">
        <v>21</v>
      </c>
      <c r="I2107" s="17" t="s">
        <v>253</v>
      </c>
      <c r="J2107" s="17" t="str">
        <f>""</f>
        <v/>
      </c>
      <c r="K2107" s="17" t="str">
        <f>"PFES1162732826_0001"</f>
        <v>PFES1162732826_0001</v>
      </c>
      <c r="L2107" s="17">
        <v>1</v>
      </c>
      <c r="M2107" s="17">
        <v>3</v>
      </c>
    </row>
    <row r="2108" spans="1:13">
      <c r="A2108" s="6">
        <v>43853</v>
      </c>
      <c r="B2108" s="7">
        <v>0.66388888888888886</v>
      </c>
      <c r="C2108" s="17" t="str">
        <f>"FES1162732816"</f>
        <v>FES1162732816</v>
      </c>
      <c r="D2108" s="17" t="s">
        <v>19</v>
      </c>
      <c r="E2108" s="17" t="s">
        <v>778</v>
      </c>
      <c r="F2108" s="17" t="str">
        <f>"2170725304 "</f>
        <v xml:space="preserve">2170725304 </v>
      </c>
      <c r="G2108" s="17" t="str">
        <f t="shared" si="62"/>
        <v>ON1</v>
      </c>
      <c r="H2108" s="17" t="s">
        <v>21</v>
      </c>
      <c r="I2108" s="17" t="s">
        <v>301</v>
      </c>
      <c r="J2108" s="17" t="str">
        <f>""</f>
        <v/>
      </c>
      <c r="K2108" s="17" t="str">
        <f>"PFES1162732816_0001"</f>
        <v>PFES1162732816_0001</v>
      </c>
      <c r="L2108" s="17">
        <v>1</v>
      </c>
      <c r="M2108" s="17">
        <v>1</v>
      </c>
    </row>
    <row r="2109" spans="1:13">
      <c r="A2109" s="6">
        <v>43853</v>
      </c>
      <c r="B2109" s="7">
        <v>0.66319444444444442</v>
      </c>
      <c r="C2109" s="17" t="str">
        <f>"FES1162732565"</f>
        <v>FES1162732565</v>
      </c>
      <c r="D2109" s="17" t="s">
        <v>19</v>
      </c>
      <c r="E2109" s="17" t="s">
        <v>101</v>
      </c>
      <c r="F2109" s="17" t="str">
        <f>"2170723032 "</f>
        <v xml:space="preserve">2170723032 </v>
      </c>
      <c r="G2109" s="17" t="str">
        <f t="shared" si="62"/>
        <v>ON1</v>
      </c>
      <c r="H2109" s="17" t="s">
        <v>21</v>
      </c>
      <c r="I2109" s="17" t="s">
        <v>102</v>
      </c>
      <c r="J2109" s="17" t="str">
        <f>""</f>
        <v/>
      </c>
      <c r="K2109" s="17" t="str">
        <f>"PFES1162732565_0001"</f>
        <v>PFES1162732565_0001</v>
      </c>
      <c r="L2109" s="17">
        <v>1</v>
      </c>
      <c r="M2109" s="17">
        <v>1</v>
      </c>
    </row>
    <row r="2110" spans="1:13">
      <c r="A2110" s="6">
        <v>43853</v>
      </c>
      <c r="B2110" s="7">
        <v>0.66319444444444442</v>
      </c>
      <c r="C2110" s="17" t="str">
        <f>"FES1162732833"</f>
        <v>FES1162732833</v>
      </c>
      <c r="D2110" s="17" t="s">
        <v>19</v>
      </c>
      <c r="E2110" s="17" t="s">
        <v>888</v>
      </c>
      <c r="F2110" s="17" t="str">
        <f>"2170725314 "</f>
        <v xml:space="preserve">2170725314 </v>
      </c>
      <c r="G2110" s="17" t="str">
        <f t="shared" si="62"/>
        <v>ON1</v>
      </c>
      <c r="H2110" s="17" t="s">
        <v>21</v>
      </c>
      <c r="I2110" s="17" t="s">
        <v>28</v>
      </c>
      <c r="J2110" s="17" t="str">
        <f>""</f>
        <v/>
      </c>
      <c r="K2110" s="17" t="str">
        <f>"PFES1162732833_0001"</f>
        <v>PFES1162732833_0001</v>
      </c>
      <c r="L2110" s="17">
        <v>1</v>
      </c>
      <c r="M2110" s="17">
        <v>2</v>
      </c>
    </row>
    <row r="2111" spans="1:13">
      <c r="A2111" s="6">
        <v>43853</v>
      </c>
      <c r="B2111" s="7">
        <v>0.66319444444444442</v>
      </c>
      <c r="C2111" s="17" t="str">
        <f>"FES1162732817"</f>
        <v>FES1162732817</v>
      </c>
      <c r="D2111" s="17" t="s">
        <v>19</v>
      </c>
      <c r="E2111" s="17" t="s">
        <v>111</v>
      </c>
      <c r="F2111" s="17" t="str">
        <f>"2170724917 "</f>
        <v xml:space="preserve">2170724917 </v>
      </c>
      <c r="G2111" s="17" t="str">
        <f t="shared" si="62"/>
        <v>ON1</v>
      </c>
      <c r="H2111" s="17" t="s">
        <v>21</v>
      </c>
      <c r="I2111" s="17" t="s">
        <v>320</v>
      </c>
      <c r="J2111" s="17" t="str">
        <f>""</f>
        <v/>
      </c>
      <c r="K2111" s="17" t="str">
        <f>"PFES1162732817_0001"</f>
        <v>PFES1162732817_0001</v>
      </c>
      <c r="L2111" s="17">
        <v>1</v>
      </c>
      <c r="M2111" s="17">
        <v>4</v>
      </c>
    </row>
    <row r="2112" spans="1:13">
      <c r="A2112" s="6">
        <v>43853</v>
      </c>
      <c r="B2112" s="7">
        <v>0.66319444444444442</v>
      </c>
      <c r="C2112" s="17" t="str">
        <f>"FES1162732771"</f>
        <v>FES1162732771</v>
      </c>
      <c r="D2112" s="17" t="s">
        <v>19</v>
      </c>
      <c r="E2112" s="17" t="s">
        <v>586</v>
      </c>
      <c r="F2112" s="17" t="str">
        <f>"2170725238 "</f>
        <v xml:space="preserve">2170725238 </v>
      </c>
      <c r="G2112" s="17" t="str">
        <f t="shared" ref="G2112:G2175" si="63">"ON1"</f>
        <v>ON1</v>
      </c>
      <c r="H2112" s="17" t="s">
        <v>21</v>
      </c>
      <c r="I2112" s="17" t="s">
        <v>127</v>
      </c>
      <c r="J2112" s="17" t="str">
        <f>""</f>
        <v/>
      </c>
      <c r="K2112" s="17" t="str">
        <f>"PFES1162732771_0001"</f>
        <v>PFES1162732771_0001</v>
      </c>
      <c r="L2112" s="17">
        <v>1</v>
      </c>
      <c r="M2112" s="17">
        <v>1</v>
      </c>
    </row>
    <row r="2113" spans="1:13">
      <c r="A2113" s="6">
        <v>43853</v>
      </c>
      <c r="B2113" s="7">
        <v>0.66249999999999998</v>
      </c>
      <c r="C2113" s="17" t="str">
        <f>"FES1162732788"</f>
        <v>FES1162732788</v>
      </c>
      <c r="D2113" s="17" t="s">
        <v>19</v>
      </c>
      <c r="E2113" s="17" t="s">
        <v>387</v>
      </c>
      <c r="F2113" s="17" t="str">
        <f>"2170725268 "</f>
        <v xml:space="preserve">2170725268 </v>
      </c>
      <c r="G2113" s="17" t="str">
        <f t="shared" si="63"/>
        <v>ON1</v>
      </c>
      <c r="H2113" s="17" t="s">
        <v>21</v>
      </c>
      <c r="I2113" s="17" t="s">
        <v>202</v>
      </c>
      <c r="J2113" s="17" t="str">
        <f>""</f>
        <v/>
      </c>
      <c r="K2113" s="17" t="str">
        <f>"PFES1162732788_0001"</f>
        <v>PFES1162732788_0001</v>
      </c>
      <c r="L2113" s="17">
        <v>1</v>
      </c>
      <c r="M2113" s="17">
        <v>3</v>
      </c>
    </row>
    <row r="2114" spans="1:13">
      <c r="A2114" s="6">
        <v>43853</v>
      </c>
      <c r="B2114" s="7">
        <v>0.66249999999999998</v>
      </c>
      <c r="C2114" s="17" t="str">
        <f>"FES1162732535"</f>
        <v>FES1162732535</v>
      </c>
      <c r="D2114" s="17" t="s">
        <v>19</v>
      </c>
      <c r="E2114" s="17" t="s">
        <v>378</v>
      </c>
      <c r="F2114" s="17" t="str">
        <f>"2170723364 "</f>
        <v xml:space="preserve">2170723364 </v>
      </c>
      <c r="G2114" s="17" t="str">
        <f t="shared" si="63"/>
        <v>ON1</v>
      </c>
      <c r="H2114" s="17" t="s">
        <v>21</v>
      </c>
      <c r="I2114" s="17" t="s">
        <v>379</v>
      </c>
      <c r="J2114" s="17" t="str">
        <f>""</f>
        <v/>
      </c>
      <c r="K2114" s="17" t="str">
        <f>"PFES1162732535_0001"</f>
        <v>PFES1162732535_0001</v>
      </c>
      <c r="L2114" s="17">
        <v>1</v>
      </c>
      <c r="M2114" s="17">
        <v>3</v>
      </c>
    </row>
    <row r="2115" spans="1:13">
      <c r="A2115" s="6">
        <v>43853</v>
      </c>
      <c r="B2115" s="7">
        <v>0.66249999999999998</v>
      </c>
      <c r="C2115" s="17" t="str">
        <f>"FES1162732805"</f>
        <v>FES1162732805</v>
      </c>
      <c r="D2115" s="17" t="s">
        <v>19</v>
      </c>
      <c r="E2115" s="17" t="s">
        <v>732</v>
      </c>
      <c r="F2115" s="17" t="str">
        <f>"2170725295 "</f>
        <v xml:space="preserve">2170725295 </v>
      </c>
      <c r="G2115" s="17" t="str">
        <f t="shared" si="63"/>
        <v>ON1</v>
      </c>
      <c r="H2115" s="17" t="s">
        <v>21</v>
      </c>
      <c r="I2115" s="17" t="s">
        <v>389</v>
      </c>
      <c r="J2115" s="17" t="str">
        <f>""</f>
        <v/>
      </c>
      <c r="K2115" s="17" t="str">
        <f>"PFES1162732805_0001"</f>
        <v>PFES1162732805_0001</v>
      </c>
      <c r="L2115" s="17">
        <v>1</v>
      </c>
      <c r="M2115" s="17">
        <v>1</v>
      </c>
    </row>
    <row r="2116" spans="1:13">
      <c r="A2116" s="6">
        <v>43853</v>
      </c>
      <c r="B2116" s="7">
        <v>0.66180555555555554</v>
      </c>
      <c r="C2116" s="17" t="str">
        <f>"FES1162732569"</f>
        <v>FES1162732569</v>
      </c>
      <c r="D2116" s="17" t="s">
        <v>19</v>
      </c>
      <c r="E2116" s="17" t="s">
        <v>393</v>
      </c>
      <c r="F2116" s="17" t="str">
        <f>"2170723053 "</f>
        <v xml:space="preserve">2170723053 </v>
      </c>
      <c r="G2116" s="17" t="str">
        <f t="shared" si="63"/>
        <v>ON1</v>
      </c>
      <c r="H2116" s="17" t="s">
        <v>21</v>
      </c>
      <c r="I2116" s="17" t="s">
        <v>394</v>
      </c>
      <c r="J2116" s="17" t="str">
        <f>""</f>
        <v/>
      </c>
      <c r="K2116" s="17" t="str">
        <f>"PFES1162732569_0001"</f>
        <v>PFES1162732569_0001</v>
      </c>
      <c r="L2116" s="17">
        <v>1</v>
      </c>
      <c r="M2116" s="17">
        <v>1</v>
      </c>
    </row>
    <row r="2117" spans="1:13">
      <c r="A2117" s="6">
        <v>43853</v>
      </c>
      <c r="B2117" s="7">
        <v>0.66180555555555554</v>
      </c>
      <c r="C2117" s="17" t="str">
        <f>"FES1162732570"</f>
        <v>FES1162732570</v>
      </c>
      <c r="D2117" s="17" t="s">
        <v>19</v>
      </c>
      <c r="E2117" s="17" t="s">
        <v>532</v>
      </c>
      <c r="F2117" s="17" t="str">
        <f>"2170723070 "</f>
        <v xml:space="preserve">2170723070 </v>
      </c>
      <c r="G2117" s="17" t="str">
        <f t="shared" si="63"/>
        <v>ON1</v>
      </c>
      <c r="H2117" s="17" t="s">
        <v>21</v>
      </c>
      <c r="I2117" s="17" t="s">
        <v>533</v>
      </c>
      <c r="J2117" s="17" t="str">
        <f>""</f>
        <v/>
      </c>
      <c r="K2117" s="17" t="str">
        <f>"PFES1162732570_0001"</f>
        <v>PFES1162732570_0001</v>
      </c>
      <c r="L2117" s="17">
        <v>1</v>
      </c>
      <c r="M2117" s="17">
        <v>3</v>
      </c>
    </row>
    <row r="2118" spans="1:13">
      <c r="A2118" s="6">
        <v>43853</v>
      </c>
      <c r="B2118" s="7">
        <v>0.66111111111111109</v>
      </c>
      <c r="C2118" s="17" t="str">
        <f>"FES1162732589"</f>
        <v>FES1162732589</v>
      </c>
      <c r="D2118" s="17" t="s">
        <v>19</v>
      </c>
      <c r="E2118" s="17" t="s">
        <v>889</v>
      </c>
      <c r="F2118" s="17" t="str">
        <f>"2170723232 "</f>
        <v xml:space="preserve">2170723232 </v>
      </c>
      <c r="G2118" s="17" t="str">
        <f t="shared" si="63"/>
        <v>ON1</v>
      </c>
      <c r="H2118" s="17" t="s">
        <v>21</v>
      </c>
      <c r="I2118" s="17" t="s">
        <v>890</v>
      </c>
      <c r="J2118" s="17" t="str">
        <f>""</f>
        <v/>
      </c>
      <c r="K2118" s="17" t="str">
        <f>"PFES1162732589_0001"</f>
        <v>PFES1162732589_0001</v>
      </c>
      <c r="L2118" s="17">
        <v>1</v>
      </c>
      <c r="M2118" s="17">
        <v>1</v>
      </c>
    </row>
    <row r="2119" spans="1:13">
      <c r="A2119" s="6">
        <v>43853</v>
      </c>
      <c r="B2119" s="7">
        <v>0.66111111111111109</v>
      </c>
      <c r="C2119" s="17" t="str">
        <f>"FES1162732734"</f>
        <v>FES1162732734</v>
      </c>
      <c r="D2119" s="17" t="s">
        <v>19</v>
      </c>
      <c r="E2119" s="17" t="s">
        <v>672</v>
      </c>
      <c r="F2119" s="17" t="str">
        <f>"2170725182 "</f>
        <v xml:space="preserve">2170725182 </v>
      </c>
      <c r="G2119" s="17" t="str">
        <f t="shared" si="63"/>
        <v>ON1</v>
      </c>
      <c r="H2119" s="17" t="s">
        <v>21</v>
      </c>
      <c r="I2119" s="17" t="s">
        <v>288</v>
      </c>
      <c r="J2119" s="17" t="str">
        <f>""</f>
        <v/>
      </c>
      <c r="K2119" s="17" t="str">
        <f>"PFES1162732734_0001"</f>
        <v>PFES1162732734_0001</v>
      </c>
      <c r="L2119" s="17">
        <v>1</v>
      </c>
      <c r="M2119" s="17">
        <v>3</v>
      </c>
    </row>
    <row r="2120" spans="1:13">
      <c r="A2120" s="6">
        <v>43853</v>
      </c>
      <c r="B2120" s="7">
        <v>0.66041666666666665</v>
      </c>
      <c r="C2120" s="17" t="str">
        <f>"FES1162732840"</f>
        <v>FES1162732840</v>
      </c>
      <c r="D2120" s="17" t="s">
        <v>19</v>
      </c>
      <c r="E2120" s="17" t="s">
        <v>142</v>
      </c>
      <c r="F2120" s="17" t="str">
        <f>"2170723978 "</f>
        <v xml:space="preserve">2170723978 </v>
      </c>
      <c r="G2120" s="17" t="str">
        <f t="shared" si="63"/>
        <v>ON1</v>
      </c>
      <c r="H2120" s="17" t="s">
        <v>21</v>
      </c>
      <c r="I2120" s="17" t="s">
        <v>123</v>
      </c>
      <c r="J2120" s="17" t="str">
        <f>""</f>
        <v/>
      </c>
      <c r="K2120" s="17" t="str">
        <f>"PFES1162732840_0001"</f>
        <v>PFES1162732840_0001</v>
      </c>
      <c r="L2120" s="17">
        <v>1</v>
      </c>
      <c r="M2120" s="17">
        <v>1</v>
      </c>
    </row>
    <row r="2121" spans="1:13">
      <c r="A2121" s="6">
        <v>43853</v>
      </c>
      <c r="B2121" s="7">
        <v>0.66041666666666665</v>
      </c>
      <c r="C2121" s="17" t="str">
        <f>"FES1162732811"</f>
        <v>FES1162732811</v>
      </c>
      <c r="D2121" s="17" t="s">
        <v>19</v>
      </c>
      <c r="E2121" s="17" t="s">
        <v>891</v>
      </c>
      <c r="F2121" s="17" t="str">
        <f>"2170725300 "</f>
        <v xml:space="preserve">2170725300 </v>
      </c>
      <c r="G2121" s="17" t="str">
        <f t="shared" si="63"/>
        <v>ON1</v>
      </c>
      <c r="H2121" s="17" t="s">
        <v>21</v>
      </c>
      <c r="I2121" s="17" t="s">
        <v>777</v>
      </c>
      <c r="J2121" s="17" t="str">
        <f>""</f>
        <v/>
      </c>
      <c r="K2121" s="17" t="str">
        <f>"PFES1162732811_0001"</f>
        <v>PFES1162732811_0001</v>
      </c>
      <c r="L2121" s="17">
        <v>1</v>
      </c>
      <c r="M2121" s="17">
        <v>1</v>
      </c>
    </row>
    <row r="2122" spans="1:13">
      <c r="A2122" s="6">
        <v>43853</v>
      </c>
      <c r="B2122" s="7">
        <v>0.66041666666666665</v>
      </c>
      <c r="C2122" s="17" t="str">
        <f>"FES1162732832"</f>
        <v>FES1162732832</v>
      </c>
      <c r="D2122" s="17" t="s">
        <v>19</v>
      </c>
      <c r="E2122" s="17" t="s">
        <v>168</v>
      </c>
      <c r="F2122" s="17" t="str">
        <f>"2170725311 "</f>
        <v xml:space="preserve">2170725311 </v>
      </c>
      <c r="G2122" s="17" t="str">
        <f t="shared" si="63"/>
        <v>ON1</v>
      </c>
      <c r="H2122" s="17" t="s">
        <v>21</v>
      </c>
      <c r="I2122" s="17" t="s">
        <v>169</v>
      </c>
      <c r="J2122" s="17" t="str">
        <f>""</f>
        <v/>
      </c>
      <c r="K2122" s="17" t="str">
        <f>"PFES1162732832_0001"</f>
        <v>PFES1162732832_0001</v>
      </c>
      <c r="L2122" s="17">
        <v>1</v>
      </c>
      <c r="M2122" s="17">
        <v>1</v>
      </c>
    </row>
    <row r="2123" spans="1:13">
      <c r="A2123" s="6">
        <v>43853</v>
      </c>
      <c r="B2123" s="7">
        <v>0.65902777777777777</v>
      </c>
      <c r="C2123" s="17" t="str">
        <f>"FES1162732824"</f>
        <v>FES1162732824</v>
      </c>
      <c r="D2123" s="17" t="s">
        <v>19</v>
      </c>
      <c r="E2123" s="17" t="s">
        <v>596</v>
      </c>
      <c r="F2123" s="17" t="str">
        <f>"2170725302 "</f>
        <v xml:space="preserve">2170725302 </v>
      </c>
      <c r="G2123" s="17" t="str">
        <f t="shared" si="63"/>
        <v>ON1</v>
      </c>
      <c r="H2123" s="17" t="s">
        <v>21</v>
      </c>
      <c r="I2123" s="17" t="s">
        <v>31</v>
      </c>
      <c r="J2123" s="17" t="str">
        <f>""</f>
        <v/>
      </c>
      <c r="K2123" s="17" t="str">
        <f>"PFES1162732824_0001"</f>
        <v>PFES1162732824_0001</v>
      </c>
      <c r="L2123" s="17">
        <v>1</v>
      </c>
      <c r="M2123" s="17">
        <v>1</v>
      </c>
    </row>
    <row r="2124" spans="1:13">
      <c r="A2124" s="6">
        <v>43853</v>
      </c>
      <c r="B2124" s="7">
        <v>0.65833333333333333</v>
      </c>
      <c r="C2124" s="17" t="str">
        <f>"FES1162732820"</f>
        <v>FES1162732820</v>
      </c>
      <c r="D2124" s="17" t="s">
        <v>19</v>
      </c>
      <c r="E2124" s="17" t="s">
        <v>23</v>
      </c>
      <c r="F2124" s="17" t="str">
        <f>"2170725037 "</f>
        <v xml:space="preserve">2170725037 </v>
      </c>
      <c r="G2124" s="17" t="str">
        <f t="shared" si="63"/>
        <v>ON1</v>
      </c>
      <c r="H2124" s="17" t="s">
        <v>21</v>
      </c>
      <c r="I2124" s="17" t="s">
        <v>24</v>
      </c>
      <c r="J2124" s="17" t="str">
        <f>""</f>
        <v/>
      </c>
      <c r="K2124" s="17" t="str">
        <f>"PFES1162732820_0001"</f>
        <v>PFES1162732820_0001</v>
      </c>
      <c r="L2124" s="17">
        <v>1</v>
      </c>
      <c r="M2124" s="17">
        <v>1</v>
      </c>
    </row>
    <row r="2125" spans="1:13">
      <c r="A2125" s="6">
        <v>43853</v>
      </c>
      <c r="B2125" s="7">
        <v>0.65763888888888888</v>
      </c>
      <c r="C2125" s="17" t="str">
        <f>"009935791939"</f>
        <v>009935791939</v>
      </c>
      <c r="D2125" s="17" t="s">
        <v>19</v>
      </c>
      <c r="E2125" s="17" t="s">
        <v>306</v>
      </c>
      <c r="F2125" s="17" t="str">
        <f>"KAVENESH "</f>
        <v xml:space="preserve">KAVENESH </v>
      </c>
      <c r="G2125" s="17" t="str">
        <f t="shared" si="63"/>
        <v>ON1</v>
      </c>
      <c r="H2125" s="17" t="s">
        <v>21</v>
      </c>
      <c r="I2125" s="17" t="s">
        <v>307</v>
      </c>
      <c r="J2125" s="17" t="str">
        <f>""</f>
        <v/>
      </c>
      <c r="K2125" s="17" t="str">
        <f>"P009935791939_0001"</f>
        <v>P009935791939_0001</v>
      </c>
      <c r="L2125" s="17">
        <v>1</v>
      </c>
      <c r="M2125" s="17">
        <v>1</v>
      </c>
    </row>
    <row r="2126" spans="1:13">
      <c r="A2126" s="6">
        <v>43853</v>
      </c>
      <c r="B2126" s="7">
        <v>0.63958333333333328</v>
      </c>
      <c r="C2126" s="17" t="str">
        <f>"FES1162732794"</f>
        <v>FES1162732794</v>
      </c>
      <c r="D2126" s="17" t="s">
        <v>19</v>
      </c>
      <c r="E2126" s="17" t="s">
        <v>184</v>
      </c>
      <c r="F2126" s="17" t="str">
        <f>"2170725266 "</f>
        <v xml:space="preserve">2170725266 </v>
      </c>
      <c r="G2126" s="17" t="str">
        <f t="shared" si="63"/>
        <v>ON1</v>
      </c>
      <c r="H2126" s="17" t="s">
        <v>21</v>
      </c>
      <c r="I2126" s="17" t="s">
        <v>49</v>
      </c>
      <c r="J2126" s="17" t="str">
        <f>""</f>
        <v/>
      </c>
      <c r="K2126" s="17" t="str">
        <f>"PFES1162732794_0001"</f>
        <v>PFES1162732794_0001</v>
      </c>
      <c r="L2126" s="17">
        <v>1</v>
      </c>
      <c r="M2126" s="17">
        <v>7</v>
      </c>
    </row>
    <row r="2127" spans="1:13">
      <c r="A2127" s="6">
        <v>43853</v>
      </c>
      <c r="B2127" s="7">
        <v>0.63958333333333328</v>
      </c>
      <c r="C2127" s="17" t="str">
        <f>"FES1162732752"</f>
        <v>FES1162732752</v>
      </c>
      <c r="D2127" s="17" t="s">
        <v>19</v>
      </c>
      <c r="E2127" s="17" t="s">
        <v>188</v>
      </c>
      <c r="F2127" s="17" t="str">
        <f>"2170725209 "</f>
        <v xml:space="preserve">2170725209 </v>
      </c>
      <c r="G2127" s="17" t="str">
        <f t="shared" si="63"/>
        <v>ON1</v>
      </c>
      <c r="H2127" s="17" t="s">
        <v>21</v>
      </c>
      <c r="I2127" s="17" t="s">
        <v>189</v>
      </c>
      <c r="J2127" s="17" t="str">
        <f>""</f>
        <v/>
      </c>
      <c r="K2127" s="17" t="str">
        <f>"PFES1162732752_0001"</f>
        <v>PFES1162732752_0001</v>
      </c>
      <c r="L2127" s="17">
        <v>1</v>
      </c>
      <c r="M2127" s="17">
        <v>6</v>
      </c>
    </row>
    <row r="2128" spans="1:13">
      <c r="A2128" s="6">
        <v>43853</v>
      </c>
      <c r="B2128" s="7">
        <v>0.63958333333333328</v>
      </c>
      <c r="C2128" s="17" t="str">
        <f>"FES1162732679"</f>
        <v>FES1162732679</v>
      </c>
      <c r="D2128" s="17" t="s">
        <v>19</v>
      </c>
      <c r="E2128" s="17" t="s">
        <v>892</v>
      </c>
      <c r="F2128" s="17" t="str">
        <f>"2170725071 "</f>
        <v xml:space="preserve">2170725071 </v>
      </c>
      <c r="G2128" s="17" t="str">
        <f t="shared" si="63"/>
        <v>ON1</v>
      </c>
      <c r="H2128" s="17" t="s">
        <v>21</v>
      </c>
      <c r="I2128" s="17" t="s">
        <v>53</v>
      </c>
      <c r="J2128" s="17" t="str">
        <f>""</f>
        <v/>
      </c>
      <c r="K2128" s="17" t="str">
        <f>"PFES1162732679_0001"</f>
        <v>PFES1162732679_0001</v>
      </c>
      <c r="L2128" s="17">
        <v>1</v>
      </c>
      <c r="M2128" s="17">
        <v>2</v>
      </c>
    </row>
    <row r="2129" spans="1:13">
      <c r="A2129" s="6">
        <v>43853</v>
      </c>
      <c r="B2129" s="7">
        <v>0.63888888888888895</v>
      </c>
      <c r="C2129" s="17" t="str">
        <f>"FES1162732759"</f>
        <v>FES1162732759</v>
      </c>
      <c r="D2129" s="17" t="s">
        <v>19</v>
      </c>
      <c r="E2129" s="17" t="s">
        <v>629</v>
      </c>
      <c r="F2129" s="17" t="str">
        <f>"2170723522 "</f>
        <v xml:space="preserve">2170723522 </v>
      </c>
      <c r="G2129" s="17" t="str">
        <f t="shared" si="63"/>
        <v>ON1</v>
      </c>
      <c r="H2129" s="17" t="s">
        <v>21</v>
      </c>
      <c r="I2129" s="17" t="s">
        <v>85</v>
      </c>
      <c r="J2129" s="17" t="str">
        <f>""</f>
        <v/>
      </c>
      <c r="K2129" s="17" t="str">
        <f>"PFES1162732759_0001"</f>
        <v>PFES1162732759_0001</v>
      </c>
      <c r="L2129" s="17">
        <v>1</v>
      </c>
      <c r="M2129" s="17">
        <v>3</v>
      </c>
    </row>
    <row r="2130" spans="1:13">
      <c r="A2130" s="6">
        <v>43853</v>
      </c>
      <c r="B2130" s="7">
        <v>0.6381944444444444</v>
      </c>
      <c r="C2130" s="17" t="str">
        <f>"FES1162732721"</f>
        <v>FES1162732721</v>
      </c>
      <c r="D2130" s="17" t="s">
        <v>19</v>
      </c>
      <c r="E2130" s="17" t="s">
        <v>893</v>
      </c>
      <c r="F2130" s="17" t="str">
        <f>"2170725168 "</f>
        <v xml:space="preserve">2170725168 </v>
      </c>
      <c r="G2130" s="17" t="str">
        <f t="shared" si="63"/>
        <v>ON1</v>
      </c>
      <c r="H2130" s="17" t="s">
        <v>21</v>
      </c>
      <c r="I2130" s="17" t="s">
        <v>233</v>
      </c>
      <c r="J2130" s="17" t="str">
        <f>""</f>
        <v/>
      </c>
      <c r="K2130" s="17" t="str">
        <f>"PFES1162732721_0001"</f>
        <v>PFES1162732721_0001</v>
      </c>
      <c r="L2130" s="17">
        <v>1</v>
      </c>
      <c r="M2130" s="17">
        <v>3</v>
      </c>
    </row>
    <row r="2131" spans="1:13">
      <c r="A2131" s="6">
        <v>43853</v>
      </c>
      <c r="B2131" s="7">
        <v>0.6381944444444444</v>
      </c>
      <c r="C2131" s="17" t="str">
        <f>"FES1162732672"</f>
        <v>FES1162732672</v>
      </c>
      <c r="D2131" s="17" t="s">
        <v>19</v>
      </c>
      <c r="E2131" s="17" t="s">
        <v>387</v>
      </c>
      <c r="F2131" s="17" t="str">
        <f>"2170724773 "</f>
        <v xml:space="preserve">2170724773 </v>
      </c>
      <c r="G2131" s="17" t="str">
        <f t="shared" si="63"/>
        <v>ON1</v>
      </c>
      <c r="H2131" s="17" t="s">
        <v>21</v>
      </c>
      <c r="I2131" s="17" t="s">
        <v>202</v>
      </c>
      <c r="J2131" s="17" t="str">
        <f>""</f>
        <v/>
      </c>
      <c r="K2131" s="17" t="str">
        <f>"PFES1162732672_0001"</f>
        <v>PFES1162732672_0001</v>
      </c>
      <c r="L2131" s="17">
        <v>1</v>
      </c>
      <c r="M2131" s="17">
        <v>2</v>
      </c>
    </row>
    <row r="2132" spans="1:13">
      <c r="A2132" s="6">
        <v>43853</v>
      </c>
      <c r="B2132" s="7">
        <v>0.63750000000000007</v>
      </c>
      <c r="C2132" s="17" t="str">
        <f>"FES1162732627"</f>
        <v>FES1162732627</v>
      </c>
      <c r="D2132" s="17" t="s">
        <v>19</v>
      </c>
      <c r="E2132" s="17" t="s">
        <v>680</v>
      </c>
      <c r="F2132" s="17" t="str">
        <f>"2170723586 "</f>
        <v xml:space="preserve">2170723586 </v>
      </c>
      <c r="G2132" s="17" t="str">
        <f t="shared" si="63"/>
        <v>ON1</v>
      </c>
      <c r="H2132" s="17" t="s">
        <v>21</v>
      </c>
      <c r="I2132" s="17" t="s">
        <v>681</v>
      </c>
      <c r="J2132" s="17" t="str">
        <f>""</f>
        <v/>
      </c>
      <c r="K2132" s="17" t="str">
        <f>"PFES1162732627_0001"</f>
        <v>PFES1162732627_0001</v>
      </c>
      <c r="L2132" s="17">
        <v>1</v>
      </c>
      <c r="M2132" s="17">
        <v>6</v>
      </c>
    </row>
    <row r="2133" spans="1:13">
      <c r="A2133" s="6">
        <v>43853</v>
      </c>
      <c r="B2133" s="7">
        <v>0.63750000000000007</v>
      </c>
      <c r="C2133" s="17" t="str">
        <f>"FES1162732764"</f>
        <v>FES1162732764</v>
      </c>
      <c r="D2133" s="17" t="s">
        <v>19</v>
      </c>
      <c r="E2133" s="17" t="s">
        <v>894</v>
      </c>
      <c r="F2133" s="17" t="str">
        <f>"2170725230 "</f>
        <v xml:space="preserve">2170725230 </v>
      </c>
      <c r="G2133" s="17" t="str">
        <f t="shared" si="63"/>
        <v>ON1</v>
      </c>
      <c r="H2133" s="17" t="s">
        <v>21</v>
      </c>
      <c r="I2133" s="17" t="s">
        <v>855</v>
      </c>
      <c r="J2133" s="17" t="str">
        <f>""</f>
        <v/>
      </c>
      <c r="K2133" s="17" t="str">
        <f>"PFES1162732764_0001"</f>
        <v>PFES1162732764_0001</v>
      </c>
      <c r="L2133" s="17">
        <v>1</v>
      </c>
      <c r="M2133" s="17">
        <v>17</v>
      </c>
    </row>
    <row r="2134" spans="1:13">
      <c r="A2134" s="6">
        <v>43853</v>
      </c>
      <c r="B2134" s="7">
        <v>0.63680555555555551</v>
      </c>
      <c r="C2134" s="17" t="str">
        <f>"FES1162732557"</f>
        <v>FES1162732557</v>
      </c>
      <c r="D2134" s="17" t="s">
        <v>19</v>
      </c>
      <c r="E2134" s="17" t="s">
        <v>354</v>
      </c>
      <c r="F2134" s="17" t="str">
        <f>"2170722960 "</f>
        <v xml:space="preserve">2170722960 </v>
      </c>
      <c r="G2134" s="17" t="str">
        <f t="shared" si="63"/>
        <v>ON1</v>
      </c>
      <c r="H2134" s="17" t="s">
        <v>21</v>
      </c>
      <c r="I2134" s="17" t="s">
        <v>355</v>
      </c>
      <c r="J2134" s="17" t="str">
        <f>""</f>
        <v/>
      </c>
      <c r="K2134" s="17" t="str">
        <f>"PFES1162732557_0001"</f>
        <v>PFES1162732557_0001</v>
      </c>
      <c r="L2134" s="17">
        <v>1</v>
      </c>
      <c r="M2134" s="17">
        <v>5</v>
      </c>
    </row>
    <row r="2135" spans="1:13">
      <c r="A2135" s="6">
        <v>43853</v>
      </c>
      <c r="B2135" s="7">
        <v>0.62916666666666665</v>
      </c>
      <c r="C2135" s="17" t="str">
        <f>"FES1162732753"</f>
        <v>FES1162732753</v>
      </c>
      <c r="D2135" s="17" t="s">
        <v>19</v>
      </c>
      <c r="E2135" s="17" t="s">
        <v>843</v>
      </c>
      <c r="F2135" s="17" t="str">
        <f>"2170725213 "</f>
        <v xml:space="preserve">2170725213 </v>
      </c>
      <c r="G2135" s="17" t="str">
        <f t="shared" si="63"/>
        <v>ON1</v>
      </c>
      <c r="H2135" s="17" t="s">
        <v>21</v>
      </c>
      <c r="I2135" s="17" t="s">
        <v>121</v>
      </c>
      <c r="J2135" s="17" t="str">
        <f>""</f>
        <v/>
      </c>
      <c r="K2135" s="17" t="str">
        <f>"PFES1162732753_0001"</f>
        <v>PFES1162732753_0001</v>
      </c>
      <c r="L2135" s="17">
        <v>1</v>
      </c>
      <c r="M2135" s="17">
        <v>4</v>
      </c>
    </row>
    <row r="2136" spans="1:13">
      <c r="A2136" s="6">
        <v>43853</v>
      </c>
      <c r="B2136" s="7">
        <v>0.62916666666666665</v>
      </c>
      <c r="C2136" s="17" t="str">
        <f>"FES1162732802"</f>
        <v>FES1162732802</v>
      </c>
      <c r="D2136" s="17" t="s">
        <v>19</v>
      </c>
      <c r="E2136" s="17" t="s">
        <v>742</v>
      </c>
      <c r="F2136" s="17" t="str">
        <f>"2170725291 "</f>
        <v xml:space="preserve">2170725291 </v>
      </c>
      <c r="G2136" s="17" t="str">
        <f t="shared" si="63"/>
        <v>ON1</v>
      </c>
      <c r="H2136" s="17" t="s">
        <v>21</v>
      </c>
      <c r="I2136" s="17" t="s">
        <v>743</v>
      </c>
      <c r="J2136" s="17" t="str">
        <f>""</f>
        <v/>
      </c>
      <c r="K2136" s="17" t="str">
        <f>"PFES1162732802_0001"</f>
        <v>PFES1162732802_0001</v>
      </c>
      <c r="L2136" s="17">
        <v>1</v>
      </c>
      <c r="M2136" s="17">
        <v>2</v>
      </c>
    </row>
    <row r="2137" spans="1:13">
      <c r="A2137" s="6">
        <v>43853</v>
      </c>
      <c r="B2137" s="7">
        <v>0.62916666666666665</v>
      </c>
      <c r="C2137" s="17" t="str">
        <f>"FES1162732812"</f>
        <v>FES1162732812</v>
      </c>
      <c r="D2137" s="17" t="s">
        <v>19</v>
      </c>
      <c r="E2137" s="17" t="s">
        <v>256</v>
      </c>
      <c r="F2137" s="17" t="str">
        <f>"2170725301 "</f>
        <v xml:space="preserve">2170725301 </v>
      </c>
      <c r="G2137" s="17" t="str">
        <f t="shared" si="63"/>
        <v>ON1</v>
      </c>
      <c r="H2137" s="17" t="s">
        <v>21</v>
      </c>
      <c r="I2137" s="17" t="s">
        <v>257</v>
      </c>
      <c r="J2137" s="17" t="str">
        <f>""</f>
        <v/>
      </c>
      <c r="K2137" s="17" t="str">
        <f>"PFES1162732812_0001"</f>
        <v>PFES1162732812_0001</v>
      </c>
      <c r="L2137" s="17">
        <v>1</v>
      </c>
      <c r="M2137" s="17">
        <v>1</v>
      </c>
    </row>
    <row r="2138" spans="1:13">
      <c r="A2138" s="6">
        <v>43853</v>
      </c>
      <c r="B2138" s="7">
        <v>0.62847222222222221</v>
      </c>
      <c r="C2138" s="17" t="str">
        <f>"FES1162732801"</f>
        <v>FES1162732801</v>
      </c>
      <c r="D2138" s="17" t="s">
        <v>19</v>
      </c>
      <c r="E2138" s="17" t="s">
        <v>395</v>
      </c>
      <c r="F2138" s="17" t="str">
        <f>"2170725290 "</f>
        <v xml:space="preserve">2170725290 </v>
      </c>
      <c r="G2138" s="17" t="str">
        <f t="shared" si="63"/>
        <v>ON1</v>
      </c>
      <c r="H2138" s="17" t="s">
        <v>21</v>
      </c>
      <c r="I2138" s="17" t="s">
        <v>396</v>
      </c>
      <c r="J2138" s="17" t="str">
        <f>"OIL"</f>
        <v>OIL</v>
      </c>
      <c r="K2138" s="17" t="str">
        <f>"PFES1162732801_0001"</f>
        <v>PFES1162732801_0001</v>
      </c>
      <c r="L2138" s="17">
        <v>1</v>
      </c>
      <c r="M2138" s="17">
        <v>6</v>
      </c>
    </row>
    <row r="2139" spans="1:13">
      <c r="A2139" s="6">
        <v>43853</v>
      </c>
      <c r="B2139" s="7">
        <v>0.62708333333333333</v>
      </c>
      <c r="C2139" s="17" t="str">
        <f>"FES1162732813"</f>
        <v>FES1162732813</v>
      </c>
      <c r="D2139" s="17" t="s">
        <v>19</v>
      </c>
      <c r="E2139" s="17" t="s">
        <v>850</v>
      </c>
      <c r="F2139" s="17" t="str">
        <f>"2170725259 "</f>
        <v xml:space="preserve">2170725259 </v>
      </c>
      <c r="G2139" s="17" t="str">
        <f t="shared" si="63"/>
        <v>ON1</v>
      </c>
      <c r="H2139" s="17" t="s">
        <v>21</v>
      </c>
      <c r="I2139" s="17" t="s">
        <v>851</v>
      </c>
      <c r="J2139" s="17" t="str">
        <f>"incorrect supplied"</f>
        <v>incorrect supplied</v>
      </c>
      <c r="K2139" s="17" t="str">
        <f>"PFES1162732813_0001"</f>
        <v>PFES1162732813_0001</v>
      </c>
      <c r="L2139" s="17">
        <v>1</v>
      </c>
      <c r="M2139" s="17">
        <v>1</v>
      </c>
    </row>
    <row r="2140" spans="1:13">
      <c r="A2140" s="6">
        <v>43853</v>
      </c>
      <c r="B2140" s="7">
        <v>0.62430555555555556</v>
      </c>
      <c r="C2140" s="17" t="str">
        <f>"FES1162732578"</f>
        <v>FES1162732578</v>
      </c>
      <c r="D2140" s="17" t="s">
        <v>19</v>
      </c>
      <c r="E2140" s="17" t="s">
        <v>450</v>
      </c>
      <c r="F2140" s="17" t="str">
        <f>"2170723126 "</f>
        <v xml:space="preserve">2170723126 </v>
      </c>
      <c r="G2140" s="17" t="str">
        <f t="shared" si="63"/>
        <v>ON1</v>
      </c>
      <c r="H2140" s="17" t="s">
        <v>21</v>
      </c>
      <c r="I2140" s="17" t="s">
        <v>451</v>
      </c>
      <c r="J2140" s="17" t="str">
        <f>""</f>
        <v/>
      </c>
      <c r="K2140" s="17" t="str">
        <f>"PFES1162732578_0001"</f>
        <v>PFES1162732578_0001</v>
      </c>
      <c r="L2140" s="17">
        <v>1</v>
      </c>
      <c r="M2140" s="17">
        <v>7</v>
      </c>
    </row>
    <row r="2141" spans="1:13">
      <c r="A2141" s="6">
        <v>43853</v>
      </c>
      <c r="B2141" s="7">
        <v>0.62222222222222223</v>
      </c>
      <c r="C2141" s="17" t="str">
        <f>"FES1162732777"</f>
        <v>FES1162732777</v>
      </c>
      <c r="D2141" s="17" t="s">
        <v>19</v>
      </c>
      <c r="E2141" s="17" t="s">
        <v>252</v>
      </c>
      <c r="F2141" s="17" t="str">
        <f>"2170725128 "</f>
        <v xml:space="preserve">2170725128 </v>
      </c>
      <c r="G2141" s="17" t="str">
        <f t="shared" si="63"/>
        <v>ON1</v>
      </c>
      <c r="H2141" s="17" t="s">
        <v>21</v>
      </c>
      <c r="I2141" s="17" t="s">
        <v>253</v>
      </c>
      <c r="J2141" s="17" t="str">
        <f>""</f>
        <v/>
      </c>
      <c r="K2141" s="17" t="str">
        <f>"PFES1162732777_0001"</f>
        <v>PFES1162732777_0001</v>
      </c>
      <c r="L2141" s="17">
        <v>1</v>
      </c>
      <c r="M2141" s="17">
        <v>1</v>
      </c>
    </row>
    <row r="2142" spans="1:13">
      <c r="A2142" s="6">
        <v>43853</v>
      </c>
      <c r="B2142" s="7">
        <v>0.62083333333333335</v>
      </c>
      <c r="C2142" s="17" t="str">
        <f>"FES1162732778"</f>
        <v>FES1162732778</v>
      </c>
      <c r="D2142" s="17" t="s">
        <v>19</v>
      </c>
      <c r="E2142" s="17" t="s">
        <v>142</v>
      </c>
      <c r="F2142" s="17" t="str">
        <f>"2170725248 "</f>
        <v xml:space="preserve">2170725248 </v>
      </c>
      <c r="G2142" s="17" t="str">
        <f t="shared" si="63"/>
        <v>ON1</v>
      </c>
      <c r="H2142" s="17" t="s">
        <v>21</v>
      </c>
      <c r="I2142" s="17" t="s">
        <v>123</v>
      </c>
      <c r="J2142" s="17" t="str">
        <f>""</f>
        <v/>
      </c>
      <c r="K2142" s="17" t="str">
        <f>"PFES1162732778_0001"</f>
        <v>PFES1162732778_0001</v>
      </c>
      <c r="L2142" s="17">
        <v>1</v>
      </c>
      <c r="M2142" s="17">
        <v>1</v>
      </c>
    </row>
    <row r="2143" spans="1:13">
      <c r="A2143" s="6">
        <v>43853</v>
      </c>
      <c r="B2143" s="7">
        <v>0.62013888888888891</v>
      </c>
      <c r="C2143" s="17" t="str">
        <f>"FES1162732664"</f>
        <v>FES1162732664</v>
      </c>
      <c r="D2143" s="17" t="s">
        <v>19</v>
      </c>
      <c r="E2143" s="17" t="s">
        <v>523</v>
      </c>
      <c r="F2143" s="17" t="str">
        <f>"2170724347 "</f>
        <v xml:space="preserve">2170724347 </v>
      </c>
      <c r="G2143" s="17" t="str">
        <f t="shared" si="63"/>
        <v>ON1</v>
      </c>
      <c r="H2143" s="17" t="s">
        <v>21</v>
      </c>
      <c r="I2143" s="17" t="s">
        <v>98</v>
      </c>
      <c r="J2143" s="17" t="str">
        <f>""</f>
        <v/>
      </c>
      <c r="K2143" s="17" t="str">
        <f>"PFES1162732664_0001"</f>
        <v>PFES1162732664_0001</v>
      </c>
      <c r="L2143" s="17">
        <v>1</v>
      </c>
      <c r="M2143" s="17">
        <v>1</v>
      </c>
    </row>
    <row r="2144" spans="1:13">
      <c r="A2144" s="6">
        <v>43853</v>
      </c>
      <c r="B2144" s="7">
        <v>0.61944444444444446</v>
      </c>
      <c r="C2144" s="17" t="str">
        <f>"FES1162732791"</f>
        <v>FES1162732791</v>
      </c>
      <c r="D2144" s="17" t="s">
        <v>19</v>
      </c>
      <c r="E2144" s="17" t="s">
        <v>142</v>
      </c>
      <c r="F2144" s="17" t="str">
        <f>"2170725272 "</f>
        <v xml:space="preserve">2170725272 </v>
      </c>
      <c r="G2144" s="17" t="str">
        <f t="shared" si="63"/>
        <v>ON1</v>
      </c>
      <c r="H2144" s="17" t="s">
        <v>21</v>
      </c>
      <c r="I2144" s="17" t="s">
        <v>123</v>
      </c>
      <c r="J2144" s="17" t="str">
        <f>""</f>
        <v/>
      </c>
      <c r="K2144" s="17" t="str">
        <f>"PFES1162732791_0001"</f>
        <v>PFES1162732791_0001</v>
      </c>
      <c r="L2144" s="17">
        <v>1</v>
      </c>
      <c r="M2144" s="17">
        <v>1</v>
      </c>
    </row>
    <row r="2145" spans="1:13">
      <c r="A2145" s="6">
        <v>43853</v>
      </c>
      <c r="B2145" s="7">
        <v>0.61875000000000002</v>
      </c>
      <c r="C2145" s="17" t="str">
        <f>"FES1162732551"</f>
        <v>FES1162732551</v>
      </c>
      <c r="D2145" s="17" t="s">
        <v>19</v>
      </c>
      <c r="E2145" s="17" t="s">
        <v>341</v>
      </c>
      <c r="F2145" s="17" t="str">
        <f>"2170722851 "</f>
        <v xml:space="preserve">2170722851 </v>
      </c>
      <c r="G2145" s="17" t="str">
        <f t="shared" si="63"/>
        <v>ON1</v>
      </c>
      <c r="H2145" s="17" t="s">
        <v>21</v>
      </c>
      <c r="I2145" s="17" t="s">
        <v>53</v>
      </c>
      <c r="J2145" s="17" t="str">
        <f>""</f>
        <v/>
      </c>
      <c r="K2145" s="17" t="str">
        <f>"PFES1162732551_0001"</f>
        <v>PFES1162732551_0001</v>
      </c>
      <c r="L2145" s="17">
        <v>1</v>
      </c>
      <c r="M2145" s="17">
        <v>1</v>
      </c>
    </row>
    <row r="2146" spans="1:13">
      <c r="A2146" s="6">
        <v>43853</v>
      </c>
      <c r="B2146" s="7">
        <v>0.61875000000000002</v>
      </c>
      <c r="C2146" s="17" t="str">
        <f>"FES1162732637"</f>
        <v>FES1162732637</v>
      </c>
      <c r="D2146" s="17" t="s">
        <v>19</v>
      </c>
      <c r="E2146" s="17" t="s">
        <v>895</v>
      </c>
      <c r="F2146" s="17" t="str">
        <f>"2170723685 "</f>
        <v xml:space="preserve">2170723685 </v>
      </c>
      <c r="G2146" s="17" t="str">
        <f t="shared" si="63"/>
        <v>ON1</v>
      </c>
      <c r="H2146" s="17" t="s">
        <v>21</v>
      </c>
      <c r="I2146" s="17" t="s">
        <v>85</v>
      </c>
      <c r="J2146" s="17" t="str">
        <f>""</f>
        <v/>
      </c>
      <c r="K2146" s="17" t="str">
        <f>"PFES1162732637_0001"</f>
        <v>PFES1162732637_0001</v>
      </c>
      <c r="L2146" s="17">
        <v>1</v>
      </c>
      <c r="M2146" s="17">
        <v>5</v>
      </c>
    </row>
    <row r="2147" spans="1:13">
      <c r="A2147" s="6">
        <v>43853</v>
      </c>
      <c r="B2147" s="7">
        <v>0.61875000000000002</v>
      </c>
      <c r="C2147" s="17" t="str">
        <f>"FES1162732587"</f>
        <v>FES1162732587</v>
      </c>
      <c r="D2147" s="17" t="s">
        <v>19</v>
      </c>
      <c r="E2147" s="17" t="s">
        <v>251</v>
      </c>
      <c r="F2147" s="17" t="str">
        <f>"2170723185 "</f>
        <v xml:space="preserve">2170723185 </v>
      </c>
      <c r="G2147" s="17" t="str">
        <f t="shared" si="63"/>
        <v>ON1</v>
      </c>
      <c r="H2147" s="17" t="s">
        <v>21</v>
      </c>
      <c r="I2147" s="17" t="s">
        <v>96</v>
      </c>
      <c r="J2147" s="17" t="str">
        <f>""</f>
        <v/>
      </c>
      <c r="K2147" s="17" t="str">
        <f>"PFES1162732587_0001"</f>
        <v>PFES1162732587_0001</v>
      </c>
      <c r="L2147" s="17">
        <v>1</v>
      </c>
      <c r="M2147" s="17">
        <v>3</v>
      </c>
    </row>
    <row r="2148" spans="1:13">
      <c r="A2148" s="6">
        <v>43853</v>
      </c>
      <c r="B2148" s="7">
        <v>0.61875000000000002</v>
      </c>
      <c r="C2148" s="17" t="str">
        <f>"FES1162732511"</f>
        <v>FES1162732511</v>
      </c>
      <c r="D2148" s="17" t="s">
        <v>19</v>
      </c>
      <c r="E2148" s="17" t="s">
        <v>23</v>
      </c>
      <c r="F2148" s="17" t="str">
        <f>"2170724830 "</f>
        <v xml:space="preserve">2170724830 </v>
      </c>
      <c r="G2148" s="17" t="str">
        <f t="shared" si="63"/>
        <v>ON1</v>
      </c>
      <c r="H2148" s="17" t="s">
        <v>21</v>
      </c>
      <c r="I2148" s="17" t="s">
        <v>127</v>
      </c>
      <c r="J2148" s="17" t="str">
        <f>""</f>
        <v/>
      </c>
      <c r="K2148" s="17" t="str">
        <f>"PFES1162732511_0001"</f>
        <v>PFES1162732511_0001</v>
      </c>
      <c r="L2148" s="17">
        <v>1</v>
      </c>
      <c r="M2148" s="17">
        <v>1</v>
      </c>
    </row>
    <row r="2149" spans="1:13">
      <c r="A2149" s="6">
        <v>43853</v>
      </c>
      <c r="B2149" s="7">
        <v>0.61805555555555558</v>
      </c>
      <c r="C2149" s="17" t="str">
        <f>"FES1162732774"</f>
        <v>FES1162732774</v>
      </c>
      <c r="D2149" s="17" t="s">
        <v>19</v>
      </c>
      <c r="E2149" s="17" t="s">
        <v>896</v>
      </c>
      <c r="F2149" s="17" t="str">
        <f>"2170725244 "</f>
        <v xml:space="preserve">2170725244 </v>
      </c>
      <c r="G2149" s="17" t="str">
        <f t="shared" si="63"/>
        <v>ON1</v>
      </c>
      <c r="H2149" s="17" t="s">
        <v>21</v>
      </c>
      <c r="I2149" s="17" t="s">
        <v>303</v>
      </c>
      <c r="J2149" s="17" t="str">
        <f>""</f>
        <v/>
      </c>
      <c r="K2149" s="17" t="str">
        <f>"PFES1162732774_0001"</f>
        <v>PFES1162732774_0001</v>
      </c>
      <c r="L2149" s="17">
        <v>1</v>
      </c>
      <c r="M2149" s="17">
        <v>1</v>
      </c>
    </row>
    <row r="2150" spans="1:13">
      <c r="A2150" s="6">
        <v>43853</v>
      </c>
      <c r="B2150" s="7">
        <v>0.61805555555555558</v>
      </c>
      <c r="C2150" s="17" t="str">
        <f>"FES1162732582"</f>
        <v>FES1162732582</v>
      </c>
      <c r="D2150" s="17" t="s">
        <v>19</v>
      </c>
      <c r="E2150" s="17" t="s">
        <v>470</v>
      </c>
      <c r="F2150" s="17" t="str">
        <f>"2170723146 "</f>
        <v xml:space="preserve">2170723146 </v>
      </c>
      <c r="G2150" s="17" t="str">
        <f t="shared" si="63"/>
        <v>ON1</v>
      </c>
      <c r="H2150" s="17" t="s">
        <v>21</v>
      </c>
      <c r="I2150" s="17" t="s">
        <v>471</v>
      </c>
      <c r="J2150" s="17" t="str">
        <f>""</f>
        <v/>
      </c>
      <c r="K2150" s="17" t="str">
        <f>"PFES1162732582_0001"</f>
        <v>PFES1162732582_0001</v>
      </c>
      <c r="L2150" s="17">
        <v>1</v>
      </c>
      <c r="M2150" s="17">
        <v>1</v>
      </c>
    </row>
    <row r="2151" spans="1:13">
      <c r="A2151" s="6">
        <v>43853</v>
      </c>
      <c r="B2151" s="7">
        <v>0.61736111111111114</v>
      </c>
      <c r="C2151" s="17" t="str">
        <f>"FES1162732787"</f>
        <v>FES1162732787</v>
      </c>
      <c r="D2151" s="17" t="s">
        <v>19</v>
      </c>
      <c r="E2151" s="17" t="s">
        <v>465</v>
      </c>
      <c r="F2151" s="17" t="str">
        <f>"2170725265 "</f>
        <v xml:space="preserve">2170725265 </v>
      </c>
      <c r="G2151" s="17" t="str">
        <f t="shared" si="63"/>
        <v>ON1</v>
      </c>
      <c r="H2151" s="17" t="s">
        <v>21</v>
      </c>
      <c r="I2151" s="17" t="s">
        <v>466</v>
      </c>
      <c r="J2151" s="17" t="str">
        <f>""</f>
        <v/>
      </c>
      <c r="K2151" s="17" t="str">
        <f>"PFES1162732787_0001"</f>
        <v>PFES1162732787_0001</v>
      </c>
      <c r="L2151" s="17">
        <v>1</v>
      </c>
      <c r="M2151" s="17">
        <v>3</v>
      </c>
    </row>
    <row r="2152" spans="1:13">
      <c r="A2152" s="6">
        <v>43853</v>
      </c>
      <c r="B2152" s="7">
        <v>0.61736111111111114</v>
      </c>
      <c r="C2152" s="17" t="str">
        <f>"FES1162732576"</f>
        <v>FES1162732576</v>
      </c>
      <c r="D2152" s="17" t="s">
        <v>19</v>
      </c>
      <c r="E2152" s="17" t="s">
        <v>248</v>
      </c>
      <c r="F2152" s="17" t="str">
        <f>"2170723106 "</f>
        <v xml:space="preserve">2170723106 </v>
      </c>
      <c r="G2152" s="17" t="str">
        <f t="shared" si="63"/>
        <v>ON1</v>
      </c>
      <c r="H2152" s="17" t="s">
        <v>21</v>
      </c>
      <c r="I2152" s="17" t="s">
        <v>209</v>
      </c>
      <c r="J2152" s="17" t="str">
        <f>""</f>
        <v/>
      </c>
      <c r="K2152" s="17" t="str">
        <f>"PFES1162732576_0001"</f>
        <v>PFES1162732576_0001</v>
      </c>
      <c r="L2152" s="17">
        <v>1</v>
      </c>
      <c r="M2152" s="17">
        <v>3</v>
      </c>
    </row>
    <row r="2153" spans="1:13">
      <c r="A2153" s="6">
        <v>43853</v>
      </c>
      <c r="B2153" s="7">
        <v>0.61736111111111114</v>
      </c>
      <c r="C2153" s="17" t="str">
        <f>"FES1162732571"</f>
        <v>FES1162732571</v>
      </c>
      <c r="D2153" s="17" t="s">
        <v>19</v>
      </c>
      <c r="E2153" s="17" t="s">
        <v>224</v>
      </c>
      <c r="F2153" s="17" t="str">
        <f>"2170723083 "</f>
        <v xml:space="preserve">2170723083 </v>
      </c>
      <c r="G2153" s="17" t="str">
        <f t="shared" si="63"/>
        <v>ON1</v>
      </c>
      <c r="H2153" s="17" t="s">
        <v>21</v>
      </c>
      <c r="I2153" s="17" t="s">
        <v>500</v>
      </c>
      <c r="J2153" s="17" t="str">
        <f>""</f>
        <v/>
      </c>
      <c r="K2153" s="17" t="str">
        <f>"PFES1162732571_0001"</f>
        <v>PFES1162732571_0001</v>
      </c>
      <c r="L2153" s="17">
        <v>1</v>
      </c>
      <c r="M2153" s="17">
        <v>1</v>
      </c>
    </row>
    <row r="2154" spans="1:13">
      <c r="A2154" s="6">
        <v>43853</v>
      </c>
      <c r="B2154" s="7">
        <v>0.61736111111111114</v>
      </c>
      <c r="C2154" s="17" t="str">
        <f>"FES1162732784"</f>
        <v>FES1162732784</v>
      </c>
      <c r="D2154" s="17" t="s">
        <v>19</v>
      </c>
      <c r="E2154" s="17" t="s">
        <v>593</v>
      </c>
      <c r="F2154" s="17" t="str">
        <f>"2170725257 "</f>
        <v xml:space="preserve">2170725257 </v>
      </c>
      <c r="G2154" s="17" t="str">
        <f t="shared" si="63"/>
        <v>ON1</v>
      </c>
      <c r="H2154" s="17" t="s">
        <v>21</v>
      </c>
      <c r="I2154" s="17" t="s">
        <v>179</v>
      </c>
      <c r="J2154" s="17" t="str">
        <f>""</f>
        <v/>
      </c>
      <c r="K2154" s="17" t="str">
        <f>"PFES1162732784_0001"</f>
        <v>PFES1162732784_0001</v>
      </c>
      <c r="L2154" s="17">
        <v>1</v>
      </c>
      <c r="M2154" s="17">
        <v>2</v>
      </c>
    </row>
    <row r="2155" spans="1:13">
      <c r="A2155" s="6">
        <v>43853</v>
      </c>
      <c r="B2155" s="7">
        <v>0.6166666666666667</v>
      </c>
      <c r="C2155" s="17" t="str">
        <f>"FES1162732509"</f>
        <v>FES1162732509</v>
      </c>
      <c r="D2155" s="17" t="s">
        <v>19</v>
      </c>
      <c r="E2155" s="17" t="s">
        <v>897</v>
      </c>
      <c r="F2155" s="17" t="str">
        <f>"2170724759 "</f>
        <v xml:space="preserve">2170724759 </v>
      </c>
      <c r="G2155" s="17" t="str">
        <f t="shared" si="63"/>
        <v>ON1</v>
      </c>
      <c r="H2155" s="17" t="s">
        <v>21</v>
      </c>
      <c r="I2155" s="17" t="s">
        <v>898</v>
      </c>
      <c r="J2155" s="17" t="str">
        <f>"OIL"</f>
        <v>OIL</v>
      </c>
      <c r="K2155" s="17" t="str">
        <f>"PFES1162732509_0001"</f>
        <v>PFES1162732509_0001</v>
      </c>
      <c r="L2155" s="17">
        <v>1</v>
      </c>
      <c r="M2155" s="17">
        <v>2</v>
      </c>
    </row>
    <row r="2156" spans="1:13">
      <c r="A2156" s="6">
        <v>43853</v>
      </c>
      <c r="B2156" s="7">
        <v>0.6166666666666667</v>
      </c>
      <c r="C2156" s="17" t="str">
        <f>"FES1162732559"</f>
        <v>FES1162732559</v>
      </c>
      <c r="D2156" s="17" t="s">
        <v>19</v>
      </c>
      <c r="E2156" s="17" t="s">
        <v>101</v>
      </c>
      <c r="F2156" s="17" t="str">
        <f>"2170722992 "</f>
        <v xml:space="preserve">2170722992 </v>
      </c>
      <c r="G2156" s="17" t="str">
        <f t="shared" si="63"/>
        <v>ON1</v>
      </c>
      <c r="H2156" s="17" t="s">
        <v>21</v>
      </c>
      <c r="I2156" s="17" t="s">
        <v>102</v>
      </c>
      <c r="J2156" s="17" t="str">
        <f>""</f>
        <v/>
      </c>
      <c r="K2156" s="17" t="str">
        <f>"PFES1162732559_0001"</f>
        <v>PFES1162732559_0001</v>
      </c>
      <c r="L2156" s="17">
        <v>1</v>
      </c>
      <c r="M2156" s="17">
        <v>2</v>
      </c>
    </row>
    <row r="2157" spans="1:13">
      <c r="A2157" s="6">
        <v>43853</v>
      </c>
      <c r="B2157" s="7">
        <v>0.6166666666666667</v>
      </c>
      <c r="C2157" s="17" t="str">
        <f>"FES1162732598"</f>
        <v>FES1162732598</v>
      </c>
      <c r="D2157" s="17" t="s">
        <v>19</v>
      </c>
      <c r="E2157" s="17" t="s">
        <v>188</v>
      </c>
      <c r="F2157" s="17" t="str">
        <f>"2170723346 "</f>
        <v xml:space="preserve">2170723346 </v>
      </c>
      <c r="G2157" s="17" t="str">
        <f t="shared" si="63"/>
        <v>ON1</v>
      </c>
      <c r="H2157" s="17" t="s">
        <v>21</v>
      </c>
      <c r="I2157" s="17" t="s">
        <v>189</v>
      </c>
      <c r="J2157" s="17" t="str">
        <f>""</f>
        <v/>
      </c>
      <c r="K2157" s="17" t="str">
        <f>"PFES1162732598_0001"</f>
        <v>PFES1162732598_0001</v>
      </c>
      <c r="L2157" s="17">
        <v>1</v>
      </c>
      <c r="M2157" s="17">
        <v>1</v>
      </c>
    </row>
    <row r="2158" spans="1:13">
      <c r="A2158" s="6">
        <v>43853</v>
      </c>
      <c r="B2158" s="7">
        <v>0.61597222222222225</v>
      </c>
      <c r="C2158" s="17" t="str">
        <f>"FES1162732705"</f>
        <v>FES1162732705</v>
      </c>
      <c r="D2158" s="17" t="s">
        <v>19</v>
      </c>
      <c r="E2158" s="17" t="s">
        <v>899</v>
      </c>
      <c r="F2158" s="17" t="str">
        <f>"2170725107 "</f>
        <v xml:space="preserve">2170725107 </v>
      </c>
      <c r="G2158" s="17" t="str">
        <f t="shared" si="63"/>
        <v>ON1</v>
      </c>
      <c r="H2158" s="17" t="s">
        <v>21</v>
      </c>
      <c r="I2158" s="17" t="s">
        <v>228</v>
      </c>
      <c r="J2158" s="17" t="str">
        <f>""</f>
        <v/>
      </c>
      <c r="K2158" s="17" t="str">
        <f>"PFES1162732705_0001"</f>
        <v>PFES1162732705_0001</v>
      </c>
      <c r="L2158" s="17">
        <v>1</v>
      </c>
      <c r="M2158" s="17">
        <v>4</v>
      </c>
    </row>
    <row r="2159" spans="1:13">
      <c r="A2159" s="6">
        <v>43853</v>
      </c>
      <c r="B2159" s="7">
        <v>0.61597222222222225</v>
      </c>
      <c r="C2159" s="17" t="str">
        <f>"FES1162732730"</f>
        <v>FES1162732730</v>
      </c>
      <c r="D2159" s="17" t="s">
        <v>19</v>
      </c>
      <c r="E2159" s="17" t="s">
        <v>450</v>
      </c>
      <c r="F2159" s="17" t="str">
        <f>"2170725178 "</f>
        <v xml:space="preserve">2170725178 </v>
      </c>
      <c r="G2159" s="17" t="str">
        <f t="shared" si="63"/>
        <v>ON1</v>
      </c>
      <c r="H2159" s="17" t="s">
        <v>21</v>
      </c>
      <c r="I2159" s="17" t="s">
        <v>451</v>
      </c>
      <c r="J2159" s="17" t="str">
        <f>""</f>
        <v/>
      </c>
      <c r="K2159" s="17" t="str">
        <f>"PFES1162732730_0001"</f>
        <v>PFES1162732730_0001</v>
      </c>
      <c r="L2159" s="17">
        <v>1</v>
      </c>
      <c r="M2159" s="17">
        <v>3</v>
      </c>
    </row>
    <row r="2160" spans="1:13">
      <c r="A2160" s="6">
        <v>43853</v>
      </c>
      <c r="B2160" s="7">
        <v>0.61597222222222225</v>
      </c>
      <c r="C2160" s="17" t="str">
        <f>"FES1162732649"</f>
        <v>FES1162732649</v>
      </c>
      <c r="D2160" s="17" t="s">
        <v>19</v>
      </c>
      <c r="E2160" s="17" t="s">
        <v>639</v>
      </c>
      <c r="F2160" s="17" t="str">
        <f>"2170723775 "</f>
        <v xml:space="preserve">2170723775 </v>
      </c>
      <c r="G2160" s="17" t="str">
        <f t="shared" si="63"/>
        <v>ON1</v>
      </c>
      <c r="H2160" s="17" t="s">
        <v>21</v>
      </c>
      <c r="I2160" s="17" t="s">
        <v>640</v>
      </c>
      <c r="J2160" s="17" t="str">
        <f>""</f>
        <v/>
      </c>
      <c r="K2160" s="17" t="str">
        <f>"PFES1162732649_0001"</f>
        <v>PFES1162732649_0001</v>
      </c>
      <c r="L2160" s="17">
        <v>1</v>
      </c>
      <c r="M2160" s="17">
        <v>1</v>
      </c>
    </row>
    <row r="2161" spans="1:13">
      <c r="A2161" s="6">
        <v>43853</v>
      </c>
      <c r="B2161" s="7">
        <v>0.61527777777777781</v>
      </c>
      <c r="C2161" s="17" t="str">
        <f>"FES1162732757"</f>
        <v>FES1162732757</v>
      </c>
      <c r="D2161" s="17" t="s">
        <v>19</v>
      </c>
      <c r="E2161" s="17" t="s">
        <v>132</v>
      </c>
      <c r="F2161" s="17" t="str">
        <f>"2170725220 "</f>
        <v xml:space="preserve">2170725220 </v>
      </c>
      <c r="G2161" s="17" t="str">
        <f t="shared" si="63"/>
        <v>ON1</v>
      </c>
      <c r="H2161" s="17" t="s">
        <v>21</v>
      </c>
      <c r="I2161" s="17" t="s">
        <v>133</v>
      </c>
      <c r="J2161" s="17" t="str">
        <f>""</f>
        <v/>
      </c>
      <c r="K2161" s="17" t="str">
        <f>"PFES1162732757_0001"</f>
        <v>PFES1162732757_0001</v>
      </c>
      <c r="L2161" s="17">
        <v>1</v>
      </c>
      <c r="M2161" s="17">
        <v>7</v>
      </c>
    </row>
    <row r="2162" spans="1:13">
      <c r="A2162" s="6">
        <v>43853</v>
      </c>
      <c r="B2162" s="7">
        <v>0.61458333333333337</v>
      </c>
      <c r="C2162" s="17" t="str">
        <f>"FES1162732750"</f>
        <v>FES1162732750</v>
      </c>
      <c r="D2162" s="17" t="s">
        <v>19</v>
      </c>
      <c r="E2162" s="17" t="s">
        <v>180</v>
      </c>
      <c r="F2162" s="17" t="str">
        <f>"2170725205 "</f>
        <v xml:space="preserve">2170725205 </v>
      </c>
      <c r="G2162" s="17" t="str">
        <f t="shared" si="63"/>
        <v>ON1</v>
      </c>
      <c r="H2162" s="17" t="s">
        <v>21</v>
      </c>
      <c r="I2162" s="17" t="s">
        <v>28</v>
      </c>
      <c r="J2162" s="17" t="str">
        <f>""</f>
        <v/>
      </c>
      <c r="K2162" s="17" t="str">
        <f>"PFES1162732750_0001"</f>
        <v>PFES1162732750_0001</v>
      </c>
      <c r="L2162" s="17">
        <v>1</v>
      </c>
      <c r="M2162" s="17">
        <v>1</v>
      </c>
    </row>
    <row r="2163" spans="1:13">
      <c r="A2163" s="6">
        <v>43853</v>
      </c>
      <c r="B2163" s="7">
        <v>0.61458333333333337</v>
      </c>
      <c r="C2163" s="17" t="str">
        <f>"FES1162732708"</f>
        <v>FES1162732708</v>
      </c>
      <c r="D2163" s="17" t="s">
        <v>19</v>
      </c>
      <c r="E2163" s="17" t="s">
        <v>387</v>
      </c>
      <c r="F2163" s="17" t="str">
        <f>"2170724695 "</f>
        <v xml:space="preserve">2170724695 </v>
      </c>
      <c r="G2163" s="17" t="str">
        <f t="shared" si="63"/>
        <v>ON1</v>
      </c>
      <c r="H2163" s="17" t="s">
        <v>21</v>
      </c>
      <c r="I2163" s="17" t="s">
        <v>202</v>
      </c>
      <c r="J2163" s="17" t="str">
        <f>""</f>
        <v/>
      </c>
      <c r="K2163" s="17" t="str">
        <f>"PFES1162732708_0001"</f>
        <v>PFES1162732708_0001</v>
      </c>
      <c r="L2163" s="17">
        <v>1</v>
      </c>
      <c r="M2163" s="17">
        <v>4</v>
      </c>
    </row>
    <row r="2164" spans="1:13">
      <c r="A2164" s="6">
        <v>43853</v>
      </c>
      <c r="B2164" s="7">
        <v>0.61458333333333337</v>
      </c>
      <c r="C2164" s="17" t="str">
        <f>"FES1162732804"</f>
        <v>FES1162732804</v>
      </c>
      <c r="D2164" s="17" t="s">
        <v>19</v>
      </c>
      <c r="E2164" s="17" t="s">
        <v>118</v>
      </c>
      <c r="F2164" s="17" t="str">
        <f>"2170725294 "</f>
        <v xml:space="preserve">2170725294 </v>
      </c>
      <c r="G2164" s="17" t="str">
        <f t="shared" si="63"/>
        <v>ON1</v>
      </c>
      <c r="H2164" s="17" t="s">
        <v>21</v>
      </c>
      <c r="I2164" s="17" t="s">
        <v>119</v>
      </c>
      <c r="J2164" s="17" t="str">
        <f>""</f>
        <v/>
      </c>
      <c r="K2164" s="17" t="str">
        <f>"PFES1162732804_0001"</f>
        <v>PFES1162732804_0001</v>
      </c>
      <c r="L2164" s="17">
        <v>1</v>
      </c>
      <c r="M2164" s="17">
        <v>2</v>
      </c>
    </row>
    <row r="2165" spans="1:13">
      <c r="A2165" s="6">
        <v>43853</v>
      </c>
      <c r="B2165" s="7">
        <v>0.61388888888888882</v>
      </c>
      <c r="C2165" s="17" t="str">
        <f>"FES11627327471"</f>
        <v>FES11627327471</v>
      </c>
      <c r="D2165" s="17" t="s">
        <v>19</v>
      </c>
      <c r="E2165" s="17" t="s">
        <v>588</v>
      </c>
      <c r="F2165" s="17" t="str">
        <f>"2170725201 "</f>
        <v xml:space="preserve">2170725201 </v>
      </c>
      <c r="G2165" s="17" t="str">
        <f t="shared" si="63"/>
        <v>ON1</v>
      </c>
      <c r="H2165" s="17" t="s">
        <v>21</v>
      </c>
      <c r="I2165" s="17" t="s">
        <v>408</v>
      </c>
      <c r="J2165" s="17" t="str">
        <f>""</f>
        <v/>
      </c>
      <c r="K2165" s="17" t="str">
        <f>"PFES11627327471_0001"</f>
        <v>PFES11627327471_0001</v>
      </c>
      <c r="L2165" s="17">
        <v>1</v>
      </c>
      <c r="M2165" s="17">
        <v>1</v>
      </c>
    </row>
    <row r="2166" spans="1:13">
      <c r="A2166" s="6">
        <v>43853</v>
      </c>
      <c r="B2166" s="7">
        <v>0.61319444444444449</v>
      </c>
      <c r="C2166" s="17" t="str">
        <f>"FES1162732782"</f>
        <v>FES1162732782</v>
      </c>
      <c r="D2166" s="17" t="s">
        <v>19</v>
      </c>
      <c r="E2166" s="17" t="s">
        <v>748</v>
      </c>
      <c r="F2166" s="17" t="str">
        <f>"2170725253 "</f>
        <v xml:space="preserve">2170725253 </v>
      </c>
      <c r="G2166" s="17" t="str">
        <f t="shared" si="63"/>
        <v>ON1</v>
      </c>
      <c r="H2166" s="17" t="s">
        <v>21</v>
      </c>
      <c r="I2166" s="17" t="s">
        <v>466</v>
      </c>
      <c r="J2166" s="17" t="str">
        <f>""</f>
        <v/>
      </c>
      <c r="K2166" s="17" t="str">
        <f>"PFES1162732782_0001"</f>
        <v>PFES1162732782_0001</v>
      </c>
      <c r="L2166" s="17">
        <v>1</v>
      </c>
      <c r="M2166" s="17">
        <v>1</v>
      </c>
    </row>
    <row r="2167" spans="1:13">
      <c r="A2167" s="6">
        <v>43853</v>
      </c>
      <c r="B2167" s="7">
        <v>0.61249999999999993</v>
      </c>
      <c r="C2167" s="17" t="str">
        <f>"FES1162732775"</f>
        <v>FES1162732775</v>
      </c>
      <c r="D2167" s="17" t="s">
        <v>19</v>
      </c>
      <c r="E2167" s="17" t="s">
        <v>118</v>
      </c>
      <c r="F2167" s="17" t="str">
        <f>"2170725245 "</f>
        <v xml:space="preserve">2170725245 </v>
      </c>
      <c r="G2167" s="17" t="str">
        <f t="shared" si="63"/>
        <v>ON1</v>
      </c>
      <c r="H2167" s="17" t="s">
        <v>21</v>
      </c>
      <c r="I2167" s="17" t="s">
        <v>119</v>
      </c>
      <c r="J2167" s="17" t="str">
        <f>""</f>
        <v/>
      </c>
      <c r="K2167" s="17" t="str">
        <f>"PFES1162732775_0001"</f>
        <v>PFES1162732775_0001</v>
      </c>
      <c r="L2167" s="17">
        <v>1</v>
      </c>
      <c r="M2167" s="17">
        <v>1</v>
      </c>
    </row>
    <row r="2168" spans="1:13">
      <c r="A2168" s="6">
        <v>43853</v>
      </c>
      <c r="B2168" s="7">
        <v>0.6118055555555556</v>
      </c>
      <c r="C2168" s="17" t="str">
        <f>"FES1162732786"</f>
        <v>FES1162732786</v>
      </c>
      <c r="D2168" s="17" t="s">
        <v>19</v>
      </c>
      <c r="E2168" s="17" t="s">
        <v>749</v>
      </c>
      <c r="F2168" s="17" t="str">
        <f>"2170725261 "</f>
        <v xml:space="preserve">2170725261 </v>
      </c>
      <c r="G2168" s="17" t="str">
        <f t="shared" si="63"/>
        <v>ON1</v>
      </c>
      <c r="H2168" s="17" t="s">
        <v>21</v>
      </c>
      <c r="I2168" s="17" t="s">
        <v>230</v>
      </c>
      <c r="J2168" s="17" t="str">
        <f>""</f>
        <v/>
      </c>
      <c r="K2168" s="17" t="str">
        <f>"PFES1162732786_0001"</f>
        <v>PFES1162732786_0001</v>
      </c>
      <c r="L2168" s="17">
        <v>1</v>
      </c>
      <c r="M2168" s="17">
        <v>1</v>
      </c>
    </row>
    <row r="2169" spans="1:13">
      <c r="A2169" s="6">
        <v>43853</v>
      </c>
      <c r="B2169" s="7">
        <v>0.61111111111111105</v>
      </c>
      <c r="C2169" s="17" t="str">
        <f>"FES1162732595"</f>
        <v>FES1162732595</v>
      </c>
      <c r="D2169" s="17" t="s">
        <v>19</v>
      </c>
      <c r="E2169" s="17" t="s">
        <v>287</v>
      </c>
      <c r="F2169" s="17" t="str">
        <f>"2170723317 "</f>
        <v xml:space="preserve">2170723317 </v>
      </c>
      <c r="G2169" s="17" t="str">
        <f t="shared" si="63"/>
        <v>ON1</v>
      </c>
      <c r="H2169" s="17" t="s">
        <v>21</v>
      </c>
      <c r="I2169" s="17" t="s">
        <v>288</v>
      </c>
      <c r="J2169" s="17" t="str">
        <f>""</f>
        <v/>
      </c>
      <c r="K2169" s="17" t="str">
        <f>"PFES1162732595_0001"</f>
        <v>PFES1162732595_0001</v>
      </c>
      <c r="L2169" s="17">
        <v>1</v>
      </c>
      <c r="M2169" s="17">
        <v>1</v>
      </c>
    </row>
    <row r="2170" spans="1:13">
      <c r="A2170" s="6">
        <v>43853</v>
      </c>
      <c r="B2170" s="7">
        <v>0.61041666666666672</v>
      </c>
      <c r="C2170" s="17" t="str">
        <f>"FES116732669"</f>
        <v>FES116732669</v>
      </c>
      <c r="D2170" s="17" t="s">
        <v>19</v>
      </c>
      <c r="E2170" s="17" t="s">
        <v>900</v>
      </c>
      <c r="F2170" s="17" t="str">
        <f>"2170724609 "</f>
        <v xml:space="preserve">2170724609 </v>
      </c>
      <c r="G2170" s="17" t="str">
        <f t="shared" si="63"/>
        <v>ON1</v>
      </c>
      <c r="H2170" s="17" t="s">
        <v>21</v>
      </c>
      <c r="I2170" s="17" t="s">
        <v>73</v>
      </c>
      <c r="J2170" s="17" t="str">
        <f>""</f>
        <v/>
      </c>
      <c r="K2170" s="17" t="str">
        <f>"PFES116732669_0001"</f>
        <v>PFES116732669_0001</v>
      </c>
      <c r="L2170" s="17">
        <v>1</v>
      </c>
      <c r="M2170" s="17">
        <v>1</v>
      </c>
    </row>
    <row r="2171" spans="1:13">
      <c r="A2171" s="6">
        <v>43853</v>
      </c>
      <c r="B2171" s="7">
        <v>0.60972222222222217</v>
      </c>
      <c r="C2171" s="17" t="str">
        <f>"FES1162732790"</f>
        <v>FES1162732790</v>
      </c>
      <c r="D2171" s="17" t="s">
        <v>19</v>
      </c>
      <c r="E2171" s="17" t="s">
        <v>847</v>
      </c>
      <c r="F2171" s="17" t="str">
        <f>"2170725271 "</f>
        <v xml:space="preserve">2170725271 </v>
      </c>
      <c r="G2171" s="17" t="str">
        <f t="shared" si="63"/>
        <v>ON1</v>
      </c>
      <c r="H2171" s="17" t="s">
        <v>21</v>
      </c>
      <c r="I2171" s="17" t="s">
        <v>213</v>
      </c>
      <c r="J2171" s="17" t="str">
        <f>""</f>
        <v/>
      </c>
      <c r="K2171" s="17" t="str">
        <f>"PFES1162732790_0001"</f>
        <v>PFES1162732790_0001</v>
      </c>
      <c r="L2171" s="17">
        <v>1</v>
      </c>
      <c r="M2171" s="17">
        <v>1</v>
      </c>
    </row>
    <row r="2172" spans="1:13">
      <c r="A2172" s="6">
        <v>43853</v>
      </c>
      <c r="B2172" s="7">
        <v>0.60972222222222217</v>
      </c>
      <c r="C2172" s="17" t="str">
        <f>"FES1162732607"</f>
        <v>FES1162732607</v>
      </c>
      <c r="D2172" s="17" t="s">
        <v>19</v>
      </c>
      <c r="E2172" s="17" t="s">
        <v>901</v>
      </c>
      <c r="F2172" s="17" t="str">
        <f>"2170723415 "</f>
        <v xml:space="preserve">2170723415 </v>
      </c>
      <c r="G2172" s="17" t="str">
        <f t="shared" si="63"/>
        <v>ON1</v>
      </c>
      <c r="H2172" s="17" t="s">
        <v>21</v>
      </c>
      <c r="I2172" s="17" t="s">
        <v>902</v>
      </c>
      <c r="J2172" s="17" t="str">
        <f>""</f>
        <v/>
      </c>
      <c r="K2172" s="17" t="str">
        <f>"PFES1162732607_0001"</f>
        <v>PFES1162732607_0001</v>
      </c>
      <c r="L2172" s="17">
        <v>1</v>
      </c>
      <c r="M2172" s="17">
        <v>1</v>
      </c>
    </row>
    <row r="2173" spans="1:13">
      <c r="A2173" s="6">
        <v>43853</v>
      </c>
      <c r="B2173" s="7">
        <v>0.60902777777777783</v>
      </c>
      <c r="C2173" s="17" t="str">
        <f>"FES1162732542"</f>
        <v>FES1162732542</v>
      </c>
      <c r="D2173" s="17" t="s">
        <v>19</v>
      </c>
      <c r="E2173" s="17" t="s">
        <v>439</v>
      </c>
      <c r="F2173" s="17" t="str">
        <f>"2170721059 "</f>
        <v xml:space="preserve">2170721059 </v>
      </c>
      <c r="G2173" s="17" t="str">
        <f t="shared" si="63"/>
        <v>ON1</v>
      </c>
      <c r="H2173" s="17" t="s">
        <v>21</v>
      </c>
      <c r="I2173" s="17" t="s">
        <v>440</v>
      </c>
      <c r="J2173" s="17" t="str">
        <f>""</f>
        <v/>
      </c>
      <c r="K2173" s="17" t="str">
        <f>"PFES1162732542_0001"</f>
        <v>PFES1162732542_0001</v>
      </c>
      <c r="L2173" s="17">
        <v>1</v>
      </c>
      <c r="M2173" s="17">
        <v>1</v>
      </c>
    </row>
    <row r="2174" spans="1:13">
      <c r="A2174" s="6">
        <v>43853</v>
      </c>
      <c r="B2174" s="7">
        <v>0.6069444444444444</v>
      </c>
      <c r="C2174" s="17" t="str">
        <f>"FES1162732798"</f>
        <v>FES1162732798</v>
      </c>
      <c r="D2174" s="17" t="s">
        <v>19</v>
      </c>
      <c r="E2174" s="17" t="s">
        <v>142</v>
      </c>
      <c r="F2174" s="17" t="str">
        <f>"2170725284 "</f>
        <v xml:space="preserve">2170725284 </v>
      </c>
      <c r="G2174" s="17" t="str">
        <f t="shared" si="63"/>
        <v>ON1</v>
      </c>
      <c r="H2174" s="17" t="s">
        <v>21</v>
      </c>
      <c r="I2174" s="17" t="s">
        <v>123</v>
      </c>
      <c r="J2174" s="17" t="str">
        <f>""</f>
        <v/>
      </c>
      <c r="K2174" s="17" t="str">
        <f>"PFES1162732798_0001"</f>
        <v>PFES1162732798_0001</v>
      </c>
      <c r="L2174" s="17">
        <v>1</v>
      </c>
      <c r="M2174" s="17">
        <v>1</v>
      </c>
    </row>
    <row r="2175" spans="1:13">
      <c r="A2175" s="6">
        <v>43853</v>
      </c>
      <c r="B2175" s="7">
        <v>0.57986111111111105</v>
      </c>
      <c r="C2175" s="17" t="str">
        <f>"FES1162732636"</f>
        <v>FES1162732636</v>
      </c>
      <c r="D2175" s="17" t="s">
        <v>19</v>
      </c>
      <c r="E2175" s="17" t="s">
        <v>903</v>
      </c>
      <c r="F2175" s="17" t="str">
        <f>"2170723680 "</f>
        <v xml:space="preserve">2170723680 </v>
      </c>
      <c r="G2175" s="17" t="str">
        <f t="shared" si="63"/>
        <v>ON1</v>
      </c>
      <c r="H2175" s="17" t="s">
        <v>21</v>
      </c>
      <c r="I2175" s="17" t="s">
        <v>88</v>
      </c>
      <c r="J2175" s="17" t="str">
        <f>""</f>
        <v/>
      </c>
      <c r="K2175" s="17" t="str">
        <f>"PFES1162732636_0001"</f>
        <v>PFES1162732636_0001</v>
      </c>
      <c r="L2175" s="17">
        <v>1</v>
      </c>
      <c r="M2175" s="17">
        <v>4</v>
      </c>
    </row>
    <row r="2176" spans="1:13">
      <c r="A2176" s="6">
        <v>43853</v>
      </c>
      <c r="B2176" s="7">
        <v>0.57916666666666672</v>
      </c>
      <c r="C2176" s="17" t="str">
        <f>"FES1162732622"</f>
        <v>FES1162732622</v>
      </c>
      <c r="D2176" s="17" t="s">
        <v>19</v>
      </c>
      <c r="E2176" s="17" t="s">
        <v>365</v>
      </c>
      <c r="F2176" s="17" t="str">
        <f>"2170723561 "</f>
        <v xml:space="preserve">2170723561 </v>
      </c>
      <c r="G2176" s="17" t="str">
        <f t="shared" ref="G2176:G2239" si="64">"ON1"</f>
        <v>ON1</v>
      </c>
      <c r="H2176" s="17" t="s">
        <v>21</v>
      </c>
      <c r="I2176" s="17" t="s">
        <v>366</v>
      </c>
      <c r="J2176" s="17" t="str">
        <f>""</f>
        <v/>
      </c>
      <c r="K2176" s="17" t="str">
        <f>"PFES1162732622_0001"</f>
        <v>PFES1162732622_0001</v>
      </c>
      <c r="L2176" s="17">
        <v>1</v>
      </c>
      <c r="M2176" s="17">
        <v>4</v>
      </c>
    </row>
    <row r="2177" spans="1:13">
      <c r="A2177" s="6">
        <v>43853</v>
      </c>
      <c r="B2177" s="7">
        <v>0.57916666666666672</v>
      </c>
      <c r="C2177" s="17" t="str">
        <f>"FES1162732691"</f>
        <v>FES1162732691</v>
      </c>
      <c r="D2177" s="17" t="s">
        <v>19</v>
      </c>
      <c r="E2177" s="17" t="s">
        <v>751</v>
      </c>
      <c r="F2177" s="17" t="str">
        <f>"217075129 "</f>
        <v xml:space="preserve">217075129 </v>
      </c>
      <c r="G2177" s="17" t="str">
        <f t="shared" si="64"/>
        <v>ON1</v>
      </c>
      <c r="H2177" s="17" t="s">
        <v>21</v>
      </c>
      <c r="I2177" s="17" t="s">
        <v>96</v>
      </c>
      <c r="J2177" s="17" t="str">
        <f>""</f>
        <v/>
      </c>
      <c r="K2177" s="17" t="str">
        <f>"PFES1162732691_0001"</f>
        <v>PFES1162732691_0001</v>
      </c>
      <c r="L2177" s="17">
        <v>1</v>
      </c>
      <c r="M2177" s="17">
        <v>2</v>
      </c>
    </row>
    <row r="2178" spans="1:13">
      <c r="A2178" s="6">
        <v>43853</v>
      </c>
      <c r="B2178" s="7">
        <v>0.57847222222222217</v>
      </c>
      <c r="C2178" s="17" t="str">
        <f>"FES1162732783"</f>
        <v>FES1162732783</v>
      </c>
      <c r="D2178" s="17" t="s">
        <v>19</v>
      </c>
      <c r="E2178" s="17" t="s">
        <v>128</v>
      </c>
      <c r="F2178" s="17" t="str">
        <f>"21725256 "</f>
        <v xml:space="preserve">21725256 </v>
      </c>
      <c r="G2178" s="17" t="str">
        <f t="shared" si="64"/>
        <v>ON1</v>
      </c>
      <c r="H2178" s="17" t="s">
        <v>21</v>
      </c>
      <c r="I2178" s="17" t="s">
        <v>129</v>
      </c>
      <c r="J2178" s="17" t="str">
        <f>""</f>
        <v/>
      </c>
      <c r="K2178" s="17" t="str">
        <f>"PFES1162732783_0001"</f>
        <v>PFES1162732783_0001</v>
      </c>
      <c r="L2178" s="17">
        <v>1</v>
      </c>
      <c r="M2178" s="17">
        <v>3</v>
      </c>
    </row>
    <row r="2179" spans="1:13">
      <c r="A2179" s="6">
        <v>43853</v>
      </c>
      <c r="B2179" s="7">
        <v>0.57847222222222217</v>
      </c>
      <c r="C2179" s="17" t="str">
        <f>"FES1162732536"</f>
        <v>FES1162732536</v>
      </c>
      <c r="D2179" s="17" t="s">
        <v>19</v>
      </c>
      <c r="E2179" s="17" t="s">
        <v>105</v>
      </c>
      <c r="F2179" s="17" t="str">
        <f>"2170723398 "</f>
        <v xml:space="preserve">2170723398 </v>
      </c>
      <c r="G2179" s="17" t="str">
        <f t="shared" si="64"/>
        <v>ON1</v>
      </c>
      <c r="H2179" s="17" t="s">
        <v>21</v>
      </c>
      <c r="I2179" s="17" t="s">
        <v>106</v>
      </c>
      <c r="J2179" s="17" t="str">
        <f>""</f>
        <v/>
      </c>
      <c r="K2179" s="17" t="str">
        <f>"PFES1162732536_0001"</f>
        <v>PFES1162732536_0001</v>
      </c>
      <c r="L2179" s="17">
        <v>1</v>
      </c>
      <c r="M2179" s="17">
        <v>15</v>
      </c>
    </row>
    <row r="2180" spans="1:13">
      <c r="A2180" s="6">
        <v>43853</v>
      </c>
      <c r="B2180" s="7">
        <v>0.57777777777777783</v>
      </c>
      <c r="C2180" s="17" t="str">
        <f>"FES1162732533"</f>
        <v>FES1162732533</v>
      </c>
      <c r="D2180" s="17" t="s">
        <v>19</v>
      </c>
      <c r="E2180" s="17" t="s">
        <v>248</v>
      </c>
      <c r="F2180" s="17" t="str">
        <f>"2170723106 "</f>
        <v xml:space="preserve">2170723106 </v>
      </c>
      <c r="G2180" s="17" t="str">
        <f t="shared" si="64"/>
        <v>ON1</v>
      </c>
      <c r="H2180" s="17" t="s">
        <v>21</v>
      </c>
      <c r="I2180" s="17" t="s">
        <v>209</v>
      </c>
      <c r="J2180" s="17" t="str">
        <f>""</f>
        <v/>
      </c>
      <c r="K2180" s="17" t="str">
        <f>"PFES1162732533_0001"</f>
        <v>PFES1162732533_0001</v>
      </c>
      <c r="L2180" s="17">
        <v>1</v>
      </c>
      <c r="M2180" s="17">
        <v>5</v>
      </c>
    </row>
    <row r="2181" spans="1:13">
      <c r="A2181" s="6">
        <v>43853</v>
      </c>
      <c r="B2181" s="7">
        <v>0.5756944444444444</v>
      </c>
      <c r="C2181" s="17" t="str">
        <f>"FES1162732666"</f>
        <v>FES1162732666</v>
      </c>
      <c r="D2181" s="17" t="s">
        <v>19</v>
      </c>
      <c r="E2181" s="17" t="s">
        <v>714</v>
      </c>
      <c r="F2181" s="17" t="str">
        <f>"2170724466 "</f>
        <v xml:space="preserve">2170724466 </v>
      </c>
      <c r="G2181" s="17" t="str">
        <f t="shared" si="64"/>
        <v>ON1</v>
      </c>
      <c r="H2181" s="17" t="s">
        <v>21</v>
      </c>
      <c r="I2181" s="17" t="s">
        <v>202</v>
      </c>
      <c r="J2181" s="17" t="str">
        <f>""</f>
        <v/>
      </c>
      <c r="K2181" s="17" t="str">
        <f>"PFES1162732666_0001"</f>
        <v>PFES1162732666_0001</v>
      </c>
      <c r="L2181" s="17">
        <v>1</v>
      </c>
      <c r="M2181" s="17">
        <v>1</v>
      </c>
    </row>
    <row r="2182" spans="1:13">
      <c r="A2182" s="6">
        <v>43853</v>
      </c>
      <c r="B2182" s="7">
        <v>0.57430555555555551</v>
      </c>
      <c r="C2182" s="17" t="str">
        <f>"FES1162732552"</f>
        <v>FES1162732552</v>
      </c>
      <c r="D2182" s="17" t="s">
        <v>19</v>
      </c>
      <c r="E2182" s="17" t="s">
        <v>87</v>
      </c>
      <c r="F2182" s="17" t="str">
        <f>"2170722991 "</f>
        <v xml:space="preserve">2170722991 </v>
      </c>
      <c r="G2182" s="17" t="str">
        <f t="shared" si="64"/>
        <v>ON1</v>
      </c>
      <c r="H2182" s="17" t="s">
        <v>21</v>
      </c>
      <c r="I2182" s="17" t="s">
        <v>88</v>
      </c>
      <c r="J2182" s="17" t="str">
        <f>""</f>
        <v/>
      </c>
      <c r="K2182" s="17" t="str">
        <f>"PFES1162732552_0001"</f>
        <v>PFES1162732552_0001</v>
      </c>
      <c r="L2182" s="17">
        <v>1</v>
      </c>
      <c r="M2182" s="17">
        <v>1</v>
      </c>
    </row>
    <row r="2183" spans="1:13">
      <c r="A2183" s="6">
        <v>43853</v>
      </c>
      <c r="B2183" s="7">
        <v>0.57361111111111118</v>
      </c>
      <c r="C2183" s="17" t="str">
        <f>"FES1162732600"</f>
        <v>FES1162732600</v>
      </c>
      <c r="D2183" s="17" t="s">
        <v>19</v>
      </c>
      <c r="E2183" s="17" t="s">
        <v>557</v>
      </c>
      <c r="F2183" s="17" t="str">
        <f>"2170723356 "</f>
        <v xml:space="preserve">2170723356 </v>
      </c>
      <c r="G2183" s="17" t="str">
        <f t="shared" si="64"/>
        <v>ON1</v>
      </c>
      <c r="H2183" s="17" t="s">
        <v>21</v>
      </c>
      <c r="I2183" s="17" t="s">
        <v>558</v>
      </c>
      <c r="J2183" s="17" t="str">
        <f>""</f>
        <v/>
      </c>
      <c r="K2183" s="17" t="str">
        <f>"PFES1162732600_0001"</f>
        <v>PFES1162732600_0001</v>
      </c>
      <c r="L2183" s="17">
        <v>1</v>
      </c>
      <c r="M2183" s="17">
        <v>1</v>
      </c>
    </row>
    <row r="2184" spans="1:13">
      <c r="A2184" s="6">
        <v>43853</v>
      </c>
      <c r="B2184" s="7">
        <v>0.57291666666666663</v>
      </c>
      <c r="C2184" s="17" t="str">
        <f>"FES1162732623"</f>
        <v>FES1162732623</v>
      </c>
      <c r="D2184" s="17" t="s">
        <v>19</v>
      </c>
      <c r="E2184" s="17" t="s">
        <v>208</v>
      </c>
      <c r="F2184" s="17" t="str">
        <f>"2170723567 "</f>
        <v xml:space="preserve">2170723567 </v>
      </c>
      <c r="G2184" s="17" t="str">
        <f t="shared" si="64"/>
        <v>ON1</v>
      </c>
      <c r="H2184" s="17" t="s">
        <v>21</v>
      </c>
      <c r="I2184" s="17" t="s">
        <v>209</v>
      </c>
      <c r="J2184" s="17" t="str">
        <f>""</f>
        <v/>
      </c>
      <c r="K2184" s="17" t="str">
        <f>"PFES1162732623_0001"</f>
        <v>PFES1162732623_0001</v>
      </c>
      <c r="L2184" s="17">
        <v>1</v>
      </c>
      <c r="M2184" s="17">
        <v>1</v>
      </c>
    </row>
    <row r="2185" spans="1:13">
      <c r="A2185" s="6">
        <v>43853</v>
      </c>
      <c r="B2185" s="7">
        <v>0.57222222222222219</v>
      </c>
      <c r="C2185" s="17" t="str">
        <f>"FES1162732656"</f>
        <v>FES1162732656</v>
      </c>
      <c r="D2185" s="17" t="s">
        <v>19</v>
      </c>
      <c r="E2185" s="17" t="s">
        <v>772</v>
      </c>
      <c r="F2185" s="17" t="str">
        <f>"2170723824 "</f>
        <v xml:space="preserve">2170723824 </v>
      </c>
      <c r="G2185" s="17" t="str">
        <f t="shared" si="64"/>
        <v>ON1</v>
      </c>
      <c r="H2185" s="17" t="s">
        <v>21</v>
      </c>
      <c r="I2185" s="17" t="s">
        <v>135</v>
      </c>
      <c r="J2185" s="17" t="str">
        <f>""</f>
        <v/>
      </c>
      <c r="K2185" s="17" t="str">
        <f>"PFES1162732656_0001"</f>
        <v>PFES1162732656_0001</v>
      </c>
      <c r="L2185" s="17">
        <v>1</v>
      </c>
      <c r="M2185" s="17">
        <v>16</v>
      </c>
    </row>
    <row r="2186" spans="1:13">
      <c r="A2186" s="6">
        <v>43853</v>
      </c>
      <c r="B2186" s="7">
        <v>0.57152777777777775</v>
      </c>
      <c r="C2186" s="17" t="str">
        <f>"FES1162732645"</f>
        <v>FES1162732645</v>
      </c>
      <c r="D2186" s="17" t="s">
        <v>19</v>
      </c>
      <c r="E2186" s="17" t="s">
        <v>208</v>
      </c>
      <c r="F2186" s="17" t="str">
        <f>"2170723763 "</f>
        <v xml:space="preserve">2170723763 </v>
      </c>
      <c r="G2186" s="17" t="str">
        <f t="shared" si="64"/>
        <v>ON1</v>
      </c>
      <c r="H2186" s="17" t="s">
        <v>21</v>
      </c>
      <c r="I2186" s="17" t="s">
        <v>209</v>
      </c>
      <c r="J2186" s="17" t="str">
        <f>""</f>
        <v/>
      </c>
      <c r="K2186" s="17" t="str">
        <f>"PFES1162732645_0001"</f>
        <v>PFES1162732645_0001</v>
      </c>
      <c r="L2186" s="17">
        <v>1</v>
      </c>
      <c r="M2186" s="17">
        <v>1</v>
      </c>
    </row>
    <row r="2187" spans="1:13">
      <c r="A2187" s="6">
        <v>43853</v>
      </c>
      <c r="B2187" s="7">
        <v>0.5708333333333333</v>
      </c>
      <c r="C2187" s="17" t="str">
        <f>"FES1162732549"</f>
        <v>FES1162732549</v>
      </c>
      <c r="D2187" s="17" t="s">
        <v>19</v>
      </c>
      <c r="E2187" s="17" t="s">
        <v>472</v>
      </c>
      <c r="F2187" s="17" t="str">
        <f>"2170722748 "</f>
        <v xml:space="preserve">2170722748 </v>
      </c>
      <c r="G2187" s="17" t="str">
        <f t="shared" si="64"/>
        <v>ON1</v>
      </c>
      <c r="H2187" s="17" t="s">
        <v>21</v>
      </c>
      <c r="I2187" s="17" t="s">
        <v>85</v>
      </c>
      <c r="J2187" s="17" t="str">
        <f>""</f>
        <v/>
      </c>
      <c r="K2187" s="17" t="str">
        <f>"PFES1162732549_0001"</f>
        <v>PFES1162732549_0001</v>
      </c>
      <c r="L2187" s="17">
        <v>1</v>
      </c>
      <c r="M2187" s="17">
        <v>1</v>
      </c>
    </row>
    <row r="2188" spans="1:13">
      <c r="A2188" s="6">
        <v>43853</v>
      </c>
      <c r="B2188" s="7">
        <v>0.57013888888888886</v>
      </c>
      <c r="C2188" s="17" t="str">
        <f>"FES1162732680"</f>
        <v>FES1162732680</v>
      </c>
      <c r="D2188" s="17" t="s">
        <v>19</v>
      </c>
      <c r="E2188" s="17" t="s">
        <v>904</v>
      </c>
      <c r="F2188" s="17" t="str">
        <f>"2170725113 "</f>
        <v xml:space="preserve">2170725113 </v>
      </c>
      <c r="G2188" s="17" t="str">
        <f t="shared" si="64"/>
        <v>ON1</v>
      </c>
      <c r="H2188" s="17" t="s">
        <v>21</v>
      </c>
      <c r="I2188" s="17" t="s">
        <v>905</v>
      </c>
      <c r="J2188" s="17" t="str">
        <f>""</f>
        <v/>
      </c>
      <c r="K2188" s="17" t="str">
        <f>"PFES1162732680_0001"</f>
        <v>PFES1162732680_0001</v>
      </c>
      <c r="L2188" s="17">
        <v>1</v>
      </c>
      <c r="M2188" s="17">
        <v>1</v>
      </c>
    </row>
    <row r="2189" spans="1:13">
      <c r="A2189" s="6">
        <v>43853</v>
      </c>
      <c r="B2189" s="7">
        <v>0.56944444444444442</v>
      </c>
      <c r="C2189" s="17" t="str">
        <f>"FES1162732678"</f>
        <v>FES1162732678</v>
      </c>
      <c r="D2189" s="17" t="s">
        <v>19</v>
      </c>
      <c r="E2189" s="17" t="s">
        <v>567</v>
      </c>
      <c r="F2189" s="17" t="str">
        <f>"2170725070 "</f>
        <v xml:space="preserve">2170725070 </v>
      </c>
      <c r="G2189" s="17" t="str">
        <f t="shared" si="64"/>
        <v>ON1</v>
      </c>
      <c r="H2189" s="17" t="s">
        <v>21</v>
      </c>
      <c r="I2189" s="17" t="s">
        <v>202</v>
      </c>
      <c r="J2189" s="17" t="str">
        <f>""</f>
        <v/>
      </c>
      <c r="K2189" s="17" t="str">
        <f>"PFES1162732678_0001"</f>
        <v>PFES1162732678_0001</v>
      </c>
      <c r="L2189" s="17">
        <v>1</v>
      </c>
      <c r="M2189" s="17">
        <v>1</v>
      </c>
    </row>
    <row r="2190" spans="1:13">
      <c r="A2190" s="6">
        <v>43853</v>
      </c>
      <c r="B2190" s="7">
        <v>0.56874999999999998</v>
      </c>
      <c r="C2190" s="17" t="str">
        <f>"FES1162732586"</f>
        <v>FES1162732586</v>
      </c>
      <c r="D2190" s="17" t="s">
        <v>19</v>
      </c>
      <c r="E2190" s="17" t="s">
        <v>283</v>
      </c>
      <c r="F2190" s="17" t="str">
        <f>"2170723184 "</f>
        <v xml:space="preserve">2170723184 </v>
      </c>
      <c r="G2190" s="17" t="str">
        <f t="shared" si="64"/>
        <v>ON1</v>
      </c>
      <c r="H2190" s="17" t="s">
        <v>21</v>
      </c>
      <c r="I2190" s="17" t="s">
        <v>284</v>
      </c>
      <c r="J2190" s="17" t="str">
        <f>""</f>
        <v/>
      </c>
      <c r="K2190" s="17" t="str">
        <f>"PFES1162732586_0001"</f>
        <v>PFES1162732586_0001</v>
      </c>
      <c r="L2190" s="17">
        <v>1</v>
      </c>
      <c r="M2190" s="17">
        <v>1</v>
      </c>
    </row>
    <row r="2191" spans="1:13">
      <c r="A2191" s="6">
        <v>43853</v>
      </c>
      <c r="B2191" s="7">
        <v>0.56805555555555554</v>
      </c>
      <c r="C2191" s="17" t="str">
        <f>"FES1162732690"</f>
        <v>FES1162732690</v>
      </c>
      <c r="D2191" s="17" t="s">
        <v>19</v>
      </c>
      <c r="E2191" s="17" t="s">
        <v>870</v>
      </c>
      <c r="F2191" s="17" t="str">
        <f>"2170725127 "</f>
        <v xml:space="preserve">2170725127 </v>
      </c>
      <c r="G2191" s="17" t="str">
        <f t="shared" si="64"/>
        <v>ON1</v>
      </c>
      <c r="H2191" s="17" t="s">
        <v>21</v>
      </c>
      <c r="I2191" s="17" t="s">
        <v>277</v>
      </c>
      <c r="J2191" s="17" t="str">
        <f>""</f>
        <v/>
      </c>
      <c r="K2191" s="17" t="str">
        <f>"PFES1162732690_0001"</f>
        <v>PFES1162732690_0001</v>
      </c>
      <c r="L2191" s="17">
        <v>1</v>
      </c>
      <c r="M2191" s="17">
        <v>1</v>
      </c>
    </row>
    <row r="2192" spans="1:13">
      <c r="A2192" s="6">
        <v>43853</v>
      </c>
      <c r="B2192" s="7">
        <v>0.56736111111111109</v>
      </c>
      <c r="C2192" s="17" t="str">
        <f>"FES1162732671"</f>
        <v>FES1162732671</v>
      </c>
      <c r="D2192" s="17" t="s">
        <v>19</v>
      </c>
      <c r="E2192" s="17" t="s">
        <v>477</v>
      </c>
      <c r="F2192" s="17" t="str">
        <f>"2170724649 "</f>
        <v xml:space="preserve">2170724649 </v>
      </c>
      <c r="G2192" s="17" t="str">
        <f t="shared" si="64"/>
        <v>ON1</v>
      </c>
      <c r="H2192" s="17" t="s">
        <v>21</v>
      </c>
      <c r="I2192" s="17" t="s">
        <v>200</v>
      </c>
      <c r="J2192" s="17" t="str">
        <f>""</f>
        <v/>
      </c>
      <c r="K2192" s="17" t="str">
        <f>"PFES1162732671_0001"</f>
        <v>PFES1162732671_0001</v>
      </c>
      <c r="L2192" s="17">
        <v>1</v>
      </c>
      <c r="M2192" s="17">
        <v>1</v>
      </c>
    </row>
    <row r="2193" spans="1:13">
      <c r="A2193" s="6">
        <v>43853</v>
      </c>
      <c r="B2193" s="7">
        <v>0.56666666666666665</v>
      </c>
      <c r="C2193" s="17" t="str">
        <f>"FES1162732684"</f>
        <v>FES1162732684</v>
      </c>
      <c r="D2193" s="17" t="s">
        <v>19</v>
      </c>
      <c r="E2193" s="17" t="s">
        <v>523</v>
      </c>
      <c r="F2193" s="17" t="str">
        <f>"2170725120 "</f>
        <v xml:space="preserve">2170725120 </v>
      </c>
      <c r="G2193" s="17" t="str">
        <f t="shared" si="64"/>
        <v>ON1</v>
      </c>
      <c r="H2193" s="17" t="s">
        <v>21</v>
      </c>
      <c r="I2193" s="17" t="s">
        <v>98</v>
      </c>
      <c r="J2193" s="17" t="str">
        <f>""</f>
        <v/>
      </c>
      <c r="K2193" s="17" t="str">
        <f>"PFES1162732684_0001"</f>
        <v>PFES1162732684_0001</v>
      </c>
      <c r="L2193" s="17">
        <v>1</v>
      </c>
      <c r="M2193" s="17">
        <v>1</v>
      </c>
    </row>
    <row r="2194" spans="1:13">
      <c r="A2194" s="6">
        <v>43853</v>
      </c>
      <c r="B2194" s="7">
        <v>0.56597222222222221</v>
      </c>
      <c r="C2194" s="17" t="str">
        <f>"FES1162732711"</f>
        <v>FES1162732711</v>
      </c>
      <c r="D2194" s="17" t="s">
        <v>19</v>
      </c>
      <c r="E2194" s="17" t="s">
        <v>906</v>
      </c>
      <c r="F2194" s="17" t="str">
        <f>"2170725045 "</f>
        <v xml:space="preserve">2170725045 </v>
      </c>
      <c r="G2194" s="17" t="str">
        <f t="shared" si="64"/>
        <v>ON1</v>
      </c>
      <c r="H2194" s="17" t="s">
        <v>21</v>
      </c>
      <c r="I2194" s="17" t="s">
        <v>622</v>
      </c>
      <c r="J2194" s="17" t="str">
        <f>""</f>
        <v/>
      </c>
      <c r="K2194" s="17" t="str">
        <f>"PFES1162732711_0001"</f>
        <v>PFES1162732711_0001</v>
      </c>
      <c r="L2194" s="17">
        <v>1</v>
      </c>
      <c r="M2194" s="17">
        <v>1</v>
      </c>
    </row>
    <row r="2195" spans="1:13">
      <c r="A2195" s="6">
        <v>43853</v>
      </c>
      <c r="B2195" s="7">
        <v>0.56527777777777777</v>
      </c>
      <c r="C2195" s="17" t="str">
        <f>"FES1162732709"</f>
        <v>FES1162732709</v>
      </c>
      <c r="D2195" s="17" t="s">
        <v>19</v>
      </c>
      <c r="E2195" s="17" t="s">
        <v>907</v>
      </c>
      <c r="F2195" s="17" t="str">
        <f>"2170724955 "</f>
        <v xml:space="preserve">2170724955 </v>
      </c>
      <c r="G2195" s="17" t="str">
        <f t="shared" si="64"/>
        <v>ON1</v>
      </c>
      <c r="H2195" s="17" t="s">
        <v>21</v>
      </c>
      <c r="I2195" s="17" t="s">
        <v>249</v>
      </c>
      <c r="J2195" s="17" t="str">
        <f>""</f>
        <v/>
      </c>
      <c r="K2195" s="17" t="str">
        <f>"PFES1162732709_0001"</f>
        <v>PFES1162732709_0001</v>
      </c>
      <c r="L2195" s="17">
        <v>1</v>
      </c>
      <c r="M2195" s="17">
        <v>1</v>
      </c>
    </row>
    <row r="2196" spans="1:13">
      <c r="A2196" s="6">
        <v>43853</v>
      </c>
      <c r="B2196" s="7">
        <v>0.56458333333333333</v>
      </c>
      <c r="C2196" s="17" t="str">
        <f>"FES1162732615"</f>
        <v>FES1162732615</v>
      </c>
      <c r="D2196" s="17" t="s">
        <v>19</v>
      </c>
      <c r="E2196" s="17" t="s">
        <v>456</v>
      </c>
      <c r="F2196" s="17" t="str">
        <f>"2170723480 "</f>
        <v xml:space="preserve">2170723480 </v>
      </c>
      <c r="G2196" s="17" t="str">
        <f t="shared" si="64"/>
        <v>ON1</v>
      </c>
      <c r="H2196" s="17" t="s">
        <v>21</v>
      </c>
      <c r="I2196" s="17" t="s">
        <v>344</v>
      </c>
      <c r="J2196" s="17" t="str">
        <f>""</f>
        <v/>
      </c>
      <c r="K2196" s="17" t="str">
        <f>"PFES1162732615_0001"</f>
        <v>PFES1162732615_0001</v>
      </c>
      <c r="L2196" s="17">
        <v>1</v>
      </c>
      <c r="M2196" s="17">
        <v>1</v>
      </c>
    </row>
    <row r="2197" spans="1:13">
      <c r="A2197" s="6">
        <v>43853</v>
      </c>
      <c r="B2197" s="7">
        <v>0.56388888888888888</v>
      </c>
      <c r="C2197" s="17" t="str">
        <f>"FES1162732661"</f>
        <v>FES1162732661</v>
      </c>
      <c r="D2197" s="17" t="s">
        <v>19</v>
      </c>
      <c r="E2197" s="17" t="s">
        <v>404</v>
      </c>
      <c r="F2197" s="17" t="str">
        <f>"2170724063 "</f>
        <v xml:space="preserve">2170724063 </v>
      </c>
      <c r="G2197" s="17" t="str">
        <f t="shared" si="64"/>
        <v>ON1</v>
      </c>
      <c r="H2197" s="17" t="s">
        <v>21</v>
      </c>
      <c r="I2197" s="17" t="s">
        <v>202</v>
      </c>
      <c r="J2197" s="17" t="str">
        <f>""</f>
        <v/>
      </c>
      <c r="K2197" s="17" t="str">
        <f>"PFES1162732661_0001"</f>
        <v>PFES1162732661_0001</v>
      </c>
      <c r="L2197" s="17">
        <v>1</v>
      </c>
      <c r="M2197" s="17">
        <v>1</v>
      </c>
    </row>
    <row r="2198" spans="1:13">
      <c r="A2198" s="6">
        <v>43853</v>
      </c>
      <c r="B2198" s="7">
        <v>0.56388888888888888</v>
      </c>
      <c r="C2198" s="17" t="str">
        <f>"FES1162732696"</f>
        <v>FES1162732696</v>
      </c>
      <c r="D2198" s="17" t="s">
        <v>19</v>
      </c>
      <c r="E2198" s="17" t="s">
        <v>616</v>
      </c>
      <c r="F2198" s="17" t="str">
        <f>"2170725134 "</f>
        <v xml:space="preserve">2170725134 </v>
      </c>
      <c r="G2198" s="17" t="str">
        <f t="shared" si="64"/>
        <v>ON1</v>
      </c>
      <c r="H2198" s="17" t="s">
        <v>21</v>
      </c>
      <c r="I2198" s="17" t="s">
        <v>617</v>
      </c>
      <c r="J2198" s="17" t="str">
        <f>""</f>
        <v/>
      </c>
      <c r="K2198" s="17" t="str">
        <f>"PFES1162732696_0001"</f>
        <v>PFES1162732696_0001</v>
      </c>
      <c r="L2198" s="17">
        <v>1</v>
      </c>
      <c r="M2198" s="17">
        <v>1</v>
      </c>
    </row>
    <row r="2199" spans="1:13">
      <c r="A2199" s="6">
        <v>43853</v>
      </c>
      <c r="B2199" s="7">
        <v>0.5625</v>
      </c>
      <c r="C2199" s="17" t="str">
        <f>"FES1162732633"</f>
        <v>FES1162732633</v>
      </c>
      <c r="D2199" s="17" t="s">
        <v>19</v>
      </c>
      <c r="E2199" s="17" t="s">
        <v>188</v>
      </c>
      <c r="F2199" s="17" t="str">
        <f>"2170723646 "</f>
        <v xml:space="preserve">2170723646 </v>
      </c>
      <c r="G2199" s="17" t="str">
        <f t="shared" si="64"/>
        <v>ON1</v>
      </c>
      <c r="H2199" s="17" t="s">
        <v>21</v>
      </c>
      <c r="I2199" s="17" t="s">
        <v>189</v>
      </c>
      <c r="J2199" s="17" t="str">
        <f>""</f>
        <v/>
      </c>
      <c r="K2199" s="17" t="str">
        <f>"PFES1162732633_0001"</f>
        <v>PFES1162732633_0001</v>
      </c>
      <c r="L2199" s="17">
        <v>1</v>
      </c>
      <c r="M2199" s="17">
        <v>1</v>
      </c>
    </row>
    <row r="2200" spans="1:13">
      <c r="A2200" s="6">
        <v>43853</v>
      </c>
      <c r="B2200" s="7">
        <v>0.5625</v>
      </c>
      <c r="C2200" s="17" t="str">
        <f>"FES1162732640"</f>
        <v>FES1162732640</v>
      </c>
      <c r="D2200" s="17" t="s">
        <v>19</v>
      </c>
      <c r="E2200" s="17" t="s">
        <v>721</v>
      </c>
      <c r="F2200" s="17" t="str">
        <f>"2170723734 "</f>
        <v xml:space="preserve">2170723734 </v>
      </c>
      <c r="G2200" s="17" t="str">
        <f t="shared" si="64"/>
        <v>ON1</v>
      </c>
      <c r="H2200" s="17" t="s">
        <v>21</v>
      </c>
      <c r="I2200" s="17" t="s">
        <v>288</v>
      </c>
      <c r="J2200" s="17" t="str">
        <f>""</f>
        <v/>
      </c>
      <c r="K2200" s="17" t="str">
        <f>"PFES1162732640_0001"</f>
        <v>PFES1162732640_0001</v>
      </c>
      <c r="L2200" s="17">
        <v>1</v>
      </c>
      <c r="M2200" s="17">
        <v>1</v>
      </c>
    </row>
    <row r="2201" spans="1:13">
      <c r="A2201" s="6">
        <v>43853</v>
      </c>
      <c r="B2201" s="7">
        <v>0.56111111111111112</v>
      </c>
      <c r="C2201" s="17" t="str">
        <f>"FES1162732698"</f>
        <v>FES1162732698</v>
      </c>
      <c r="D2201" s="17" t="s">
        <v>19</v>
      </c>
      <c r="E2201" s="17" t="s">
        <v>242</v>
      </c>
      <c r="F2201" s="17" t="str">
        <f>"2170725136 "</f>
        <v xml:space="preserve">2170725136 </v>
      </c>
      <c r="G2201" s="17" t="str">
        <f t="shared" si="64"/>
        <v>ON1</v>
      </c>
      <c r="H2201" s="17" t="s">
        <v>21</v>
      </c>
      <c r="I2201" s="17" t="s">
        <v>85</v>
      </c>
      <c r="J2201" s="17" t="str">
        <f>""</f>
        <v/>
      </c>
      <c r="K2201" s="17" t="str">
        <f>"PFES1162732698_0001"</f>
        <v>PFES1162732698_0001</v>
      </c>
      <c r="L2201" s="17">
        <v>1</v>
      </c>
      <c r="M2201" s="17">
        <v>1</v>
      </c>
    </row>
    <row r="2202" spans="1:13">
      <c r="A2202" s="6">
        <v>43853</v>
      </c>
      <c r="B2202" s="7">
        <v>0.56041666666666667</v>
      </c>
      <c r="C2202" s="17" t="str">
        <f>"FES1162732662"</f>
        <v>FES1162732662</v>
      </c>
      <c r="D2202" s="17" t="s">
        <v>19</v>
      </c>
      <c r="E2202" s="17" t="s">
        <v>478</v>
      </c>
      <c r="F2202" s="17" t="str">
        <f>"2170724073 "</f>
        <v xml:space="preserve">2170724073 </v>
      </c>
      <c r="G2202" s="17" t="str">
        <f t="shared" si="64"/>
        <v>ON1</v>
      </c>
      <c r="H2202" s="17" t="s">
        <v>21</v>
      </c>
      <c r="I2202" s="17" t="s">
        <v>277</v>
      </c>
      <c r="J2202" s="17" t="str">
        <f>""</f>
        <v/>
      </c>
      <c r="K2202" s="17" t="str">
        <f>"PFES1162732662_0001"</f>
        <v>PFES1162732662_0001</v>
      </c>
      <c r="L2202" s="17">
        <v>1</v>
      </c>
      <c r="M2202" s="17">
        <v>1</v>
      </c>
    </row>
    <row r="2203" spans="1:13">
      <c r="A2203" s="6">
        <v>43853</v>
      </c>
      <c r="B2203" s="7">
        <v>0.55972222222222223</v>
      </c>
      <c r="C2203" s="17" t="str">
        <f>"FES1162732676"</f>
        <v>FES1162732676</v>
      </c>
      <c r="D2203" s="17" t="s">
        <v>19</v>
      </c>
      <c r="E2203" s="17" t="s">
        <v>404</v>
      </c>
      <c r="F2203" s="17" t="str">
        <f>"2170724940 "</f>
        <v xml:space="preserve">2170724940 </v>
      </c>
      <c r="G2203" s="17" t="str">
        <f t="shared" si="64"/>
        <v>ON1</v>
      </c>
      <c r="H2203" s="17" t="s">
        <v>21</v>
      </c>
      <c r="I2203" s="17" t="s">
        <v>202</v>
      </c>
      <c r="J2203" s="17" t="str">
        <f>""</f>
        <v/>
      </c>
      <c r="K2203" s="17" t="str">
        <f>"PFES1162732676_0001"</f>
        <v>PFES1162732676_0001</v>
      </c>
      <c r="L2203" s="17">
        <v>1</v>
      </c>
      <c r="M2203" s="17">
        <v>1</v>
      </c>
    </row>
    <row r="2204" spans="1:13">
      <c r="A2204" s="6">
        <v>43853</v>
      </c>
      <c r="B2204" s="7">
        <v>0.55902777777777779</v>
      </c>
      <c r="C2204" s="17" t="str">
        <f>"FES1162732588"</f>
        <v>FES1162732588</v>
      </c>
      <c r="D2204" s="17" t="s">
        <v>19</v>
      </c>
      <c r="E2204" s="17" t="s">
        <v>522</v>
      </c>
      <c r="F2204" s="17" t="str">
        <f>"2170723222 "</f>
        <v xml:space="preserve">2170723222 </v>
      </c>
      <c r="G2204" s="17" t="str">
        <f t="shared" si="64"/>
        <v>ON1</v>
      </c>
      <c r="H2204" s="17" t="s">
        <v>21</v>
      </c>
      <c r="I2204" s="17" t="s">
        <v>193</v>
      </c>
      <c r="J2204" s="17" t="str">
        <f>""</f>
        <v/>
      </c>
      <c r="K2204" s="17" t="str">
        <f>"PFES1162732588_0001"</f>
        <v>PFES1162732588_0001</v>
      </c>
      <c r="L2204" s="17">
        <v>1</v>
      </c>
      <c r="M2204" s="17">
        <v>1</v>
      </c>
    </row>
    <row r="2205" spans="1:13">
      <c r="A2205" s="6">
        <v>43853</v>
      </c>
      <c r="B2205" s="7">
        <v>0.55833333333333335</v>
      </c>
      <c r="C2205" s="17" t="str">
        <f>"FES1162732659"</f>
        <v>FES1162732659</v>
      </c>
      <c r="D2205" s="17" t="s">
        <v>19</v>
      </c>
      <c r="E2205" s="17" t="s">
        <v>537</v>
      </c>
      <c r="F2205" s="17" t="str">
        <f>"2170724052 "</f>
        <v xml:space="preserve">2170724052 </v>
      </c>
      <c r="G2205" s="17" t="str">
        <f t="shared" si="64"/>
        <v>ON1</v>
      </c>
      <c r="H2205" s="17" t="s">
        <v>21</v>
      </c>
      <c r="I2205" s="17" t="s">
        <v>209</v>
      </c>
      <c r="J2205" s="17" t="str">
        <f>""</f>
        <v/>
      </c>
      <c r="K2205" s="17" t="str">
        <f>"PFES1162732659_0001"</f>
        <v>PFES1162732659_0001</v>
      </c>
      <c r="L2205" s="17">
        <v>1</v>
      </c>
      <c r="M2205" s="17">
        <v>1</v>
      </c>
    </row>
    <row r="2206" spans="1:13">
      <c r="A2206" s="6">
        <v>43853</v>
      </c>
      <c r="B2206" s="7">
        <v>0.55763888888888891</v>
      </c>
      <c r="C2206" s="17" t="str">
        <f>"FES1162732754"</f>
        <v>FES1162732754</v>
      </c>
      <c r="D2206" s="17" t="s">
        <v>19</v>
      </c>
      <c r="E2206" s="17" t="s">
        <v>197</v>
      </c>
      <c r="F2206" s="17" t="str">
        <f>"2170725215 "</f>
        <v xml:space="preserve">2170725215 </v>
      </c>
      <c r="G2206" s="17" t="str">
        <f t="shared" si="64"/>
        <v>ON1</v>
      </c>
      <c r="H2206" s="17" t="s">
        <v>21</v>
      </c>
      <c r="I2206" s="17" t="s">
        <v>198</v>
      </c>
      <c r="J2206" s="17" t="str">
        <f>""</f>
        <v/>
      </c>
      <c r="K2206" s="17" t="str">
        <f>"PFES1162732754_0001"</f>
        <v>PFES1162732754_0001</v>
      </c>
      <c r="L2206" s="17">
        <v>1</v>
      </c>
      <c r="M2206" s="17">
        <v>1</v>
      </c>
    </row>
    <row r="2207" spans="1:13">
      <c r="A2207" s="6">
        <v>43853</v>
      </c>
      <c r="B2207" s="7">
        <v>0.55694444444444446</v>
      </c>
      <c r="C2207" s="17" t="str">
        <f>"FES1162732657"</f>
        <v>FES1162732657</v>
      </c>
      <c r="D2207" s="17" t="s">
        <v>19</v>
      </c>
      <c r="E2207" s="17" t="s">
        <v>250</v>
      </c>
      <c r="F2207" s="17" t="str">
        <f>"2170723915 "</f>
        <v xml:space="preserve">2170723915 </v>
      </c>
      <c r="G2207" s="17" t="str">
        <f t="shared" si="64"/>
        <v>ON1</v>
      </c>
      <c r="H2207" s="17" t="s">
        <v>21</v>
      </c>
      <c r="I2207" s="17" t="s">
        <v>88</v>
      </c>
      <c r="J2207" s="17" t="str">
        <f>""</f>
        <v/>
      </c>
      <c r="K2207" s="17" t="str">
        <f>"PFES1162732657_0001"</f>
        <v>PFES1162732657_0001</v>
      </c>
      <c r="L2207" s="17">
        <v>1</v>
      </c>
      <c r="M2207" s="17">
        <v>1</v>
      </c>
    </row>
    <row r="2208" spans="1:13">
      <c r="A2208" s="6">
        <v>43853</v>
      </c>
      <c r="B2208" s="7">
        <v>0.55625000000000002</v>
      </c>
      <c r="C2208" s="17" t="str">
        <f>"FES1162732683"</f>
        <v>FES1162732683</v>
      </c>
      <c r="D2208" s="17" t="s">
        <v>19</v>
      </c>
      <c r="E2208" s="17" t="s">
        <v>463</v>
      </c>
      <c r="F2208" s="17" t="str">
        <f>"2170725119 "</f>
        <v xml:space="preserve">2170725119 </v>
      </c>
      <c r="G2208" s="17" t="str">
        <f t="shared" si="64"/>
        <v>ON1</v>
      </c>
      <c r="H2208" s="17" t="s">
        <v>21</v>
      </c>
      <c r="I2208" s="17" t="s">
        <v>320</v>
      </c>
      <c r="J2208" s="17" t="str">
        <f>""</f>
        <v/>
      </c>
      <c r="K2208" s="17" t="str">
        <f>"PFES1162732683_0001"</f>
        <v>PFES1162732683_0001</v>
      </c>
      <c r="L2208" s="17">
        <v>1</v>
      </c>
      <c r="M2208" s="17">
        <v>1</v>
      </c>
    </row>
    <row r="2209" spans="1:13">
      <c r="A2209" s="6">
        <v>43853</v>
      </c>
      <c r="B2209" s="7">
        <v>0.55555555555555558</v>
      </c>
      <c r="C2209" s="17" t="str">
        <f>"FES1162732512"</f>
        <v>FES1162732512</v>
      </c>
      <c r="D2209" s="17" t="s">
        <v>19</v>
      </c>
      <c r="E2209" s="17" t="s">
        <v>304</v>
      </c>
      <c r="F2209" s="17" t="str">
        <f>"21707248900 "</f>
        <v xml:space="preserve">21707248900 </v>
      </c>
      <c r="G2209" s="17" t="str">
        <f t="shared" si="64"/>
        <v>ON1</v>
      </c>
      <c r="H2209" s="17" t="s">
        <v>21</v>
      </c>
      <c r="I2209" s="17" t="s">
        <v>305</v>
      </c>
      <c r="J2209" s="17" t="str">
        <f>""</f>
        <v/>
      </c>
      <c r="K2209" s="17" t="str">
        <f>"PFES1162732512_0001"</f>
        <v>PFES1162732512_0001</v>
      </c>
      <c r="L2209" s="17">
        <v>1</v>
      </c>
      <c r="M2209" s="17">
        <v>6</v>
      </c>
    </row>
    <row r="2210" spans="1:13">
      <c r="A2210" s="6">
        <v>43853</v>
      </c>
      <c r="B2210" s="7">
        <v>0.55555555555555558</v>
      </c>
      <c r="C2210" s="17" t="str">
        <f>"FES1162732618"</f>
        <v>FES1162732618</v>
      </c>
      <c r="D2210" s="17" t="s">
        <v>19</v>
      </c>
      <c r="E2210" s="17" t="s">
        <v>245</v>
      </c>
      <c r="F2210" s="17" t="str">
        <f>"2170723505 "</f>
        <v xml:space="preserve">2170723505 </v>
      </c>
      <c r="G2210" s="17" t="str">
        <f t="shared" si="64"/>
        <v>ON1</v>
      </c>
      <c r="H2210" s="17" t="s">
        <v>21</v>
      </c>
      <c r="I2210" s="17" t="s">
        <v>96</v>
      </c>
      <c r="J2210" s="17" t="str">
        <f>""</f>
        <v/>
      </c>
      <c r="K2210" s="17" t="str">
        <f>"PFES1162732618_0001"</f>
        <v>PFES1162732618_0001</v>
      </c>
      <c r="L2210" s="17">
        <v>1</v>
      </c>
      <c r="M2210" s="17">
        <v>1</v>
      </c>
    </row>
    <row r="2211" spans="1:13">
      <c r="A2211" s="6">
        <v>43853</v>
      </c>
      <c r="B2211" s="7">
        <v>0.55486111111111114</v>
      </c>
      <c r="C2211" s="17" t="str">
        <f>"FES1162732584"</f>
        <v>FES1162732584</v>
      </c>
      <c r="D2211" s="17" t="s">
        <v>19</v>
      </c>
      <c r="E2211" s="17" t="s">
        <v>218</v>
      </c>
      <c r="F2211" s="17" t="str">
        <f>"2170723157 "</f>
        <v xml:space="preserve">2170723157 </v>
      </c>
      <c r="G2211" s="17" t="str">
        <f t="shared" si="64"/>
        <v>ON1</v>
      </c>
      <c r="H2211" s="17" t="s">
        <v>21</v>
      </c>
      <c r="I2211" s="17" t="s">
        <v>49</v>
      </c>
      <c r="J2211" s="17" t="str">
        <f>""</f>
        <v/>
      </c>
      <c r="K2211" s="17" t="str">
        <f>"PFES1162732584_0001"</f>
        <v>PFES1162732584_0001</v>
      </c>
      <c r="L2211" s="17">
        <v>1</v>
      </c>
      <c r="M2211" s="17">
        <v>18</v>
      </c>
    </row>
    <row r="2212" spans="1:13">
      <c r="A2212" s="6">
        <v>43853</v>
      </c>
      <c r="B2212" s="7">
        <v>0.55486111111111114</v>
      </c>
      <c r="C2212" s="17" t="str">
        <f>"FES1162732737"</f>
        <v>FES1162732737</v>
      </c>
      <c r="D2212" s="17" t="s">
        <v>19</v>
      </c>
      <c r="E2212" s="17" t="s">
        <v>450</v>
      </c>
      <c r="F2212" s="17" t="str">
        <f>"2170725188 "</f>
        <v xml:space="preserve">2170725188 </v>
      </c>
      <c r="G2212" s="17" t="str">
        <f t="shared" si="64"/>
        <v>ON1</v>
      </c>
      <c r="H2212" s="17" t="s">
        <v>21</v>
      </c>
      <c r="I2212" s="17" t="s">
        <v>451</v>
      </c>
      <c r="J2212" s="17" t="str">
        <f>""</f>
        <v/>
      </c>
      <c r="K2212" s="17" t="str">
        <f>"PFES1162732737_0001"</f>
        <v>PFES1162732737_0001</v>
      </c>
      <c r="L2212" s="17">
        <v>1</v>
      </c>
      <c r="M2212" s="17">
        <v>5</v>
      </c>
    </row>
    <row r="2213" spans="1:13">
      <c r="A2213" s="6">
        <v>43853</v>
      </c>
      <c r="B2213" s="7">
        <v>0.55486111111111114</v>
      </c>
      <c r="C2213" s="17" t="str">
        <f>"FES1162732573"</f>
        <v>FES1162732573</v>
      </c>
      <c r="D2213" s="17" t="s">
        <v>19</v>
      </c>
      <c r="E2213" s="17" t="s">
        <v>527</v>
      </c>
      <c r="F2213" s="17" t="str">
        <f>"2170723091 "</f>
        <v xml:space="preserve">2170723091 </v>
      </c>
      <c r="G2213" s="17" t="str">
        <f t="shared" si="64"/>
        <v>ON1</v>
      </c>
      <c r="H2213" s="17" t="s">
        <v>21</v>
      </c>
      <c r="I2213" s="17" t="s">
        <v>528</v>
      </c>
      <c r="J2213" s="17" t="str">
        <f>""</f>
        <v/>
      </c>
      <c r="K2213" s="17" t="str">
        <f>"PFES1162732573_0001"</f>
        <v>PFES1162732573_0001</v>
      </c>
      <c r="L2213" s="17">
        <v>1</v>
      </c>
      <c r="M2213" s="17">
        <v>1</v>
      </c>
    </row>
    <row r="2214" spans="1:13">
      <c r="A2214" s="6">
        <v>43853</v>
      </c>
      <c r="B2214" s="7">
        <v>0.55486111111111114</v>
      </c>
      <c r="C2214" s="17" t="str">
        <f>"FES1162732766"</f>
        <v>FES1162732766</v>
      </c>
      <c r="D2214" s="17" t="s">
        <v>19</v>
      </c>
      <c r="E2214" s="17" t="s">
        <v>302</v>
      </c>
      <c r="F2214" s="17" t="str">
        <f>"2170725232 "</f>
        <v xml:space="preserve">2170725232 </v>
      </c>
      <c r="G2214" s="17" t="str">
        <f t="shared" si="64"/>
        <v>ON1</v>
      </c>
      <c r="H2214" s="17" t="s">
        <v>21</v>
      </c>
      <c r="I2214" s="17" t="s">
        <v>303</v>
      </c>
      <c r="J2214" s="17" t="str">
        <f>""</f>
        <v/>
      </c>
      <c r="K2214" s="17" t="str">
        <f>"PFES1162732766_0001"</f>
        <v>PFES1162732766_0001</v>
      </c>
      <c r="L2214" s="17">
        <v>1</v>
      </c>
      <c r="M2214" s="17">
        <v>15</v>
      </c>
    </row>
    <row r="2215" spans="1:13">
      <c r="A2215" s="6">
        <v>43853</v>
      </c>
      <c r="B2215" s="7">
        <v>0.5541666666666667</v>
      </c>
      <c r="C2215" s="17" t="str">
        <f>"FES1162732733"</f>
        <v>FES1162732733</v>
      </c>
      <c r="D2215" s="17" t="s">
        <v>19</v>
      </c>
      <c r="E2215" s="17" t="s">
        <v>259</v>
      </c>
      <c r="F2215" s="17" t="str">
        <f>"2170725180 "</f>
        <v xml:space="preserve">2170725180 </v>
      </c>
      <c r="G2215" s="17" t="str">
        <f t="shared" si="64"/>
        <v>ON1</v>
      </c>
      <c r="H2215" s="17" t="s">
        <v>21</v>
      </c>
      <c r="I2215" s="17" t="s">
        <v>260</v>
      </c>
      <c r="J2215" s="17" t="str">
        <f>""</f>
        <v/>
      </c>
      <c r="K2215" s="17" t="str">
        <f>"PFES1162732733_0001"</f>
        <v>PFES1162732733_0001</v>
      </c>
      <c r="L2215" s="17">
        <v>1</v>
      </c>
      <c r="M2215" s="17">
        <v>2</v>
      </c>
    </row>
    <row r="2216" spans="1:13">
      <c r="A2216" s="6">
        <v>43853</v>
      </c>
      <c r="B2216" s="7">
        <v>0.5541666666666667</v>
      </c>
      <c r="C2216" s="17" t="str">
        <f>"FES1162732735"</f>
        <v>FES1162732735</v>
      </c>
      <c r="D2216" s="17" t="s">
        <v>19</v>
      </c>
      <c r="E2216" s="17" t="s">
        <v>563</v>
      </c>
      <c r="F2216" s="17" t="str">
        <f>"2170725185 "</f>
        <v xml:space="preserve">2170725185 </v>
      </c>
      <c r="G2216" s="17" t="str">
        <f t="shared" si="64"/>
        <v>ON1</v>
      </c>
      <c r="H2216" s="17" t="s">
        <v>21</v>
      </c>
      <c r="I2216" s="17" t="s">
        <v>564</v>
      </c>
      <c r="J2216" s="17" t="str">
        <f>""</f>
        <v/>
      </c>
      <c r="K2216" s="17" t="str">
        <f>"PFES1162732735_0001"</f>
        <v>PFES1162732735_0001</v>
      </c>
      <c r="L2216" s="17">
        <v>1</v>
      </c>
      <c r="M2216" s="17">
        <v>1</v>
      </c>
    </row>
    <row r="2217" spans="1:13">
      <c r="A2217" s="6">
        <v>43853</v>
      </c>
      <c r="B2217" s="7">
        <v>0.55347222222222225</v>
      </c>
      <c r="C2217" s="17" t="str">
        <f>"FES1162732635"</f>
        <v>FES1162732635</v>
      </c>
      <c r="D2217" s="17" t="s">
        <v>19</v>
      </c>
      <c r="E2217" s="17" t="s">
        <v>134</v>
      </c>
      <c r="F2217" s="17" t="str">
        <f>"2170723667 "</f>
        <v xml:space="preserve">2170723667 </v>
      </c>
      <c r="G2217" s="17" t="str">
        <f t="shared" si="64"/>
        <v>ON1</v>
      </c>
      <c r="H2217" s="17" t="s">
        <v>21</v>
      </c>
      <c r="I2217" s="17" t="s">
        <v>135</v>
      </c>
      <c r="J2217" s="17" t="str">
        <f>""</f>
        <v/>
      </c>
      <c r="K2217" s="17" t="str">
        <f>"PFES1162732635_0001"</f>
        <v>PFES1162732635_0001</v>
      </c>
      <c r="L2217" s="17">
        <v>1</v>
      </c>
      <c r="M2217" s="17">
        <v>4</v>
      </c>
    </row>
    <row r="2218" spans="1:13">
      <c r="A2218" s="6">
        <v>43853</v>
      </c>
      <c r="B2218" s="7">
        <v>0.55347222222222225</v>
      </c>
      <c r="C2218" s="17" t="str">
        <f>"FES1162732528"</f>
        <v>FES1162732528</v>
      </c>
      <c r="D2218" s="17" t="s">
        <v>19</v>
      </c>
      <c r="E2218" s="17" t="s">
        <v>529</v>
      </c>
      <c r="F2218" s="17" t="str">
        <f>"2170722212 "</f>
        <v xml:space="preserve">2170722212 </v>
      </c>
      <c r="G2218" s="17" t="str">
        <f t="shared" si="64"/>
        <v>ON1</v>
      </c>
      <c r="H2218" s="17" t="s">
        <v>21</v>
      </c>
      <c r="I2218" s="17" t="s">
        <v>36</v>
      </c>
      <c r="J2218" s="17" t="str">
        <f>""</f>
        <v/>
      </c>
      <c r="K2218" s="17" t="str">
        <f>"PFES1162732528_0001"</f>
        <v>PFES1162732528_0001</v>
      </c>
      <c r="L2218" s="17">
        <v>2</v>
      </c>
      <c r="M2218" s="17">
        <v>3</v>
      </c>
    </row>
    <row r="2219" spans="1:13">
      <c r="A2219" s="6">
        <v>43853</v>
      </c>
      <c r="B2219" s="7">
        <v>0.55347222222222225</v>
      </c>
      <c r="C2219" s="17" t="str">
        <f>"FES1162732528"</f>
        <v>FES1162732528</v>
      </c>
      <c r="D2219" s="17" t="s">
        <v>19</v>
      </c>
      <c r="E2219" s="17" t="s">
        <v>529</v>
      </c>
      <c r="F2219" s="17" t="str">
        <f>"2170722212 "</f>
        <v xml:space="preserve">2170722212 </v>
      </c>
      <c r="G2219" s="17" t="str">
        <f t="shared" si="64"/>
        <v>ON1</v>
      </c>
      <c r="H2219" s="17" t="s">
        <v>21</v>
      </c>
      <c r="I2219" s="17" t="s">
        <v>36</v>
      </c>
      <c r="J2219" s="17"/>
      <c r="K2219" s="17" t="str">
        <f>"PFES1162732528_0002"</f>
        <v>PFES1162732528_0002</v>
      </c>
      <c r="L2219" s="17">
        <v>2</v>
      </c>
      <c r="M2219" s="17">
        <v>3</v>
      </c>
    </row>
    <row r="2220" spans="1:13">
      <c r="A2220" s="6">
        <v>43853</v>
      </c>
      <c r="B2220" s="7">
        <v>0.55347222222222225</v>
      </c>
      <c r="C2220" s="17" t="str">
        <f>"FES1162732707"</f>
        <v>FES1162732707</v>
      </c>
      <c r="D2220" s="17" t="s">
        <v>19</v>
      </c>
      <c r="E2220" s="17" t="s">
        <v>698</v>
      </c>
      <c r="F2220" s="17" t="str">
        <f>"2170725147 "</f>
        <v xml:space="preserve">2170725147 </v>
      </c>
      <c r="G2220" s="17" t="str">
        <f t="shared" si="64"/>
        <v>ON1</v>
      </c>
      <c r="H2220" s="17" t="s">
        <v>21</v>
      </c>
      <c r="I2220" s="17" t="s">
        <v>699</v>
      </c>
      <c r="J2220" s="17" t="str">
        <f>""</f>
        <v/>
      </c>
      <c r="K2220" s="17" t="str">
        <f>"PFES1162732707_0001"</f>
        <v>PFES1162732707_0001</v>
      </c>
      <c r="L2220" s="17">
        <v>1</v>
      </c>
      <c r="M2220" s="17">
        <v>1</v>
      </c>
    </row>
    <row r="2221" spans="1:13">
      <c r="A2221" s="6">
        <v>43853</v>
      </c>
      <c r="B2221" s="7">
        <v>0.55347222222222225</v>
      </c>
      <c r="C2221" s="17" t="str">
        <f>"FES1162732763"</f>
        <v>FES1162732763</v>
      </c>
      <c r="D2221" s="17" t="s">
        <v>19</v>
      </c>
      <c r="E2221" s="17" t="s">
        <v>310</v>
      </c>
      <c r="F2221" s="17" t="str">
        <f>"2170725229 "</f>
        <v xml:space="preserve">2170725229 </v>
      </c>
      <c r="G2221" s="17" t="str">
        <f t="shared" si="64"/>
        <v>ON1</v>
      </c>
      <c r="H2221" s="17" t="s">
        <v>21</v>
      </c>
      <c r="I2221" s="17" t="s">
        <v>311</v>
      </c>
      <c r="J2221" s="17" t="str">
        <f>""</f>
        <v/>
      </c>
      <c r="K2221" s="17" t="str">
        <f>"PFES1162732763_0001"</f>
        <v>PFES1162732763_0001</v>
      </c>
      <c r="L2221" s="17">
        <v>1</v>
      </c>
      <c r="M2221" s="17">
        <v>1</v>
      </c>
    </row>
    <row r="2222" spans="1:13">
      <c r="A2222" s="6">
        <v>43853</v>
      </c>
      <c r="B2222" s="7">
        <v>0.55277777777777781</v>
      </c>
      <c r="C2222" s="17" t="str">
        <f>"FES1162732651"</f>
        <v>FES1162732651</v>
      </c>
      <c r="D2222" s="17" t="s">
        <v>19</v>
      </c>
      <c r="E2222" s="17" t="s">
        <v>244</v>
      </c>
      <c r="F2222" s="17" t="str">
        <f>"2170723800 "</f>
        <v xml:space="preserve">2170723800 </v>
      </c>
      <c r="G2222" s="17" t="str">
        <f t="shared" si="64"/>
        <v>ON1</v>
      </c>
      <c r="H2222" s="17" t="s">
        <v>21</v>
      </c>
      <c r="I2222" s="17" t="s">
        <v>36</v>
      </c>
      <c r="J2222" s="17" t="str">
        <f>""</f>
        <v/>
      </c>
      <c r="K2222" s="17" t="str">
        <f>"PFES1162732651_0001"</f>
        <v>PFES1162732651_0001</v>
      </c>
      <c r="L2222" s="17">
        <v>1</v>
      </c>
      <c r="M2222" s="17">
        <v>7</v>
      </c>
    </row>
    <row r="2223" spans="1:13">
      <c r="A2223" s="6">
        <v>43853</v>
      </c>
      <c r="B2223" s="7">
        <v>0.55277777777777781</v>
      </c>
      <c r="C2223" s="17" t="str">
        <f>"FES1162732510"</f>
        <v>FES1162732510</v>
      </c>
      <c r="D2223" s="17" t="s">
        <v>19</v>
      </c>
      <c r="E2223" s="17" t="s">
        <v>160</v>
      </c>
      <c r="F2223" s="17" t="str">
        <f>"2170724772 "</f>
        <v xml:space="preserve">2170724772 </v>
      </c>
      <c r="G2223" s="17" t="str">
        <f t="shared" si="64"/>
        <v>ON1</v>
      </c>
      <c r="H2223" s="17" t="s">
        <v>21</v>
      </c>
      <c r="I2223" s="17" t="s">
        <v>161</v>
      </c>
      <c r="J2223" s="17" t="str">
        <f>""</f>
        <v/>
      </c>
      <c r="K2223" s="17" t="str">
        <f>"PFES1162732510_0001"</f>
        <v>PFES1162732510_0001</v>
      </c>
      <c r="L2223" s="17">
        <v>1</v>
      </c>
      <c r="M2223" s="17">
        <v>1</v>
      </c>
    </row>
    <row r="2224" spans="1:13">
      <c r="A2224" s="6">
        <v>43853</v>
      </c>
      <c r="B2224" s="7">
        <v>0.55277777777777781</v>
      </c>
      <c r="C2224" s="17" t="str">
        <f>"FES1162732568"</f>
        <v>FES1162732568</v>
      </c>
      <c r="D2224" s="17" t="s">
        <v>19</v>
      </c>
      <c r="E2224" s="17" t="s">
        <v>37</v>
      </c>
      <c r="F2224" s="17" t="str">
        <f>"2170725051 "</f>
        <v xml:space="preserve">2170725051 </v>
      </c>
      <c r="G2224" s="17" t="str">
        <f t="shared" si="64"/>
        <v>ON1</v>
      </c>
      <c r="H2224" s="17" t="s">
        <v>21</v>
      </c>
      <c r="I2224" s="17" t="s">
        <v>38</v>
      </c>
      <c r="J2224" s="17" t="str">
        <f>""</f>
        <v/>
      </c>
      <c r="K2224" s="17" t="str">
        <f>"PFES1162732568_0001"</f>
        <v>PFES1162732568_0001</v>
      </c>
      <c r="L2224" s="17">
        <v>1</v>
      </c>
      <c r="M2224" s="17">
        <v>1</v>
      </c>
    </row>
    <row r="2225" spans="1:13">
      <c r="A2225" s="6">
        <v>43853</v>
      </c>
      <c r="B2225" s="7">
        <v>0.55208333333333337</v>
      </c>
      <c r="C2225" s="17" t="str">
        <f>"FES1162732541"</f>
        <v>FES1162732541</v>
      </c>
      <c r="D2225" s="17" t="s">
        <v>19</v>
      </c>
      <c r="E2225" s="17" t="s">
        <v>46</v>
      </c>
      <c r="F2225" s="17" t="str">
        <f>"2170720764 "</f>
        <v xml:space="preserve">2170720764 </v>
      </c>
      <c r="G2225" s="17" t="str">
        <f t="shared" si="64"/>
        <v>ON1</v>
      </c>
      <c r="H2225" s="17" t="s">
        <v>21</v>
      </c>
      <c r="I2225" s="17" t="s">
        <v>47</v>
      </c>
      <c r="J2225" s="17" t="str">
        <f>""</f>
        <v/>
      </c>
      <c r="K2225" s="17" t="str">
        <f>"PFES1162732541_0001"</f>
        <v>PFES1162732541_0001</v>
      </c>
      <c r="L2225" s="17">
        <v>1</v>
      </c>
      <c r="M2225" s="17">
        <v>1</v>
      </c>
    </row>
    <row r="2226" spans="1:13">
      <c r="A2226" s="6">
        <v>43853</v>
      </c>
      <c r="B2226" s="7">
        <v>0.55208333333333337</v>
      </c>
      <c r="C2226" s="17" t="str">
        <f>"FES1162732692"</f>
        <v>FES1162732692</v>
      </c>
      <c r="D2226" s="17" t="s">
        <v>19</v>
      </c>
      <c r="E2226" s="17" t="s">
        <v>171</v>
      </c>
      <c r="F2226" s="17" t="str">
        <f>"2170725130 "</f>
        <v xml:space="preserve">2170725130 </v>
      </c>
      <c r="G2226" s="17" t="str">
        <f t="shared" si="64"/>
        <v>ON1</v>
      </c>
      <c r="H2226" s="17" t="s">
        <v>21</v>
      </c>
      <c r="I2226" s="17" t="s">
        <v>47</v>
      </c>
      <c r="J2226" s="17" t="str">
        <f>""</f>
        <v/>
      </c>
      <c r="K2226" s="17" t="str">
        <f>"PFES1162732692_0001"</f>
        <v>PFES1162732692_0001</v>
      </c>
      <c r="L2226" s="17">
        <v>1</v>
      </c>
      <c r="M2226" s="17">
        <v>1</v>
      </c>
    </row>
    <row r="2227" spans="1:13">
      <c r="A2227" s="6">
        <v>43853</v>
      </c>
      <c r="B2227" s="7">
        <v>0.55208333333333337</v>
      </c>
      <c r="C2227" s="17" t="str">
        <f>"FES1162732738"</f>
        <v>FES1162732738</v>
      </c>
      <c r="D2227" s="17" t="s">
        <v>19</v>
      </c>
      <c r="E2227" s="17" t="s">
        <v>611</v>
      </c>
      <c r="F2227" s="17" t="str">
        <f>"2170725187 "</f>
        <v xml:space="preserve">2170725187 </v>
      </c>
      <c r="G2227" s="17" t="str">
        <f t="shared" si="64"/>
        <v>ON1</v>
      </c>
      <c r="H2227" s="17" t="s">
        <v>21</v>
      </c>
      <c r="I2227" s="17" t="s">
        <v>36</v>
      </c>
      <c r="J2227" s="17" t="str">
        <f>""</f>
        <v/>
      </c>
      <c r="K2227" s="17" t="str">
        <f>"PFES1162732738_0001"</f>
        <v>PFES1162732738_0001</v>
      </c>
      <c r="L2227" s="17">
        <v>1</v>
      </c>
      <c r="M2227" s="17">
        <v>4</v>
      </c>
    </row>
    <row r="2228" spans="1:13">
      <c r="A2228" s="6">
        <v>43853</v>
      </c>
      <c r="B2228" s="7">
        <v>0.55138888888888882</v>
      </c>
      <c r="C2228" s="17" t="str">
        <f>"FES1162732608"</f>
        <v>FES1162732608</v>
      </c>
      <c r="D2228" s="17" t="s">
        <v>19</v>
      </c>
      <c r="E2228" s="17" t="s">
        <v>105</v>
      </c>
      <c r="F2228" s="17" t="str">
        <f>"2170723417 "</f>
        <v xml:space="preserve">2170723417 </v>
      </c>
      <c r="G2228" s="17" t="str">
        <f t="shared" si="64"/>
        <v>ON1</v>
      </c>
      <c r="H2228" s="17" t="s">
        <v>21</v>
      </c>
      <c r="I2228" s="17" t="s">
        <v>106</v>
      </c>
      <c r="J2228" s="17" t="str">
        <f>""</f>
        <v/>
      </c>
      <c r="K2228" s="17" t="str">
        <f>"PFES1162732608_0001"</f>
        <v>PFES1162732608_0001</v>
      </c>
      <c r="L2228" s="17">
        <v>1</v>
      </c>
      <c r="M2228" s="17">
        <v>1</v>
      </c>
    </row>
    <row r="2229" spans="1:13">
      <c r="A2229" s="6">
        <v>43853</v>
      </c>
      <c r="B2229" s="7">
        <v>0.55138888888888882</v>
      </c>
      <c r="C2229" s="17" t="str">
        <f>"FES1162732668"</f>
        <v>FES1162732668</v>
      </c>
      <c r="D2229" s="17" t="s">
        <v>19</v>
      </c>
      <c r="E2229" s="17" t="s">
        <v>398</v>
      </c>
      <c r="F2229" s="17" t="str">
        <f>"2170724593 "</f>
        <v xml:space="preserve">2170724593 </v>
      </c>
      <c r="G2229" s="17" t="str">
        <f t="shared" si="64"/>
        <v>ON1</v>
      </c>
      <c r="H2229" s="17" t="s">
        <v>21</v>
      </c>
      <c r="I2229" s="17" t="s">
        <v>399</v>
      </c>
      <c r="J2229" s="17" t="str">
        <f>""</f>
        <v/>
      </c>
      <c r="K2229" s="17" t="str">
        <f>"PFES1162732668_0001"</f>
        <v>PFES1162732668_0001</v>
      </c>
      <c r="L2229" s="17">
        <v>1</v>
      </c>
      <c r="M2229" s="17">
        <v>2</v>
      </c>
    </row>
    <row r="2230" spans="1:13">
      <c r="A2230" s="6">
        <v>43853</v>
      </c>
      <c r="B2230" s="7">
        <v>0.55138888888888882</v>
      </c>
      <c r="C2230" s="17" t="str">
        <f>"FES1162732717"</f>
        <v>FES1162732717</v>
      </c>
      <c r="D2230" s="17" t="s">
        <v>19</v>
      </c>
      <c r="E2230" s="17" t="s">
        <v>160</v>
      </c>
      <c r="F2230" s="17" t="str">
        <f>"2170725159 "</f>
        <v xml:space="preserve">2170725159 </v>
      </c>
      <c r="G2230" s="17" t="str">
        <f t="shared" si="64"/>
        <v>ON1</v>
      </c>
      <c r="H2230" s="17" t="s">
        <v>21</v>
      </c>
      <c r="I2230" s="17" t="s">
        <v>161</v>
      </c>
      <c r="J2230" s="17" t="str">
        <f>""</f>
        <v/>
      </c>
      <c r="K2230" s="17" t="str">
        <f>"PFES1162732717_0001"</f>
        <v>PFES1162732717_0001</v>
      </c>
      <c r="L2230" s="17">
        <v>1</v>
      </c>
      <c r="M2230" s="17">
        <v>1</v>
      </c>
    </row>
    <row r="2231" spans="1:13">
      <c r="A2231" s="6">
        <v>43853</v>
      </c>
      <c r="B2231" s="7">
        <v>0.55138888888888882</v>
      </c>
      <c r="C2231" s="17" t="str">
        <f>"FES1162732681"</f>
        <v>FES1162732681</v>
      </c>
      <c r="D2231" s="17" t="s">
        <v>19</v>
      </c>
      <c r="E2231" s="17" t="s">
        <v>72</v>
      </c>
      <c r="F2231" s="17" t="str">
        <f>"2170725115 "</f>
        <v xml:space="preserve">2170725115 </v>
      </c>
      <c r="G2231" s="17" t="str">
        <f t="shared" si="64"/>
        <v>ON1</v>
      </c>
      <c r="H2231" s="17" t="s">
        <v>21</v>
      </c>
      <c r="I2231" s="17" t="s">
        <v>73</v>
      </c>
      <c r="J2231" s="17" t="str">
        <f>""</f>
        <v/>
      </c>
      <c r="K2231" s="17" t="str">
        <f>"PFES1162732681_0001"</f>
        <v>PFES1162732681_0001</v>
      </c>
      <c r="L2231" s="17">
        <v>1</v>
      </c>
      <c r="M2231" s="17">
        <v>1</v>
      </c>
    </row>
    <row r="2232" spans="1:13">
      <c r="A2232" s="6">
        <v>43853</v>
      </c>
      <c r="B2232" s="7">
        <v>0.55069444444444449</v>
      </c>
      <c r="C2232" s="17" t="str">
        <f>"FES1162732652"</f>
        <v>FES1162732652</v>
      </c>
      <c r="D2232" s="17" t="s">
        <v>19</v>
      </c>
      <c r="E2232" s="17" t="s">
        <v>232</v>
      </c>
      <c r="F2232" s="17" t="str">
        <f>"2170723807 "</f>
        <v xml:space="preserve">2170723807 </v>
      </c>
      <c r="G2232" s="17" t="str">
        <f t="shared" si="64"/>
        <v>ON1</v>
      </c>
      <c r="H2232" s="17" t="s">
        <v>21</v>
      </c>
      <c r="I2232" s="17" t="s">
        <v>247</v>
      </c>
      <c r="J2232" s="17" t="str">
        <f>""</f>
        <v/>
      </c>
      <c r="K2232" s="17" t="str">
        <f>"PFES1162732652_0001"</f>
        <v>PFES1162732652_0001</v>
      </c>
      <c r="L2232" s="17">
        <v>1</v>
      </c>
      <c r="M2232" s="17">
        <v>4</v>
      </c>
    </row>
    <row r="2233" spans="1:13">
      <c r="A2233" s="6">
        <v>43853</v>
      </c>
      <c r="B2233" s="7">
        <v>0.55069444444444449</v>
      </c>
      <c r="C2233" s="17" t="str">
        <f>"FES1162732653"</f>
        <v>FES1162732653</v>
      </c>
      <c r="D2233" s="17" t="s">
        <v>19</v>
      </c>
      <c r="E2233" s="17" t="s">
        <v>684</v>
      </c>
      <c r="F2233" s="17" t="str">
        <f>"2170723814 "</f>
        <v xml:space="preserve">2170723814 </v>
      </c>
      <c r="G2233" s="17" t="str">
        <f t="shared" si="64"/>
        <v>ON1</v>
      </c>
      <c r="H2233" s="17" t="s">
        <v>21</v>
      </c>
      <c r="I2233" s="17" t="s">
        <v>685</v>
      </c>
      <c r="J2233" s="17" t="str">
        <f>""</f>
        <v/>
      </c>
      <c r="K2233" s="17" t="str">
        <f>"PFES1162732653_0001"</f>
        <v>PFES1162732653_0001</v>
      </c>
      <c r="L2233" s="17">
        <v>1</v>
      </c>
      <c r="M2233" s="17">
        <v>1</v>
      </c>
    </row>
    <row r="2234" spans="1:13">
      <c r="A2234" s="6">
        <v>43853</v>
      </c>
      <c r="B2234" s="7">
        <v>0.54999999999999993</v>
      </c>
      <c r="C2234" s="17" t="str">
        <f>"FES1162732628"</f>
        <v>FES1162732628</v>
      </c>
      <c r="D2234" s="17" t="s">
        <v>19</v>
      </c>
      <c r="E2234" s="17" t="s">
        <v>680</v>
      </c>
      <c r="F2234" s="17" t="str">
        <f>"2170723590 "</f>
        <v xml:space="preserve">2170723590 </v>
      </c>
      <c r="G2234" s="17" t="str">
        <f t="shared" si="64"/>
        <v>ON1</v>
      </c>
      <c r="H2234" s="17" t="s">
        <v>21</v>
      </c>
      <c r="I2234" s="17" t="s">
        <v>681</v>
      </c>
      <c r="J2234" s="17" t="str">
        <f>""</f>
        <v/>
      </c>
      <c r="K2234" s="17" t="str">
        <f>"PFES1162732628_0001"</f>
        <v>PFES1162732628_0001</v>
      </c>
      <c r="L2234" s="17">
        <v>1</v>
      </c>
      <c r="M2234" s="17">
        <v>3</v>
      </c>
    </row>
    <row r="2235" spans="1:13">
      <c r="A2235" s="6">
        <v>43853</v>
      </c>
      <c r="B2235" s="7">
        <v>0.5493055555555556</v>
      </c>
      <c r="C2235" s="17" t="str">
        <f>"FES1162732621"</f>
        <v>FES1162732621</v>
      </c>
      <c r="D2235" s="17" t="s">
        <v>19</v>
      </c>
      <c r="E2235" s="17" t="s">
        <v>261</v>
      </c>
      <c r="F2235" s="17" t="str">
        <f>"2170723557 "</f>
        <v xml:space="preserve">2170723557 </v>
      </c>
      <c r="G2235" s="17" t="str">
        <f t="shared" si="64"/>
        <v>ON1</v>
      </c>
      <c r="H2235" s="17" t="s">
        <v>21</v>
      </c>
      <c r="I2235" s="17" t="s">
        <v>152</v>
      </c>
      <c r="J2235" s="17" t="str">
        <f>""</f>
        <v/>
      </c>
      <c r="K2235" s="17" t="str">
        <f>"PFES1162732621_0001"</f>
        <v>PFES1162732621_0001</v>
      </c>
      <c r="L2235" s="17">
        <v>1</v>
      </c>
      <c r="M2235" s="17">
        <v>1</v>
      </c>
    </row>
    <row r="2236" spans="1:13">
      <c r="A2236" s="6">
        <v>43853</v>
      </c>
      <c r="B2236" s="7">
        <v>0.5493055555555556</v>
      </c>
      <c r="C2236" s="17" t="str">
        <f>"FES1162732650"</f>
        <v>FES1162732650</v>
      </c>
      <c r="D2236" s="17" t="s">
        <v>19</v>
      </c>
      <c r="E2236" s="17" t="s">
        <v>908</v>
      </c>
      <c r="F2236" s="17" t="str">
        <f>"21707253785 "</f>
        <v xml:space="preserve">21707253785 </v>
      </c>
      <c r="G2236" s="17" t="str">
        <f t="shared" si="64"/>
        <v>ON1</v>
      </c>
      <c r="H2236" s="17" t="s">
        <v>21</v>
      </c>
      <c r="I2236" s="17" t="s">
        <v>38</v>
      </c>
      <c r="J2236" s="17" t="str">
        <f>""</f>
        <v/>
      </c>
      <c r="K2236" s="17" t="str">
        <f>"PFES1162732650_0001"</f>
        <v>PFES1162732650_0001</v>
      </c>
      <c r="L2236" s="17">
        <v>1</v>
      </c>
      <c r="M2236" s="17">
        <v>1</v>
      </c>
    </row>
    <row r="2237" spans="1:13">
      <c r="A2237" s="6">
        <v>43853</v>
      </c>
      <c r="B2237" s="7">
        <v>0.54791666666666672</v>
      </c>
      <c r="C2237" s="17" t="str">
        <f>"FES1162732579"</f>
        <v>FES1162732579</v>
      </c>
      <c r="D2237" s="17" t="s">
        <v>19</v>
      </c>
      <c r="E2237" s="17" t="s">
        <v>151</v>
      </c>
      <c r="F2237" s="17" t="str">
        <f>"2170723139 "</f>
        <v xml:space="preserve">2170723139 </v>
      </c>
      <c r="G2237" s="17" t="str">
        <f t="shared" si="64"/>
        <v>ON1</v>
      </c>
      <c r="H2237" s="17" t="s">
        <v>21</v>
      </c>
      <c r="I2237" s="17" t="s">
        <v>152</v>
      </c>
      <c r="J2237" s="17" t="str">
        <f>""</f>
        <v/>
      </c>
      <c r="K2237" s="17" t="str">
        <f>"PFES1162732579_0001"</f>
        <v>PFES1162732579_0001</v>
      </c>
      <c r="L2237" s="17">
        <v>1</v>
      </c>
      <c r="M2237" s="17">
        <v>1</v>
      </c>
    </row>
    <row r="2238" spans="1:13">
      <c r="A2238" s="6">
        <v>43853</v>
      </c>
      <c r="B2238" s="7">
        <v>0.54722222222222217</v>
      </c>
      <c r="C2238" s="17" t="str">
        <f>"FES1162732695"</f>
        <v>FES1162732695</v>
      </c>
      <c r="D2238" s="17" t="s">
        <v>19</v>
      </c>
      <c r="E2238" s="17" t="s">
        <v>324</v>
      </c>
      <c r="F2238" s="17" t="str">
        <f>"2170725133 "</f>
        <v xml:space="preserve">2170725133 </v>
      </c>
      <c r="G2238" s="17" t="str">
        <f t="shared" si="64"/>
        <v>ON1</v>
      </c>
      <c r="H2238" s="17" t="s">
        <v>21</v>
      </c>
      <c r="I2238" s="17" t="s">
        <v>325</v>
      </c>
      <c r="J2238" s="17" t="str">
        <f>""</f>
        <v/>
      </c>
      <c r="K2238" s="17" t="str">
        <f>"PFES1162732695_0001"</f>
        <v>PFES1162732695_0001</v>
      </c>
      <c r="L2238" s="17">
        <v>1</v>
      </c>
      <c r="M2238" s="17">
        <v>1</v>
      </c>
    </row>
    <row r="2239" spans="1:13">
      <c r="A2239" s="6">
        <v>43853</v>
      </c>
      <c r="B2239" s="7">
        <v>0.54722222222222217</v>
      </c>
      <c r="C2239" s="17" t="str">
        <f>"FES1162732606"</f>
        <v>FES1162732606</v>
      </c>
      <c r="D2239" s="17" t="s">
        <v>19</v>
      </c>
      <c r="E2239" s="17" t="s">
        <v>258</v>
      </c>
      <c r="F2239" s="17" t="str">
        <f>"2170723412 "</f>
        <v xml:space="preserve">2170723412 </v>
      </c>
      <c r="G2239" s="17" t="str">
        <f t="shared" si="64"/>
        <v>ON1</v>
      </c>
      <c r="H2239" s="17" t="s">
        <v>21</v>
      </c>
      <c r="I2239" s="17" t="s">
        <v>45</v>
      </c>
      <c r="J2239" s="17" t="str">
        <f>""</f>
        <v/>
      </c>
      <c r="K2239" s="17" t="str">
        <f>"PFES1162732606_0001"</f>
        <v>PFES1162732606_0001</v>
      </c>
      <c r="L2239" s="17">
        <v>1</v>
      </c>
      <c r="M2239" s="17">
        <v>1</v>
      </c>
    </row>
    <row r="2240" spans="1:13">
      <c r="A2240" s="6">
        <v>43853</v>
      </c>
      <c r="B2240" s="7">
        <v>0.54652777777777783</v>
      </c>
      <c r="C2240" s="17" t="str">
        <f>"FES1162732702"</f>
        <v>FES1162732702</v>
      </c>
      <c r="D2240" s="17" t="s">
        <v>19</v>
      </c>
      <c r="E2240" s="17" t="s">
        <v>611</v>
      </c>
      <c r="F2240" s="17" t="str">
        <f>"2170725143 "</f>
        <v xml:space="preserve">2170725143 </v>
      </c>
      <c r="G2240" s="17" t="str">
        <f t="shared" ref="G2240:G2266" si="65">"ON1"</f>
        <v>ON1</v>
      </c>
      <c r="H2240" s="17" t="s">
        <v>21</v>
      </c>
      <c r="I2240" s="17" t="s">
        <v>36</v>
      </c>
      <c r="J2240" s="17" t="str">
        <f>""</f>
        <v/>
      </c>
      <c r="K2240" s="17" t="str">
        <f>"PFES1162732702_0001"</f>
        <v>PFES1162732702_0001</v>
      </c>
      <c r="L2240" s="17">
        <v>1</v>
      </c>
      <c r="M2240" s="17">
        <v>1</v>
      </c>
    </row>
    <row r="2241" spans="1:13">
      <c r="A2241" s="6">
        <v>43853</v>
      </c>
      <c r="B2241" s="7">
        <v>0.54583333333333328</v>
      </c>
      <c r="C2241" s="17" t="str">
        <f>"FES1162732592"</f>
        <v>FES1162732592</v>
      </c>
      <c r="D2241" s="17" t="s">
        <v>19</v>
      </c>
      <c r="E2241" s="17" t="s">
        <v>261</v>
      </c>
      <c r="F2241" s="17" t="str">
        <f>"2170723286 "</f>
        <v xml:space="preserve">2170723286 </v>
      </c>
      <c r="G2241" s="17" t="str">
        <f t="shared" si="65"/>
        <v>ON1</v>
      </c>
      <c r="H2241" s="17" t="s">
        <v>21</v>
      </c>
      <c r="I2241" s="17" t="s">
        <v>152</v>
      </c>
      <c r="J2241" s="17" t="str">
        <f>""</f>
        <v/>
      </c>
      <c r="K2241" s="17" t="str">
        <f>"PFES1162732592_0001"</f>
        <v>PFES1162732592_0001</v>
      </c>
      <c r="L2241" s="17">
        <v>1</v>
      </c>
      <c r="M2241" s="17">
        <v>1</v>
      </c>
    </row>
    <row r="2242" spans="1:13">
      <c r="A2242" s="6">
        <v>43853</v>
      </c>
      <c r="B2242" s="7">
        <v>0.54513888888888895</v>
      </c>
      <c r="C2242" s="17" t="str">
        <f>"FES1162732739"</f>
        <v>FES1162732739</v>
      </c>
      <c r="D2242" s="17" t="s">
        <v>19</v>
      </c>
      <c r="E2242" s="17" t="s">
        <v>254</v>
      </c>
      <c r="F2242" s="17" t="str">
        <f>"2170725190 "</f>
        <v xml:space="preserve">2170725190 </v>
      </c>
      <c r="G2242" s="17" t="str">
        <f t="shared" si="65"/>
        <v>ON1</v>
      </c>
      <c r="H2242" s="17" t="s">
        <v>21</v>
      </c>
      <c r="I2242" s="17" t="s">
        <v>255</v>
      </c>
      <c r="J2242" s="17" t="str">
        <f>""</f>
        <v/>
      </c>
      <c r="K2242" s="17" t="str">
        <f>"PFES1162732739_0001"</f>
        <v>PFES1162732739_0001</v>
      </c>
      <c r="L2242" s="17">
        <v>1</v>
      </c>
      <c r="M2242" s="17">
        <v>1</v>
      </c>
    </row>
    <row r="2243" spans="1:13">
      <c r="A2243" s="6">
        <v>43853</v>
      </c>
      <c r="B2243" s="7">
        <v>0.5444444444444444</v>
      </c>
      <c r="C2243" s="17" t="str">
        <f>"FES1162732741"</f>
        <v>FES1162732741</v>
      </c>
      <c r="D2243" s="17" t="s">
        <v>19</v>
      </c>
      <c r="E2243" s="17" t="s">
        <v>324</v>
      </c>
      <c r="F2243" s="17" t="str">
        <f>"2170725193 "</f>
        <v xml:space="preserve">2170725193 </v>
      </c>
      <c r="G2243" s="17" t="str">
        <f t="shared" si="65"/>
        <v>ON1</v>
      </c>
      <c r="H2243" s="17" t="s">
        <v>21</v>
      </c>
      <c r="I2243" s="17" t="s">
        <v>325</v>
      </c>
      <c r="J2243" s="17" t="str">
        <f>""</f>
        <v/>
      </c>
      <c r="K2243" s="17" t="str">
        <f>"PFES1162732741_0001"</f>
        <v>PFES1162732741_0001</v>
      </c>
      <c r="L2243" s="17">
        <v>1</v>
      </c>
      <c r="M2243" s="17">
        <v>1</v>
      </c>
    </row>
    <row r="2244" spans="1:13">
      <c r="A2244" s="6">
        <v>43853</v>
      </c>
      <c r="B2244" s="7">
        <v>0.54375000000000007</v>
      </c>
      <c r="C2244" s="17" t="str">
        <f>"FES1162732751"</f>
        <v>FES1162732751</v>
      </c>
      <c r="D2244" s="17" t="s">
        <v>19</v>
      </c>
      <c r="E2244" s="17" t="s">
        <v>588</v>
      </c>
      <c r="F2244" s="17" t="str">
        <f>"2170725206 "</f>
        <v xml:space="preserve">2170725206 </v>
      </c>
      <c r="G2244" s="17" t="str">
        <f t="shared" si="65"/>
        <v>ON1</v>
      </c>
      <c r="H2244" s="17" t="s">
        <v>21</v>
      </c>
      <c r="I2244" s="17" t="s">
        <v>408</v>
      </c>
      <c r="J2244" s="17" t="str">
        <f>""</f>
        <v/>
      </c>
      <c r="K2244" s="17" t="str">
        <f>"PFES1162732751_0001"</f>
        <v>PFES1162732751_0001</v>
      </c>
      <c r="L2244" s="17">
        <v>1</v>
      </c>
      <c r="M2244" s="17">
        <v>1</v>
      </c>
    </row>
    <row r="2245" spans="1:13">
      <c r="A2245" s="6">
        <v>43853</v>
      </c>
      <c r="B2245" s="7">
        <v>0.54305555555555551</v>
      </c>
      <c r="C2245" s="17" t="str">
        <f>"FES1162732758"</f>
        <v>FES1162732758</v>
      </c>
      <c r="D2245" s="17" t="s">
        <v>19</v>
      </c>
      <c r="E2245" s="17" t="s">
        <v>151</v>
      </c>
      <c r="F2245" s="17" t="str">
        <f>"2170725221 "</f>
        <v xml:space="preserve">2170725221 </v>
      </c>
      <c r="G2245" s="17" t="str">
        <f t="shared" si="65"/>
        <v>ON1</v>
      </c>
      <c r="H2245" s="17" t="s">
        <v>21</v>
      </c>
      <c r="I2245" s="17" t="s">
        <v>152</v>
      </c>
      <c r="J2245" s="17" t="str">
        <f>""</f>
        <v/>
      </c>
      <c r="K2245" s="17" t="str">
        <f>"PFES1162732758_0001"</f>
        <v>PFES1162732758_0001</v>
      </c>
      <c r="L2245" s="17">
        <v>1</v>
      </c>
      <c r="M2245" s="17">
        <v>1</v>
      </c>
    </row>
    <row r="2246" spans="1:13">
      <c r="A2246" s="6">
        <v>43853</v>
      </c>
      <c r="B2246" s="7">
        <v>0.51666666666666672</v>
      </c>
      <c r="C2246" s="17" t="str">
        <f>"FES1162732534"</f>
        <v>FES1162732534</v>
      </c>
      <c r="D2246" s="17" t="s">
        <v>19</v>
      </c>
      <c r="E2246" s="17" t="s">
        <v>491</v>
      </c>
      <c r="F2246" s="17" t="str">
        <f>"2170723215 "</f>
        <v xml:space="preserve">2170723215 </v>
      </c>
      <c r="G2246" s="17" t="str">
        <f t="shared" si="65"/>
        <v>ON1</v>
      </c>
      <c r="H2246" s="17" t="s">
        <v>21</v>
      </c>
      <c r="I2246" s="17" t="s">
        <v>47</v>
      </c>
      <c r="J2246" s="17" t="str">
        <f>""</f>
        <v/>
      </c>
      <c r="K2246" s="17" t="str">
        <f>"PFES1162732534_0001"</f>
        <v>PFES1162732534_0001</v>
      </c>
      <c r="L2246" s="17">
        <v>1</v>
      </c>
      <c r="M2246" s="17">
        <v>2</v>
      </c>
    </row>
    <row r="2247" spans="1:13">
      <c r="A2247" s="6">
        <v>43853</v>
      </c>
      <c r="B2247" s="7">
        <v>0.51666666666666672</v>
      </c>
      <c r="C2247" s="17" t="str">
        <f>"FES1162732625"</f>
        <v>FES1162732625</v>
      </c>
      <c r="D2247" s="17" t="s">
        <v>19</v>
      </c>
      <c r="E2247" s="17" t="s">
        <v>54</v>
      </c>
      <c r="F2247" s="17" t="str">
        <f>"2170725377 "</f>
        <v xml:space="preserve">2170725377 </v>
      </c>
      <c r="G2247" s="17" t="str">
        <f t="shared" si="65"/>
        <v>ON1</v>
      </c>
      <c r="H2247" s="17" t="s">
        <v>21</v>
      </c>
      <c r="I2247" s="17" t="s">
        <v>31</v>
      </c>
      <c r="J2247" s="17" t="str">
        <f>""</f>
        <v/>
      </c>
      <c r="K2247" s="17" t="str">
        <f>"PFES1162732625_0001"</f>
        <v>PFES1162732625_0001</v>
      </c>
      <c r="L2247" s="17">
        <v>1</v>
      </c>
      <c r="M2247" s="17">
        <v>2</v>
      </c>
    </row>
    <row r="2248" spans="1:13">
      <c r="A2248" s="6">
        <v>43853</v>
      </c>
      <c r="B2248" s="7">
        <v>0.51597222222222217</v>
      </c>
      <c r="C2248" s="17" t="str">
        <f>"FES1162732686"</f>
        <v>FES1162732686</v>
      </c>
      <c r="D2248" s="17" t="s">
        <v>19</v>
      </c>
      <c r="E2248" s="17" t="s">
        <v>909</v>
      </c>
      <c r="F2248" s="17" t="str">
        <f>"2170725122 "</f>
        <v xml:space="preserve">2170725122 </v>
      </c>
      <c r="G2248" s="17" t="str">
        <f t="shared" si="65"/>
        <v>ON1</v>
      </c>
      <c r="H2248" s="17" t="s">
        <v>21</v>
      </c>
      <c r="I2248" s="17" t="s">
        <v>24</v>
      </c>
      <c r="J2248" s="17" t="str">
        <f>""</f>
        <v/>
      </c>
      <c r="K2248" s="17" t="str">
        <f>"PFES1162732686_0001"</f>
        <v>PFES1162732686_0001</v>
      </c>
      <c r="L2248" s="17">
        <v>1</v>
      </c>
      <c r="M2248" s="17">
        <v>1</v>
      </c>
    </row>
    <row r="2249" spans="1:13">
      <c r="A2249" s="6">
        <v>43853</v>
      </c>
      <c r="B2249" s="7">
        <v>0.51597222222222217</v>
      </c>
      <c r="C2249" s="17" t="str">
        <f>"FES1162732538"</f>
        <v>FES1162732538</v>
      </c>
      <c r="D2249" s="17" t="s">
        <v>19</v>
      </c>
      <c r="E2249" s="17" t="s">
        <v>437</v>
      </c>
      <c r="F2249" s="17" t="str">
        <f>"2170719834 "</f>
        <v xml:space="preserve">2170719834 </v>
      </c>
      <c r="G2249" s="17" t="str">
        <f t="shared" si="65"/>
        <v>ON1</v>
      </c>
      <c r="H2249" s="17" t="s">
        <v>21</v>
      </c>
      <c r="I2249" s="17" t="s">
        <v>438</v>
      </c>
      <c r="J2249" s="17" t="str">
        <f>""</f>
        <v/>
      </c>
      <c r="K2249" s="17" t="str">
        <f>"PFES1162732538_0001"</f>
        <v>PFES1162732538_0001</v>
      </c>
      <c r="L2249" s="17">
        <v>1</v>
      </c>
      <c r="M2249" s="17">
        <v>1</v>
      </c>
    </row>
    <row r="2250" spans="1:13">
      <c r="A2250" s="6">
        <v>43853</v>
      </c>
      <c r="B2250" s="7">
        <v>0.51527777777777783</v>
      </c>
      <c r="C2250" s="17" t="str">
        <f>"FES1162732701"</f>
        <v>FES1162732701</v>
      </c>
      <c r="D2250" s="17" t="s">
        <v>19</v>
      </c>
      <c r="E2250" s="17" t="s">
        <v>298</v>
      </c>
      <c r="F2250" s="17" t="str">
        <f>"2170725141 "</f>
        <v xml:space="preserve">2170725141 </v>
      </c>
      <c r="G2250" s="17" t="str">
        <f t="shared" si="65"/>
        <v>ON1</v>
      </c>
      <c r="H2250" s="17" t="s">
        <v>21</v>
      </c>
      <c r="I2250" s="17" t="s">
        <v>299</v>
      </c>
      <c r="J2250" s="17" t="str">
        <f>""</f>
        <v/>
      </c>
      <c r="K2250" s="17" t="str">
        <f>"PFES1162732701_0001"</f>
        <v>PFES1162732701_0001</v>
      </c>
      <c r="L2250" s="17">
        <v>1</v>
      </c>
      <c r="M2250" s="17">
        <v>2</v>
      </c>
    </row>
    <row r="2251" spans="1:13">
      <c r="A2251" s="6">
        <v>43853</v>
      </c>
      <c r="B2251" s="7">
        <v>0.51388888888888895</v>
      </c>
      <c r="C2251" s="17" t="str">
        <f>"FES1162732685"</f>
        <v>FES1162732685</v>
      </c>
      <c r="D2251" s="17" t="s">
        <v>19</v>
      </c>
      <c r="E2251" s="17" t="s">
        <v>909</v>
      </c>
      <c r="F2251" s="17" t="str">
        <f>"2170725121 "</f>
        <v xml:space="preserve">2170725121 </v>
      </c>
      <c r="G2251" s="17" t="str">
        <f t="shared" si="65"/>
        <v>ON1</v>
      </c>
      <c r="H2251" s="17" t="s">
        <v>21</v>
      </c>
      <c r="I2251" s="17" t="s">
        <v>24</v>
      </c>
      <c r="J2251" s="17" t="str">
        <f>""</f>
        <v/>
      </c>
      <c r="K2251" s="17" t="str">
        <f>"PFES1162732685_0001"</f>
        <v>PFES1162732685_0001</v>
      </c>
      <c r="L2251" s="17">
        <v>1</v>
      </c>
      <c r="M2251" s="17">
        <v>1</v>
      </c>
    </row>
    <row r="2252" spans="1:13">
      <c r="A2252" s="6">
        <v>43853</v>
      </c>
      <c r="B2252" s="7">
        <v>0.5131944444444444</v>
      </c>
      <c r="C2252" s="17" t="str">
        <f>"FES1162732450"</f>
        <v>FES1162732450</v>
      </c>
      <c r="D2252" s="17" t="s">
        <v>19</v>
      </c>
      <c r="E2252" s="17" t="s">
        <v>472</v>
      </c>
      <c r="F2252" s="17" t="str">
        <f>"2170724465 "</f>
        <v xml:space="preserve">2170724465 </v>
      </c>
      <c r="G2252" s="17" t="str">
        <f t="shared" si="65"/>
        <v>ON1</v>
      </c>
      <c r="H2252" s="17" t="s">
        <v>21</v>
      </c>
      <c r="I2252" s="17" t="s">
        <v>85</v>
      </c>
      <c r="J2252" s="17" t="str">
        <f>""</f>
        <v/>
      </c>
      <c r="K2252" s="17" t="str">
        <f>"PFES1162732450_0001"</f>
        <v>PFES1162732450_0001</v>
      </c>
      <c r="L2252" s="17">
        <v>1</v>
      </c>
      <c r="M2252" s="17">
        <v>4</v>
      </c>
    </row>
    <row r="2253" spans="1:13">
      <c r="A2253" s="6">
        <v>43853</v>
      </c>
      <c r="B2253" s="7">
        <v>0.5131944444444444</v>
      </c>
      <c r="C2253" s="17" t="str">
        <f>"FES1162732740"</f>
        <v>FES1162732740</v>
      </c>
      <c r="D2253" s="17" t="s">
        <v>19</v>
      </c>
      <c r="E2253" s="17" t="s">
        <v>571</v>
      </c>
      <c r="F2253" s="17" t="str">
        <f>"2170725191 "</f>
        <v xml:space="preserve">2170725191 </v>
      </c>
      <c r="G2253" s="17" t="str">
        <f t="shared" si="65"/>
        <v>ON1</v>
      </c>
      <c r="H2253" s="17" t="s">
        <v>21</v>
      </c>
      <c r="I2253" s="17" t="s">
        <v>76</v>
      </c>
      <c r="J2253" s="17" t="str">
        <f>""</f>
        <v/>
      </c>
      <c r="K2253" s="17" t="str">
        <f>"PFES1162732740_0001"</f>
        <v>PFES1162732740_0001</v>
      </c>
      <c r="L2253" s="17">
        <v>1</v>
      </c>
      <c r="M2253" s="17">
        <v>2</v>
      </c>
    </row>
    <row r="2254" spans="1:13">
      <c r="A2254" s="6">
        <v>43853</v>
      </c>
      <c r="B2254" s="7">
        <v>0.51250000000000007</v>
      </c>
      <c r="C2254" s="17" t="str">
        <f>"FES1162732497"</f>
        <v>FES1162732497</v>
      </c>
      <c r="D2254" s="17" t="s">
        <v>19</v>
      </c>
      <c r="E2254" s="17" t="s">
        <v>387</v>
      </c>
      <c r="F2254" s="17" t="str">
        <f>"2170724695 "</f>
        <v xml:space="preserve">2170724695 </v>
      </c>
      <c r="G2254" s="17" t="str">
        <f t="shared" si="65"/>
        <v>ON1</v>
      </c>
      <c r="H2254" s="17" t="s">
        <v>21</v>
      </c>
      <c r="I2254" s="17" t="s">
        <v>202</v>
      </c>
      <c r="J2254" s="17" t="str">
        <f>""</f>
        <v/>
      </c>
      <c r="K2254" s="17" t="str">
        <f>"PFES1162732497_0001"</f>
        <v>PFES1162732497_0001</v>
      </c>
      <c r="L2254" s="17">
        <v>1</v>
      </c>
      <c r="M2254" s="17">
        <v>4</v>
      </c>
    </row>
    <row r="2255" spans="1:13">
      <c r="A2255" s="6">
        <v>43853</v>
      </c>
      <c r="B2255" s="7">
        <v>0.51180555555555551</v>
      </c>
      <c r="C2255" s="17" t="str">
        <f>"FES1162732498"</f>
        <v>FES1162732498</v>
      </c>
      <c r="D2255" s="17" t="s">
        <v>19</v>
      </c>
      <c r="E2255" s="17" t="s">
        <v>611</v>
      </c>
      <c r="F2255" s="17" t="str">
        <f>"2170721617 "</f>
        <v xml:space="preserve">2170721617 </v>
      </c>
      <c r="G2255" s="17" t="str">
        <f t="shared" si="65"/>
        <v>ON1</v>
      </c>
      <c r="H2255" s="17" t="s">
        <v>21</v>
      </c>
      <c r="I2255" s="17" t="s">
        <v>36</v>
      </c>
      <c r="J2255" s="17" t="str">
        <f>"ONX1"</f>
        <v>ONX1</v>
      </c>
      <c r="K2255" s="17" t="str">
        <f>"PFES1162732498_0001"</f>
        <v>PFES1162732498_0001</v>
      </c>
      <c r="L2255" s="17">
        <v>3</v>
      </c>
      <c r="M2255" s="17">
        <v>53</v>
      </c>
    </row>
    <row r="2256" spans="1:13">
      <c r="A2256" s="6">
        <v>43853</v>
      </c>
      <c r="B2256" s="7">
        <v>0.51180555555555551</v>
      </c>
      <c r="C2256" s="17" t="str">
        <f>"FES1162732498"</f>
        <v>FES1162732498</v>
      </c>
      <c r="D2256" s="17" t="s">
        <v>19</v>
      </c>
      <c r="E2256" s="17" t="s">
        <v>611</v>
      </c>
      <c r="F2256" s="17" t="str">
        <f t="shared" ref="F2256:F2257" si="66">"2170721617 "</f>
        <v xml:space="preserve">2170721617 </v>
      </c>
      <c r="G2256" s="17" t="str">
        <f t="shared" si="65"/>
        <v>ON1</v>
      </c>
      <c r="H2256" s="17" t="s">
        <v>21</v>
      </c>
      <c r="I2256" s="17" t="s">
        <v>36</v>
      </c>
      <c r="J2256" s="17" t="str">
        <f t="shared" ref="J2256:J2257" si="67">"ONX1"</f>
        <v>ONX1</v>
      </c>
      <c r="K2256" s="17" t="str">
        <f>"PFES1162732498_0002"</f>
        <v>PFES1162732498_0002</v>
      </c>
      <c r="L2256" s="17">
        <v>3</v>
      </c>
      <c r="M2256" s="17">
        <v>53</v>
      </c>
    </row>
    <row r="2257" spans="1:13">
      <c r="A2257" s="6">
        <v>43853</v>
      </c>
      <c r="B2257" s="7">
        <v>0.51180555555555551</v>
      </c>
      <c r="C2257" s="17" t="str">
        <f>"FES1162732498"</f>
        <v>FES1162732498</v>
      </c>
      <c r="D2257" s="17" t="s">
        <v>19</v>
      </c>
      <c r="E2257" s="17" t="s">
        <v>611</v>
      </c>
      <c r="F2257" s="17" t="str">
        <f t="shared" si="66"/>
        <v xml:space="preserve">2170721617 </v>
      </c>
      <c r="G2257" s="17" t="str">
        <f t="shared" si="65"/>
        <v>ON1</v>
      </c>
      <c r="H2257" s="17" t="s">
        <v>21</v>
      </c>
      <c r="I2257" s="17" t="s">
        <v>36</v>
      </c>
      <c r="J2257" s="17" t="str">
        <f t="shared" si="67"/>
        <v>ONX1</v>
      </c>
      <c r="K2257" s="17" t="str">
        <f>"PFES1162732498_0003"</f>
        <v>PFES1162732498_0003</v>
      </c>
      <c r="L2257" s="17">
        <v>3</v>
      </c>
      <c r="M2257" s="17">
        <v>53</v>
      </c>
    </row>
    <row r="2258" spans="1:13">
      <c r="A2258" s="6">
        <v>43853</v>
      </c>
      <c r="B2258" s="7">
        <v>0.50763888888888886</v>
      </c>
      <c r="C2258" s="17" t="str">
        <f>"FES1162732473"</f>
        <v>FES1162732473</v>
      </c>
      <c r="D2258" s="17" t="s">
        <v>19</v>
      </c>
      <c r="E2258" s="17" t="s">
        <v>606</v>
      </c>
      <c r="F2258" s="17" t="str">
        <f>"2170725047 "</f>
        <v xml:space="preserve">2170725047 </v>
      </c>
      <c r="G2258" s="17" t="str">
        <f t="shared" si="65"/>
        <v>ON1</v>
      </c>
      <c r="H2258" s="17" t="s">
        <v>21</v>
      </c>
      <c r="I2258" s="17" t="s">
        <v>235</v>
      </c>
      <c r="J2258" s="17" t="str">
        <f>""</f>
        <v/>
      </c>
      <c r="K2258" s="17" t="str">
        <f>"PFES1162732473_0001"</f>
        <v>PFES1162732473_0001</v>
      </c>
      <c r="L2258" s="17">
        <v>1</v>
      </c>
      <c r="M2258" s="17">
        <v>1</v>
      </c>
    </row>
    <row r="2259" spans="1:13">
      <c r="A2259" s="6">
        <v>43853</v>
      </c>
      <c r="B2259" s="7">
        <v>0.50694444444444442</v>
      </c>
      <c r="C2259" s="17" t="str">
        <f>"FES1162732673"</f>
        <v>FES1162732673</v>
      </c>
      <c r="D2259" s="17" t="s">
        <v>19</v>
      </c>
      <c r="E2259" s="17" t="s">
        <v>841</v>
      </c>
      <c r="F2259" s="17" t="str">
        <f>"2170724833 "</f>
        <v xml:space="preserve">2170724833 </v>
      </c>
      <c r="G2259" s="17" t="str">
        <f t="shared" si="65"/>
        <v>ON1</v>
      </c>
      <c r="H2259" s="17" t="s">
        <v>21</v>
      </c>
      <c r="I2259" s="17" t="s">
        <v>842</v>
      </c>
      <c r="J2259" s="17" t="str">
        <f>""</f>
        <v/>
      </c>
      <c r="K2259" s="17" t="str">
        <f>"PFES1162732673_0001"</f>
        <v>PFES1162732673_0001</v>
      </c>
      <c r="L2259" s="17">
        <v>1</v>
      </c>
      <c r="M2259" s="17">
        <v>1</v>
      </c>
    </row>
    <row r="2260" spans="1:13">
      <c r="A2260" s="6">
        <v>43853</v>
      </c>
      <c r="B2260" s="7">
        <v>0.50624999999999998</v>
      </c>
      <c r="C2260" s="17" t="str">
        <f>"FES1162732728"</f>
        <v>FES1162732728</v>
      </c>
      <c r="D2260" s="17" t="s">
        <v>19</v>
      </c>
      <c r="E2260" s="17" t="s">
        <v>776</v>
      </c>
      <c r="F2260" s="17" t="str">
        <f>"21707251476 "</f>
        <v xml:space="preserve">21707251476 </v>
      </c>
      <c r="G2260" s="17" t="str">
        <f t="shared" si="65"/>
        <v>ON1</v>
      </c>
      <c r="H2260" s="17" t="s">
        <v>21</v>
      </c>
      <c r="I2260" s="17" t="s">
        <v>777</v>
      </c>
      <c r="J2260" s="17" t="str">
        <f>""</f>
        <v/>
      </c>
      <c r="K2260" s="17" t="str">
        <f>"PFES1162732728_0001"</f>
        <v>PFES1162732728_0001</v>
      </c>
      <c r="L2260" s="17">
        <v>1</v>
      </c>
      <c r="M2260" s="17">
        <v>1</v>
      </c>
    </row>
    <row r="2261" spans="1:13">
      <c r="A2261" s="6">
        <v>43853</v>
      </c>
      <c r="B2261" s="7">
        <v>0.50486111111111109</v>
      </c>
      <c r="C2261" s="17" t="str">
        <f>"FES1162732677"</f>
        <v>FES1162732677</v>
      </c>
      <c r="D2261" s="17" t="s">
        <v>19</v>
      </c>
      <c r="E2261" s="17" t="s">
        <v>44</v>
      </c>
      <c r="F2261" s="17" t="str">
        <f>"21707524978 "</f>
        <v xml:space="preserve">21707524978 </v>
      </c>
      <c r="G2261" s="17" t="str">
        <f t="shared" si="65"/>
        <v>ON1</v>
      </c>
      <c r="H2261" s="17" t="s">
        <v>21</v>
      </c>
      <c r="I2261" s="17" t="s">
        <v>249</v>
      </c>
      <c r="J2261" s="17" t="str">
        <f>""</f>
        <v/>
      </c>
      <c r="K2261" s="17" t="str">
        <f>"PFES1162732677_0001"</f>
        <v>PFES1162732677_0001</v>
      </c>
      <c r="L2261" s="17">
        <v>1</v>
      </c>
      <c r="M2261" s="17">
        <v>1</v>
      </c>
    </row>
    <row r="2262" spans="1:13">
      <c r="A2262" s="6">
        <v>43853</v>
      </c>
      <c r="B2262" s="7">
        <v>0.50347222222222221</v>
      </c>
      <c r="C2262" s="17" t="str">
        <f>"FES1162732611"</f>
        <v>FES1162732611</v>
      </c>
      <c r="D2262" s="17" t="s">
        <v>19</v>
      </c>
      <c r="E2262" s="17" t="s">
        <v>748</v>
      </c>
      <c r="F2262" s="17" t="str">
        <f>"2170723464 "</f>
        <v xml:space="preserve">2170723464 </v>
      </c>
      <c r="G2262" s="17" t="str">
        <f t="shared" si="65"/>
        <v>ON1</v>
      </c>
      <c r="H2262" s="17" t="s">
        <v>21</v>
      </c>
      <c r="I2262" s="17" t="s">
        <v>466</v>
      </c>
      <c r="J2262" s="17" t="str">
        <f>""</f>
        <v/>
      </c>
      <c r="K2262" s="17" t="str">
        <f>"PFES1162732611_0001"</f>
        <v>PFES1162732611_0001</v>
      </c>
      <c r="L2262" s="17">
        <v>1</v>
      </c>
      <c r="M2262" s="17">
        <v>1</v>
      </c>
    </row>
    <row r="2263" spans="1:13">
      <c r="A2263" s="6">
        <v>43853</v>
      </c>
      <c r="B2263" s="7">
        <v>0.50277777777777777</v>
      </c>
      <c r="C2263" s="17" t="str">
        <f>"FES1162732727"</f>
        <v>FES1162732727</v>
      </c>
      <c r="D2263" s="17" t="s">
        <v>19</v>
      </c>
      <c r="E2263" s="17" t="s">
        <v>229</v>
      </c>
      <c r="F2263" s="17" t="str">
        <f>"2170725175 "</f>
        <v xml:space="preserve">2170725175 </v>
      </c>
      <c r="G2263" s="17" t="str">
        <f t="shared" si="65"/>
        <v>ON1</v>
      </c>
      <c r="H2263" s="17" t="s">
        <v>21</v>
      </c>
      <c r="I2263" s="17" t="s">
        <v>230</v>
      </c>
      <c r="J2263" s="17" t="str">
        <f>""</f>
        <v/>
      </c>
      <c r="K2263" s="17" t="str">
        <f>"PFES1162732727_0001"</f>
        <v>PFES1162732727_0001</v>
      </c>
      <c r="L2263" s="17">
        <v>1</v>
      </c>
      <c r="M2263" s="17">
        <v>1</v>
      </c>
    </row>
    <row r="2264" spans="1:13">
      <c r="A2264" s="6">
        <v>43853</v>
      </c>
      <c r="B2264" s="7">
        <v>0.50277777777777777</v>
      </c>
      <c r="C2264" s="17" t="str">
        <f>"FES1162732531"</f>
        <v>FES1162732531</v>
      </c>
      <c r="D2264" s="17" t="s">
        <v>19</v>
      </c>
      <c r="E2264" s="17" t="s">
        <v>352</v>
      </c>
      <c r="F2264" s="17" t="str">
        <f>"2170722842 "</f>
        <v xml:space="preserve">2170722842 </v>
      </c>
      <c r="G2264" s="17" t="str">
        <f t="shared" si="65"/>
        <v>ON1</v>
      </c>
      <c r="H2264" s="17" t="s">
        <v>21</v>
      </c>
      <c r="I2264" s="17" t="s">
        <v>114</v>
      </c>
      <c r="J2264" s="17" t="str">
        <f>""</f>
        <v/>
      </c>
      <c r="K2264" s="17" t="str">
        <f>"PFES1162732531_0001"</f>
        <v>PFES1162732531_0001</v>
      </c>
      <c r="L2264" s="17">
        <v>1</v>
      </c>
      <c r="M2264" s="17">
        <v>1</v>
      </c>
    </row>
    <row r="2265" spans="1:13">
      <c r="A2265" s="6">
        <v>43853</v>
      </c>
      <c r="B2265" s="7">
        <v>0.50277777777777777</v>
      </c>
      <c r="C2265" s="17" t="str">
        <f>"FES1162732654"</f>
        <v>FES1162732654</v>
      </c>
      <c r="D2265" s="17" t="s">
        <v>19</v>
      </c>
      <c r="E2265" s="17" t="s">
        <v>134</v>
      </c>
      <c r="F2265" s="17" t="str">
        <f>"2170723815 "</f>
        <v xml:space="preserve">2170723815 </v>
      </c>
      <c r="G2265" s="17" t="str">
        <f t="shared" si="65"/>
        <v>ON1</v>
      </c>
      <c r="H2265" s="17" t="s">
        <v>21</v>
      </c>
      <c r="I2265" s="17" t="s">
        <v>135</v>
      </c>
      <c r="J2265" s="17" t="str">
        <f>""</f>
        <v/>
      </c>
      <c r="K2265" s="17" t="str">
        <f>"PFES1162732654_0001"</f>
        <v>PFES1162732654_0001</v>
      </c>
      <c r="L2265" s="17">
        <v>2</v>
      </c>
      <c r="M2265" s="17">
        <v>14</v>
      </c>
    </row>
    <row r="2266" spans="1:13">
      <c r="A2266" s="6">
        <v>43853</v>
      </c>
      <c r="B2266" s="7">
        <v>0.50277777777777777</v>
      </c>
      <c r="C2266" s="17" t="str">
        <f>"FES1162732654"</f>
        <v>FES1162732654</v>
      </c>
      <c r="D2266" s="17" t="s">
        <v>19</v>
      </c>
      <c r="E2266" s="17" t="s">
        <v>134</v>
      </c>
      <c r="F2266" s="17" t="str">
        <f>"2170723815 "</f>
        <v xml:space="preserve">2170723815 </v>
      </c>
      <c r="G2266" s="17" t="str">
        <f t="shared" si="65"/>
        <v>ON1</v>
      </c>
      <c r="H2266" s="17" t="s">
        <v>21</v>
      </c>
      <c r="I2266" s="17" t="s">
        <v>135</v>
      </c>
      <c r="J2266" s="17"/>
      <c r="K2266" s="17" t="str">
        <f>"PFES1162732654_0002"</f>
        <v>PFES1162732654_0002</v>
      </c>
      <c r="L2266" s="17">
        <v>2</v>
      </c>
      <c r="M2266" s="17">
        <v>14</v>
      </c>
    </row>
    <row r="2267" spans="1:13">
      <c r="A2267" s="6">
        <v>43853</v>
      </c>
      <c r="B2267" s="7">
        <v>0.50208333333333333</v>
      </c>
      <c r="C2267" s="17" t="str">
        <f>"FES1162732682"</f>
        <v>FES1162732682</v>
      </c>
      <c r="D2267" s="17" t="s">
        <v>19</v>
      </c>
      <c r="E2267" s="17" t="s">
        <v>354</v>
      </c>
      <c r="F2267" s="17" t="str">
        <f>"2170725117 "</f>
        <v xml:space="preserve">2170725117 </v>
      </c>
      <c r="G2267" s="17" t="str">
        <f>"ON1"</f>
        <v>ON1</v>
      </c>
      <c r="H2267" s="17" t="s">
        <v>21</v>
      </c>
      <c r="I2267" s="17" t="s">
        <v>355</v>
      </c>
      <c r="J2267" s="17" t="str">
        <f>""</f>
        <v/>
      </c>
      <c r="K2267" s="17" t="str">
        <f>"PFES1162732682_0001"</f>
        <v>PFES1162732682_0001</v>
      </c>
      <c r="L2267" s="17">
        <v>1</v>
      </c>
      <c r="M2267" s="17">
        <v>1</v>
      </c>
    </row>
    <row r="2268" spans="1:13">
      <c r="A2268" s="6">
        <v>43853</v>
      </c>
      <c r="B2268" s="7">
        <v>0.50208333333333333</v>
      </c>
      <c r="C2268" s="17" t="str">
        <f>"FES1162732596"</f>
        <v>FES1162732596</v>
      </c>
      <c r="D2268" s="17" t="s">
        <v>19</v>
      </c>
      <c r="E2268" s="17" t="s">
        <v>776</v>
      </c>
      <c r="F2268" s="17" t="str">
        <f>"2170723326 "</f>
        <v xml:space="preserve">2170723326 </v>
      </c>
      <c r="G2268" s="17" t="str">
        <f>"ON1"</f>
        <v>ON1</v>
      </c>
      <c r="H2268" s="17" t="s">
        <v>21</v>
      </c>
      <c r="I2268" s="17" t="s">
        <v>777</v>
      </c>
      <c r="J2268" s="17" t="str">
        <f>""</f>
        <v/>
      </c>
      <c r="K2268" s="17" t="str">
        <f>"PFES1162732596_0001"</f>
        <v>PFES1162732596_0001</v>
      </c>
      <c r="L2268" s="17">
        <v>1</v>
      </c>
      <c r="M2268" s="17">
        <v>1</v>
      </c>
    </row>
    <row r="2269" spans="1:13">
      <c r="A2269" s="6">
        <v>43853</v>
      </c>
      <c r="B2269" s="7">
        <v>0.50208333333333333</v>
      </c>
      <c r="C2269" s="17" t="str">
        <f>"FES1162732505"</f>
        <v>FES1162732505</v>
      </c>
      <c r="D2269" s="17" t="s">
        <v>19</v>
      </c>
      <c r="E2269" s="17" t="s">
        <v>910</v>
      </c>
      <c r="F2269" s="17" t="str">
        <f>"2170725085 "</f>
        <v xml:space="preserve">2170725085 </v>
      </c>
      <c r="G2269" s="17" t="str">
        <f>"DBC"</f>
        <v>DBC</v>
      </c>
      <c r="H2269" s="17" t="s">
        <v>21</v>
      </c>
      <c r="I2269" s="17" t="s">
        <v>911</v>
      </c>
      <c r="J2269" s="17" t="str">
        <f>"OIL"</f>
        <v>OIL</v>
      </c>
      <c r="K2269" s="17" t="str">
        <f>"PFES1162732505_0001"</f>
        <v>PFES1162732505_0001</v>
      </c>
      <c r="L2269" s="17">
        <v>1</v>
      </c>
      <c r="M2269" s="17">
        <v>12</v>
      </c>
    </row>
    <row r="2270" spans="1:13">
      <c r="A2270" s="6">
        <v>43853</v>
      </c>
      <c r="B2270" s="7">
        <v>0.50138888888888888</v>
      </c>
      <c r="C2270" s="17" t="str">
        <f>"FES1162732545"</f>
        <v>FES1162732545</v>
      </c>
      <c r="D2270" s="17" t="s">
        <v>19</v>
      </c>
      <c r="E2270" s="17" t="s">
        <v>912</v>
      </c>
      <c r="F2270" s="17" t="str">
        <f>"2170722148 "</f>
        <v xml:space="preserve">2170722148 </v>
      </c>
      <c r="G2270" s="17" t="str">
        <f t="shared" ref="G2270:G2287" si="68">"ON1"</f>
        <v>ON1</v>
      </c>
      <c r="H2270" s="17" t="s">
        <v>21</v>
      </c>
      <c r="I2270" s="17" t="s">
        <v>119</v>
      </c>
      <c r="J2270" s="17" t="str">
        <f>""</f>
        <v/>
      </c>
      <c r="K2270" s="17" t="str">
        <f>"PFES1162732545_0001"</f>
        <v>PFES1162732545_0001</v>
      </c>
      <c r="L2270" s="17">
        <v>1</v>
      </c>
      <c r="M2270" s="17">
        <v>6</v>
      </c>
    </row>
    <row r="2271" spans="1:13">
      <c r="A2271" s="6">
        <v>43853</v>
      </c>
      <c r="B2271" s="7">
        <v>0.50138888888888888</v>
      </c>
      <c r="C2271" s="17" t="str">
        <f>"FES1162732480"</f>
        <v>FES1162732480</v>
      </c>
      <c r="D2271" s="17" t="s">
        <v>19</v>
      </c>
      <c r="E2271" s="17" t="s">
        <v>232</v>
      </c>
      <c r="F2271" s="17" t="str">
        <f>"2170725055 "</f>
        <v xml:space="preserve">2170725055 </v>
      </c>
      <c r="G2271" s="17" t="str">
        <f t="shared" si="68"/>
        <v>ON1</v>
      </c>
      <c r="H2271" s="17" t="s">
        <v>21</v>
      </c>
      <c r="I2271" s="17" t="s">
        <v>233</v>
      </c>
      <c r="J2271" s="17" t="str">
        <f>""</f>
        <v/>
      </c>
      <c r="K2271" s="17" t="str">
        <f>"PFES1162732480_0001"</f>
        <v>PFES1162732480_0001</v>
      </c>
      <c r="L2271" s="17">
        <v>1</v>
      </c>
      <c r="M2271" s="17">
        <v>1</v>
      </c>
    </row>
    <row r="2272" spans="1:13">
      <c r="A2272" s="6">
        <v>43853</v>
      </c>
      <c r="B2272" s="7">
        <v>0.50138888888888888</v>
      </c>
      <c r="C2272" s="17" t="str">
        <f>"FES1162732749"</f>
        <v>FES1162732749</v>
      </c>
      <c r="D2272" s="17" t="s">
        <v>19</v>
      </c>
      <c r="E2272" s="17" t="s">
        <v>359</v>
      </c>
      <c r="F2272" s="17" t="str">
        <f>"2170724771 "</f>
        <v xml:space="preserve">2170724771 </v>
      </c>
      <c r="G2272" s="17" t="str">
        <f t="shared" si="68"/>
        <v>ON1</v>
      </c>
      <c r="H2272" s="17" t="s">
        <v>21</v>
      </c>
      <c r="I2272" s="17" t="s">
        <v>165</v>
      </c>
      <c r="J2272" s="17" t="str">
        <f>""</f>
        <v/>
      </c>
      <c r="K2272" s="17" t="str">
        <f>"PFES1162732749_0001"</f>
        <v>PFES1162732749_0001</v>
      </c>
      <c r="L2272" s="17">
        <v>1</v>
      </c>
      <c r="M2272" s="17">
        <v>3</v>
      </c>
    </row>
    <row r="2273" spans="1:13">
      <c r="A2273" s="6">
        <v>43853</v>
      </c>
      <c r="B2273" s="7">
        <v>0.50069444444444444</v>
      </c>
      <c r="C2273" s="17" t="str">
        <f>"FES1162732502"</f>
        <v>FES1162732502</v>
      </c>
      <c r="D2273" s="17" t="s">
        <v>19</v>
      </c>
      <c r="E2273" s="17" t="s">
        <v>756</v>
      </c>
      <c r="F2273" s="17" t="str">
        <f>"2170725080 "</f>
        <v xml:space="preserve">2170725080 </v>
      </c>
      <c r="G2273" s="17" t="str">
        <f t="shared" si="68"/>
        <v>ON1</v>
      </c>
      <c r="H2273" s="17" t="s">
        <v>21</v>
      </c>
      <c r="I2273" s="17" t="s">
        <v>757</v>
      </c>
      <c r="J2273" s="17" t="str">
        <f>""</f>
        <v/>
      </c>
      <c r="K2273" s="17" t="str">
        <f>"PFES1162732502_0001"</f>
        <v>PFES1162732502_0001</v>
      </c>
      <c r="L2273" s="17">
        <v>1</v>
      </c>
      <c r="M2273" s="17">
        <v>2</v>
      </c>
    </row>
    <row r="2274" spans="1:13">
      <c r="A2274" s="6">
        <v>43853</v>
      </c>
      <c r="B2274" s="7">
        <v>0.50069444444444444</v>
      </c>
      <c r="C2274" s="17" t="str">
        <f>"FES1162732529"</f>
        <v>FES1162732529</v>
      </c>
      <c r="D2274" s="17" t="s">
        <v>19</v>
      </c>
      <c r="E2274" s="17" t="s">
        <v>778</v>
      </c>
      <c r="F2274" s="17" t="str">
        <f>"2170722518 "</f>
        <v xml:space="preserve">2170722518 </v>
      </c>
      <c r="G2274" s="17" t="str">
        <f t="shared" si="68"/>
        <v>ON1</v>
      </c>
      <c r="H2274" s="17" t="s">
        <v>21</v>
      </c>
      <c r="I2274" s="17" t="s">
        <v>301</v>
      </c>
      <c r="J2274" s="17" t="str">
        <f>""</f>
        <v/>
      </c>
      <c r="K2274" s="17" t="str">
        <f>"PFES1162732529_0001"</f>
        <v>PFES1162732529_0001</v>
      </c>
      <c r="L2274" s="17">
        <v>1</v>
      </c>
      <c r="M2274" s="17">
        <v>1</v>
      </c>
    </row>
    <row r="2275" spans="1:13">
      <c r="A2275" s="6">
        <v>43853</v>
      </c>
      <c r="B2275" s="7">
        <v>0.5</v>
      </c>
      <c r="C2275" s="17" t="str">
        <f>"FES1162732617"</f>
        <v>FES1162732617</v>
      </c>
      <c r="D2275" s="17" t="s">
        <v>19</v>
      </c>
      <c r="E2275" s="17" t="s">
        <v>597</v>
      </c>
      <c r="F2275" s="17" t="str">
        <f>"2170723498 "</f>
        <v xml:space="preserve">2170723498 </v>
      </c>
      <c r="G2275" s="17" t="str">
        <f t="shared" si="68"/>
        <v>ON1</v>
      </c>
      <c r="H2275" s="17" t="s">
        <v>21</v>
      </c>
      <c r="I2275" s="17" t="s">
        <v>119</v>
      </c>
      <c r="J2275" s="17" t="str">
        <f>""</f>
        <v/>
      </c>
      <c r="K2275" s="17" t="str">
        <f>"PFES1162732617_0001"</f>
        <v>PFES1162732617_0001</v>
      </c>
      <c r="L2275" s="17">
        <v>1</v>
      </c>
      <c r="M2275" s="17">
        <v>1</v>
      </c>
    </row>
    <row r="2276" spans="1:13">
      <c r="A2276" s="6">
        <v>43853</v>
      </c>
      <c r="B2276" s="7">
        <v>0.5</v>
      </c>
      <c r="C2276" s="17" t="str">
        <f>"FES1162732642"</f>
        <v>FES1162732642</v>
      </c>
      <c r="D2276" s="17" t="s">
        <v>19</v>
      </c>
      <c r="E2276" s="17" t="s">
        <v>352</v>
      </c>
      <c r="F2276" s="17" t="str">
        <f>"2170723744 "</f>
        <v xml:space="preserve">2170723744 </v>
      </c>
      <c r="G2276" s="17" t="str">
        <f t="shared" si="68"/>
        <v>ON1</v>
      </c>
      <c r="H2276" s="17" t="s">
        <v>21</v>
      </c>
      <c r="I2276" s="17" t="s">
        <v>114</v>
      </c>
      <c r="J2276" s="17" t="str">
        <f>""</f>
        <v/>
      </c>
      <c r="K2276" s="17" t="str">
        <f>"PFES1162732642_0001"</f>
        <v>PFES1162732642_0001</v>
      </c>
      <c r="L2276" s="17">
        <v>1</v>
      </c>
      <c r="M2276" s="17">
        <v>2</v>
      </c>
    </row>
    <row r="2277" spans="1:13">
      <c r="A2277" s="6">
        <v>43853</v>
      </c>
      <c r="B2277" s="7">
        <v>0.5</v>
      </c>
      <c r="C2277" s="17" t="str">
        <f>"FES1162732525"</f>
        <v>FES1162732525</v>
      </c>
      <c r="D2277" s="17" t="s">
        <v>19</v>
      </c>
      <c r="E2277" s="17" t="s">
        <v>913</v>
      </c>
      <c r="F2277" s="17" t="str">
        <f>"2170720792 "</f>
        <v xml:space="preserve">2170720792 </v>
      </c>
      <c r="G2277" s="17" t="str">
        <f t="shared" si="68"/>
        <v>ON1</v>
      </c>
      <c r="H2277" s="17" t="s">
        <v>21</v>
      </c>
      <c r="I2277" s="17" t="s">
        <v>204</v>
      </c>
      <c r="J2277" s="17" t="str">
        <f>""</f>
        <v/>
      </c>
      <c r="K2277" s="17" t="str">
        <f>"PFES1162732525_0001"</f>
        <v>PFES1162732525_0001</v>
      </c>
      <c r="L2277" s="17">
        <v>1</v>
      </c>
      <c r="M2277" s="17">
        <v>1</v>
      </c>
    </row>
    <row r="2278" spans="1:13">
      <c r="A2278" s="6">
        <v>43853</v>
      </c>
      <c r="B2278" s="7">
        <v>0.4993055555555555</v>
      </c>
      <c r="C2278" s="17" t="str">
        <f>"FES1162732540"</f>
        <v>FES1162732540</v>
      </c>
      <c r="D2278" s="17" t="s">
        <v>19</v>
      </c>
      <c r="E2278" s="17" t="s">
        <v>262</v>
      </c>
      <c r="F2278" s="17" t="str">
        <f>"2170720726 "</f>
        <v xml:space="preserve">2170720726 </v>
      </c>
      <c r="G2278" s="17" t="str">
        <f t="shared" si="68"/>
        <v>ON1</v>
      </c>
      <c r="H2278" s="17" t="s">
        <v>21</v>
      </c>
      <c r="I2278" s="17" t="s">
        <v>114</v>
      </c>
      <c r="J2278" s="17" t="str">
        <f>""</f>
        <v/>
      </c>
      <c r="K2278" s="17" t="str">
        <f>"PFES1162732540_0001"</f>
        <v>PFES1162732540_0001</v>
      </c>
      <c r="L2278" s="17">
        <v>1</v>
      </c>
      <c r="M2278" s="17">
        <v>4</v>
      </c>
    </row>
    <row r="2279" spans="1:13">
      <c r="A2279" s="6">
        <v>43853</v>
      </c>
      <c r="B2279" s="7">
        <v>0.4993055555555555</v>
      </c>
      <c r="C2279" s="17" t="str">
        <f>"FES1162732742"</f>
        <v>FES1162732742</v>
      </c>
      <c r="D2279" s="17" t="s">
        <v>19</v>
      </c>
      <c r="E2279" s="17" t="s">
        <v>87</v>
      </c>
      <c r="F2279" s="17" t="str">
        <f>"2170725194 "</f>
        <v xml:space="preserve">2170725194 </v>
      </c>
      <c r="G2279" s="17" t="str">
        <f t="shared" si="68"/>
        <v>ON1</v>
      </c>
      <c r="H2279" s="17" t="s">
        <v>21</v>
      </c>
      <c r="I2279" s="17" t="s">
        <v>88</v>
      </c>
      <c r="J2279" s="17" t="str">
        <f>""</f>
        <v/>
      </c>
      <c r="K2279" s="17" t="str">
        <f>"PFES1162732742_0001"</f>
        <v>PFES1162732742_0001</v>
      </c>
      <c r="L2279" s="17">
        <v>1</v>
      </c>
      <c r="M2279" s="17">
        <v>1</v>
      </c>
    </row>
    <row r="2280" spans="1:13">
      <c r="A2280" s="6">
        <v>43853</v>
      </c>
      <c r="B2280" s="7">
        <v>0.4993055555555555</v>
      </c>
      <c r="C2280" s="17" t="str">
        <f>"FES1162732527"</f>
        <v>FES1162732527</v>
      </c>
      <c r="D2280" s="17" t="s">
        <v>19</v>
      </c>
      <c r="E2280" s="17" t="s">
        <v>352</v>
      </c>
      <c r="F2280" s="17" t="str">
        <f>"21707222207 "</f>
        <v xml:space="preserve">21707222207 </v>
      </c>
      <c r="G2280" s="17" t="str">
        <f t="shared" si="68"/>
        <v>ON1</v>
      </c>
      <c r="H2280" s="17" t="s">
        <v>21</v>
      </c>
      <c r="I2280" s="17" t="s">
        <v>114</v>
      </c>
      <c r="J2280" s="17" t="str">
        <f>""</f>
        <v/>
      </c>
      <c r="K2280" s="17" t="str">
        <f>"PFES1162732527_0001"</f>
        <v>PFES1162732527_0001</v>
      </c>
      <c r="L2280" s="17">
        <v>1</v>
      </c>
      <c r="M2280" s="17">
        <v>5</v>
      </c>
    </row>
    <row r="2281" spans="1:13">
      <c r="A2281" s="6">
        <v>43853</v>
      </c>
      <c r="B2281" s="7">
        <v>0.4993055555555555</v>
      </c>
      <c r="C2281" s="17" t="str">
        <f>"FES1162732585"</f>
        <v>FES1162732585</v>
      </c>
      <c r="D2281" s="17" t="s">
        <v>19</v>
      </c>
      <c r="E2281" s="17" t="s">
        <v>222</v>
      </c>
      <c r="F2281" s="17" t="str">
        <f>"2170723163 "</f>
        <v xml:space="preserve">2170723163 </v>
      </c>
      <c r="G2281" s="17" t="str">
        <f t="shared" si="68"/>
        <v>ON1</v>
      </c>
      <c r="H2281" s="17" t="s">
        <v>21</v>
      </c>
      <c r="I2281" s="17" t="s">
        <v>28</v>
      </c>
      <c r="J2281" s="17" t="str">
        <f>""</f>
        <v/>
      </c>
      <c r="K2281" s="17" t="str">
        <f>"PFES1162732585_0001"</f>
        <v>PFES1162732585_0001</v>
      </c>
      <c r="L2281" s="17">
        <v>1</v>
      </c>
      <c r="M2281" s="17">
        <v>3</v>
      </c>
    </row>
    <row r="2282" spans="1:13">
      <c r="A2282" s="6">
        <v>43853</v>
      </c>
      <c r="B2282" s="7">
        <v>0.49861111111111112</v>
      </c>
      <c r="C2282" s="17" t="str">
        <f>"FES1162732744"</f>
        <v>FES1162732744</v>
      </c>
      <c r="D2282" s="17" t="s">
        <v>19</v>
      </c>
      <c r="E2282" s="17" t="s">
        <v>197</v>
      </c>
      <c r="F2282" s="17" t="str">
        <f>"2170725196 "</f>
        <v xml:space="preserve">2170725196 </v>
      </c>
      <c r="G2282" s="17" t="str">
        <f t="shared" si="68"/>
        <v>ON1</v>
      </c>
      <c r="H2282" s="17" t="s">
        <v>21</v>
      </c>
      <c r="I2282" s="17" t="s">
        <v>198</v>
      </c>
      <c r="J2282" s="17" t="str">
        <f>""</f>
        <v/>
      </c>
      <c r="K2282" s="17" t="str">
        <f>"PFES1162732744_0001"</f>
        <v>PFES1162732744_0001</v>
      </c>
      <c r="L2282" s="17">
        <v>1</v>
      </c>
      <c r="M2282" s="17">
        <v>1</v>
      </c>
    </row>
    <row r="2283" spans="1:13">
      <c r="A2283" s="6">
        <v>43853</v>
      </c>
      <c r="B2283" s="7">
        <v>0.49861111111111112</v>
      </c>
      <c r="C2283" s="17" t="str">
        <f>"FES1162732638"</f>
        <v>FES1162732638</v>
      </c>
      <c r="D2283" s="17" t="s">
        <v>19</v>
      </c>
      <c r="E2283" s="17" t="s">
        <v>229</v>
      </c>
      <c r="F2283" s="17" t="str">
        <f>"2170723691 "</f>
        <v xml:space="preserve">2170723691 </v>
      </c>
      <c r="G2283" s="17" t="str">
        <f t="shared" si="68"/>
        <v>ON1</v>
      </c>
      <c r="H2283" s="17" t="s">
        <v>21</v>
      </c>
      <c r="I2283" s="17" t="s">
        <v>230</v>
      </c>
      <c r="J2283" s="17" t="str">
        <f>""</f>
        <v/>
      </c>
      <c r="K2283" s="17" t="str">
        <f>"PFES1162732638_0001"</f>
        <v>PFES1162732638_0001</v>
      </c>
      <c r="L2283" s="17">
        <v>1</v>
      </c>
      <c r="M2283" s="17">
        <v>3</v>
      </c>
    </row>
    <row r="2284" spans="1:13">
      <c r="A2284" s="6">
        <v>43853</v>
      </c>
      <c r="B2284" s="7">
        <v>0.49861111111111112</v>
      </c>
      <c r="C2284" s="17" t="str">
        <f>"FES1162732526"</f>
        <v>FES1162732526</v>
      </c>
      <c r="D2284" s="17" t="s">
        <v>19</v>
      </c>
      <c r="E2284" s="17" t="s">
        <v>465</v>
      </c>
      <c r="F2284" s="17" t="str">
        <f>"2170722150 "</f>
        <v xml:space="preserve">2170722150 </v>
      </c>
      <c r="G2284" s="17" t="str">
        <f t="shared" si="68"/>
        <v>ON1</v>
      </c>
      <c r="H2284" s="17" t="s">
        <v>21</v>
      </c>
      <c r="I2284" s="17" t="s">
        <v>466</v>
      </c>
      <c r="J2284" s="17" t="str">
        <f>""</f>
        <v/>
      </c>
      <c r="K2284" s="17" t="str">
        <f>"PFES1162732526_0001"</f>
        <v>PFES1162732526_0001</v>
      </c>
      <c r="L2284" s="17">
        <v>1</v>
      </c>
      <c r="M2284" s="17">
        <v>4</v>
      </c>
    </row>
    <row r="2285" spans="1:13">
      <c r="A2285" s="6">
        <v>43853</v>
      </c>
      <c r="B2285" s="7">
        <v>0.49861111111111112</v>
      </c>
      <c r="C2285" s="17" t="str">
        <f>"FES1162732591"</f>
        <v>FES1162732591</v>
      </c>
      <c r="D2285" s="17" t="s">
        <v>19</v>
      </c>
      <c r="E2285" s="17" t="s">
        <v>352</v>
      </c>
      <c r="F2285" s="17" t="str">
        <f>"2170723268 "</f>
        <v xml:space="preserve">2170723268 </v>
      </c>
      <c r="G2285" s="17" t="str">
        <f t="shared" si="68"/>
        <v>ON1</v>
      </c>
      <c r="H2285" s="17" t="s">
        <v>21</v>
      </c>
      <c r="I2285" s="17" t="s">
        <v>114</v>
      </c>
      <c r="J2285" s="17" t="str">
        <f>""</f>
        <v/>
      </c>
      <c r="K2285" s="17" t="str">
        <f>"PFES1162732591_0001"</f>
        <v>PFES1162732591_0001</v>
      </c>
      <c r="L2285" s="17">
        <v>1</v>
      </c>
      <c r="M2285" s="17">
        <v>3</v>
      </c>
    </row>
    <row r="2286" spans="1:13">
      <c r="A2286" s="6">
        <v>43853</v>
      </c>
      <c r="B2286" s="7">
        <v>0.49791666666666662</v>
      </c>
      <c r="C2286" s="17" t="str">
        <f>"FES1162732610"</f>
        <v>FES1162732610</v>
      </c>
      <c r="D2286" s="17" t="s">
        <v>19</v>
      </c>
      <c r="E2286" s="17" t="s">
        <v>184</v>
      </c>
      <c r="F2286" s="17" t="str">
        <f>"217072354 "</f>
        <v xml:space="preserve">217072354 </v>
      </c>
      <c r="G2286" s="17" t="str">
        <f t="shared" si="68"/>
        <v>ON1</v>
      </c>
      <c r="H2286" s="17" t="s">
        <v>21</v>
      </c>
      <c r="I2286" s="17" t="s">
        <v>49</v>
      </c>
      <c r="J2286" s="17" t="str">
        <f>""</f>
        <v/>
      </c>
      <c r="K2286" s="17" t="str">
        <f>"PFES1162732610_0001"</f>
        <v>PFES1162732610_0001</v>
      </c>
      <c r="L2286" s="17">
        <v>1</v>
      </c>
      <c r="M2286" s="17">
        <v>1</v>
      </c>
    </row>
    <row r="2287" spans="1:13">
      <c r="A2287" s="6">
        <v>43853</v>
      </c>
      <c r="B2287" s="7">
        <v>0.49791666666666662</v>
      </c>
      <c r="C2287" s="17" t="str">
        <f>"FES1162732558"</f>
        <v>FES1162732558</v>
      </c>
      <c r="D2287" s="17" t="s">
        <v>19</v>
      </c>
      <c r="E2287" s="17" t="s">
        <v>269</v>
      </c>
      <c r="F2287" s="17" t="str">
        <f>"2170722977 "</f>
        <v xml:space="preserve">2170722977 </v>
      </c>
      <c r="G2287" s="17" t="str">
        <f t="shared" si="68"/>
        <v>ON1</v>
      </c>
      <c r="H2287" s="17" t="s">
        <v>21</v>
      </c>
      <c r="I2287" s="17" t="s">
        <v>270</v>
      </c>
      <c r="J2287" s="17" t="str">
        <f>""</f>
        <v/>
      </c>
      <c r="K2287" s="17" t="str">
        <f>"PFES1162732558_0001"</f>
        <v>PFES1162732558_0001</v>
      </c>
      <c r="L2287" s="17">
        <v>1</v>
      </c>
      <c r="M2287" s="17">
        <v>1</v>
      </c>
    </row>
    <row r="2288" spans="1:13">
      <c r="A2288" s="6">
        <v>43853</v>
      </c>
      <c r="B2288" s="7">
        <v>0.49722222222222223</v>
      </c>
      <c r="C2288" s="17" t="str">
        <f>"FES1162732481"</f>
        <v>FES1162732481</v>
      </c>
      <c r="D2288" s="17" t="s">
        <v>19</v>
      </c>
      <c r="E2288" s="17" t="s">
        <v>50</v>
      </c>
      <c r="F2288" s="17" t="str">
        <f>"2170724943 "</f>
        <v xml:space="preserve">2170724943 </v>
      </c>
      <c r="G2288" s="17" t="str">
        <f>"DBC"</f>
        <v>DBC</v>
      </c>
      <c r="H2288" s="17" t="s">
        <v>21</v>
      </c>
      <c r="I2288" s="17" t="s">
        <v>51</v>
      </c>
      <c r="J2288" s="17" t="str">
        <f>""</f>
        <v/>
      </c>
      <c r="K2288" s="17" t="str">
        <f>"PFES1162732481_0001"</f>
        <v>PFES1162732481_0001</v>
      </c>
      <c r="L2288" s="17">
        <v>2</v>
      </c>
      <c r="M2288" s="17">
        <v>26</v>
      </c>
    </row>
    <row r="2289" spans="1:13">
      <c r="A2289" s="6">
        <v>43853</v>
      </c>
      <c r="B2289" s="7">
        <v>0.49722222222222223</v>
      </c>
      <c r="C2289" s="17" t="str">
        <f>"FES1162732481"</f>
        <v>FES1162732481</v>
      </c>
      <c r="D2289" s="17" t="s">
        <v>19</v>
      </c>
      <c r="E2289" s="17" t="s">
        <v>50</v>
      </c>
      <c r="F2289" s="17" t="str">
        <f>"2170724943 "</f>
        <v xml:space="preserve">2170724943 </v>
      </c>
      <c r="G2289" s="17" t="str">
        <f>"DBC"</f>
        <v>DBC</v>
      </c>
      <c r="H2289" s="17" t="s">
        <v>21</v>
      </c>
      <c r="I2289" s="17" t="s">
        <v>51</v>
      </c>
      <c r="J2289" s="17"/>
      <c r="K2289" s="17" t="str">
        <f>"PFES1162732481_0002"</f>
        <v>PFES1162732481_0002</v>
      </c>
      <c r="L2289" s="17">
        <v>2</v>
      </c>
      <c r="M2289" s="17">
        <v>26</v>
      </c>
    </row>
    <row r="2290" spans="1:13">
      <c r="A2290" s="6">
        <v>43853</v>
      </c>
      <c r="B2290" s="7">
        <v>0.49652777777777773</v>
      </c>
      <c r="C2290" s="17" t="str">
        <f>"FES1162732736"</f>
        <v>FES1162732736</v>
      </c>
      <c r="D2290" s="17" t="s">
        <v>19</v>
      </c>
      <c r="E2290" s="17" t="s">
        <v>380</v>
      </c>
      <c r="F2290" s="17" t="str">
        <f>"2170725186 "</f>
        <v xml:space="preserve">2170725186 </v>
      </c>
      <c r="G2290" s="17" t="str">
        <f t="shared" ref="G2290:G2353" si="69">"ON1"</f>
        <v>ON1</v>
      </c>
      <c r="H2290" s="17" t="s">
        <v>21</v>
      </c>
      <c r="I2290" s="17" t="s">
        <v>381</v>
      </c>
      <c r="J2290" s="17" t="str">
        <f>""</f>
        <v/>
      </c>
      <c r="K2290" s="17" t="str">
        <f>"PFES1162732736_0001"</f>
        <v>PFES1162732736_0001</v>
      </c>
      <c r="L2290" s="17">
        <v>1</v>
      </c>
      <c r="M2290" s="17">
        <v>1</v>
      </c>
    </row>
    <row r="2291" spans="1:13">
      <c r="A2291" s="6">
        <v>43853</v>
      </c>
      <c r="B2291" s="7">
        <v>0.49652777777777773</v>
      </c>
      <c r="C2291" s="17" t="str">
        <f>"FES1162732731"</f>
        <v>FES1162732731</v>
      </c>
      <c r="D2291" s="17" t="s">
        <v>19</v>
      </c>
      <c r="E2291" s="17" t="s">
        <v>914</v>
      </c>
      <c r="F2291" s="17" t="str">
        <f>"2170725179 "</f>
        <v xml:space="preserve">2170725179 </v>
      </c>
      <c r="G2291" s="17" t="str">
        <f t="shared" si="69"/>
        <v>ON1</v>
      </c>
      <c r="H2291" s="17" t="s">
        <v>21</v>
      </c>
      <c r="I2291" s="17" t="s">
        <v>403</v>
      </c>
      <c r="J2291" s="17" t="str">
        <f>""</f>
        <v/>
      </c>
      <c r="K2291" s="17" t="str">
        <f>"PFES1162732731_0001"</f>
        <v>PFES1162732731_0001</v>
      </c>
      <c r="L2291" s="17">
        <v>1</v>
      </c>
      <c r="M2291" s="17">
        <v>1</v>
      </c>
    </row>
    <row r="2292" spans="1:13">
      <c r="A2292" s="6">
        <v>43853</v>
      </c>
      <c r="B2292" s="7">
        <v>0.49652777777777773</v>
      </c>
      <c r="C2292" s="17" t="str">
        <f>"FES1162732724"</f>
        <v>FES1162732724</v>
      </c>
      <c r="D2292" s="17" t="s">
        <v>19</v>
      </c>
      <c r="E2292" s="17" t="s">
        <v>370</v>
      </c>
      <c r="F2292" s="17" t="str">
        <f>"2170725172 "</f>
        <v xml:space="preserve">2170725172 </v>
      </c>
      <c r="G2292" s="17" t="str">
        <f t="shared" si="69"/>
        <v>ON1</v>
      </c>
      <c r="H2292" s="17" t="s">
        <v>21</v>
      </c>
      <c r="I2292" s="17" t="s">
        <v>371</v>
      </c>
      <c r="J2292" s="17" t="str">
        <f>""</f>
        <v/>
      </c>
      <c r="K2292" s="17" t="str">
        <f>"PFES1162732724_0001"</f>
        <v>PFES1162732724_0001</v>
      </c>
      <c r="L2292" s="17">
        <v>1</v>
      </c>
      <c r="M2292" s="17">
        <v>1</v>
      </c>
    </row>
    <row r="2293" spans="1:13">
      <c r="A2293" s="6">
        <v>43853</v>
      </c>
      <c r="B2293" s="7">
        <v>0.49652777777777773</v>
      </c>
      <c r="C2293" s="17" t="str">
        <f>"FES1162732743"</f>
        <v>FES1162732743</v>
      </c>
      <c r="D2293" s="17" t="s">
        <v>19</v>
      </c>
      <c r="E2293" s="17" t="s">
        <v>370</v>
      </c>
      <c r="F2293" s="17" t="str">
        <f>"2170725195 "</f>
        <v xml:space="preserve">2170725195 </v>
      </c>
      <c r="G2293" s="17" t="str">
        <f t="shared" si="69"/>
        <v>ON1</v>
      </c>
      <c r="H2293" s="17" t="s">
        <v>21</v>
      </c>
      <c r="I2293" s="17" t="s">
        <v>371</v>
      </c>
      <c r="J2293" s="17" t="str">
        <f>""</f>
        <v/>
      </c>
      <c r="K2293" s="17" t="str">
        <f>"PFES1162732743_0001"</f>
        <v>PFES1162732743_0001</v>
      </c>
      <c r="L2293" s="17">
        <v>1</v>
      </c>
      <c r="M2293" s="17">
        <v>1</v>
      </c>
    </row>
    <row r="2294" spans="1:13">
      <c r="A2294" s="6">
        <v>43853</v>
      </c>
      <c r="B2294" s="7">
        <v>0.49583333333333335</v>
      </c>
      <c r="C2294" s="17" t="str">
        <f>"FES1162732675"</f>
        <v>FES1162732675</v>
      </c>
      <c r="D2294" s="17" t="s">
        <v>19</v>
      </c>
      <c r="E2294" s="17" t="s">
        <v>185</v>
      </c>
      <c r="F2294" s="17" t="str">
        <f>"2170724937 "</f>
        <v xml:space="preserve">2170724937 </v>
      </c>
      <c r="G2294" s="17" t="str">
        <f t="shared" si="69"/>
        <v>ON1</v>
      </c>
      <c r="H2294" s="17" t="s">
        <v>21</v>
      </c>
      <c r="I2294" s="17" t="s">
        <v>47</v>
      </c>
      <c r="J2294" s="17" t="str">
        <f>""</f>
        <v/>
      </c>
      <c r="K2294" s="17" t="str">
        <f>"PFES1162732675_0001"</f>
        <v>PFES1162732675_0001</v>
      </c>
      <c r="L2294" s="17">
        <v>1</v>
      </c>
      <c r="M2294" s="17">
        <v>1</v>
      </c>
    </row>
    <row r="2295" spans="1:13">
      <c r="A2295" s="6">
        <v>43853</v>
      </c>
      <c r="B2295" s="7">
        <v>0.49583333333333335</v>
      </c>
      <c r="C2295" s="17" t="str">
        <f>"FES1162732726"</f>
        <v>FES1162732726</v>
      </c>
      <c r="D2295" s="17" t="s">
        <v>19</v>
      </c>
      <c r="E2295" s="17" t="s">
        <v>680</v>
      </c>
      <c r="F2295" s="17" t="str">
        <f>"2170725174 "</f>
        <v xml:space="preserve">2170725174 </v>
      </c>
      <c r="G2295" s="17" t="str">
        <f t="shared" si="69"/>
        <v>ON1</v>
      </c>
      <c r="H2295" s="17" t="s">
        <v>21</v>
      </c>
      <c r="I2295" s="17" t="s">
        <v>681</v>
      </c>
      <c r="J2295" s="17" t="str">
        <f>""</f>
        <v/>
      </c>
      <c r="K2295" s="17" t="str">
        <f>"PFES1162732726_0001"</f>
        <v>PFES1162732726_0001</v>
      </c>
      <c r="L2295" s="17">
        <v>1</v>
      </c>
      <c r="M2295" s="17">
        <v>1</v>
      </c>
    </row>
    <row r="2296" spans="1:13">
      <c r="A2296" s="6">
        <v>43853</v>
      </c>
      <c r="B2296" s="7">
        <v>0.49583333333333335</v>
      </c>
      <c r="C2296" s="17" t="str">
        <f>"FES1162732543"</f>
        <v>FES1162732543</v>
      </c>
      <c r="D2296" s="17" t="s">
        <v>19</v>
      </c>
      <c r="E2296" s="17" t="s">
        <v>44</v>
      </c>
      <c r="F2296" s="17" t="str">
        <f>"2170721985 "</f>
        <v xml:space="preserve">2170721985 </v>
      </c>
      <c r="G2296" s="17" t="str">
        <f t="shared" si="69"/>
        <v>ON1</v>
      </c>
      <c r="H2296" s="17" t="s">
        <v>21</v>
      </c>
      <c r="I2296" s="17" t="s">
        <v>249</v>
      </c>
      <c r="J2296" s="17" t="str">
        <f>""</f>
        <v/>
      </c>
      <c r="K2296" s="17" t="str">
        <f>"PFES1162732543_0001"</f>
        <v>PFES1162732543_0001</v>
      </c>
      <c r="L2296" s="17">
        <v>1</v>
      </c>
      <c r="M2296" s="17">
        <v>1</v>
      </c>
    </row>
    <row r="2297" spans="1:13">
      <c r="A2297" s="6">
        <v>43853</v>
      </c>
      <c r="B2297" s="7">
        <v>0.49513888888888885</v>
      </c>
      <c r="C2297" s="17" t="str">
        <f>"FES1162732547"</f>
        <v>FES1162732547</v>
      </c>
      <c r="D2297" s="17" t="s">
        <v>19</v>
      </c>
      <c r="E2297" s="17" t="s">
        <v>470</v>
      </c>
      <c r="F2297" s="17" t="str">
        <f>"2170722597 "</f>
        <v xml:space="preserve">2170722597 </v>
      </c>
      <c r="G2297" s="17" t="str">
        <f t="shared" si="69"/>
        <v>ON1</v>
      </c>
      <c r="H2297" s="17" t="s">
        <v>21</v>
      </c>
      <c r="I2297" s="17" t="s">
        <v>471</v>
      </c>
      <c r="J2297" s="17" t="str">
        <f>""</f>
        <v/>
      </c>
      <c r="K2297" s="17" t="str">
        <f>"PFES1162732547_0001"</f>
        <v>PFES1162732547_0001</v>
      </c>
      <c r="L2297" s="17">
        <v>1</v>
      </c>
      <c r="M2297" s="17">
        <v>1</v>
      </c>
    </row>
    <row r="2298" spans="1:13">
      <c r="A2298" s="6">
        <v>43853</v>
      </c>
      <c r="B2298" s="7">
        <v>0.49513888888888885</v>
      </c>
      <c r="C2298" s="17" t="str">
        <f>"FES1162732674"</f>
        <v>FES1162732674</v>
      </c>
      <c r="D2298" s="17" t="s">
        <v>19</v>
      </c>
      <c r="E2298" s="17" t="s">
        <v>142</v>
      </c>
      <c r="F2298" s="17" t="str">
        <f>"2170724845 "</f>
        <v xml:space="preserve">2170724845 </v>
      </c>
      <c r="G2298" s="17" t="str">
        <f t="shared" si="69"/>
        <v>ON1</v>
      </c>
      <c r="H2298" s="17" t="s">
        <v>21</v>
      </c>
      <c r="I2298" s="17" t="s">
        <v>123</v>
      </c>
      <c r="J2298" s="17" t="str">
        <f>""</f>
        <v/>
      </c>
      <c r="K2298" s="17" t="str">
        <f>"PFES1162732674_0001"</f>
        <v>PFES1162732674_0001</v>
      </c>
      <c r="L2298" s="17">
        <v>1</v>
      </c>
      <c r="M2298" s="17">
        <v>1</v>
      </c>
    </row>
    <row r="2299" spans="1:13">
      <c r="A2299" s="6">
        <v>43853</v>
      </c>
      <c r="B2299" s="7">
        <v>0.49513888888888885</v>
      </c>
      <c r="C2299" s="17" t="str">
        <f>"FES1162732626"</f>
        <v>FES1162732626</v>
      </c>
      <c r="D2299" s="17" t="s">
        <v>19</v>
      </c>
      <c r="E2299" s="17" t="s">
        <v>915</v>
      </c>
      <c r="F2299" s="17" t="str">
        <f>"2170723578 "</f>
        <v xml:space="preserve">2170723578 </v>
      </c>
      <c r="G2299" s="17" t="str">
        <f t="shared" si="69"/>
        <v>ON1</v>
      </c>
      <c r="H2299" s="17" t="s">
        <v>21</v>
      </c>
      <c r="I2299" s="17" t="s">
        <v>825</v>
      </c>
      <c r="J2299" s="17" t="str">
        <f>""</f>
        <v/>
      </c>
      <c r="K2299" s="17" t="str">
        <f>"PFES1162732626_0001"</f>
        <v>PFES1162732626_0001</v>
      </c>
      <c r="L2299" s="17">
        <v>1</v>
      </c>
      <c r="M2299" s="17">
        <v>1</v>
      </c>
    </row>
    <row r="2300" spans="1:13">
      <c r="A2300" s="6">
        <v>43853</v>
      </c>
      <c r="B2300" s="7">
        <v>0.49513888888888885</v>
      </c>
      <c r="C2300" s="17" t="str">
        <f>"FES1162732554"</f>
        <v>FES1162732554</v>
      </c>
      <c r="D2300" s="17" t="s">
        <v>19</v>
      </c>
      <c r="E2300" s="17" t="s">
        <v>434</v>
      </c>
      <c r="F2300" s="17" t="str">
        <f>"2170722925 "</f>
        <v xml:space="preserve">2170722925 </v>
      </c>
      <c r="G2300" s="17" t="str">
        <f t="shared" si="69"/>
        <v>ON1</v>
      </c>
      <c r="H2300" s="17" t="s">
        <v>21</v>
      </c>
      <c r="I2300" s="17" t="s">
        <v>104</v>
      </c>
      <c r="J2300" s="17" t="str">
        <f>""</f>
        <v/>
      </c>
      <c r="K2300" s="17" t="str">
        <f>"PFES1162732554_0001"</f>
        <v>PFES1162732554_0001</v>
      </c>
      <c r="L2300" s="17">
        <v>1</v>
      </c>
      <c r="M2300" s="17">
        <v>1</v>
      </c>
    </row>
    <row r="2301" spans="1:13">
      <c r="A2301" s="6">
        <v>43853</v>
      </c>
      <c r="B2301" s="7">
        <v>0.49444444444444446</v>
      </c>
      <c r="C2301" s="17" t="str">
        <f>"FES1162732457"</f>
        <v>FES1162732457</v>
      </c>
      <c r="D2301" s="17" t="s">
        <v>19</v>
      </c>
      <c r="E2301" s="17" t="s">
        <v>753</v>
      </c>
      <c r="F2301" s="17" t="str">
        <f>"2170725027 "</f>
        <v xml:space="preserve">2170725027 </v>
      </c>
      <c r="G2301" s="17" t="str">
        <f t="shared" si="69"/>
        <v>ON1</v>
      </c>
      <c r="H2301" s="17" t="s">
        <v>21</v>
      </c>
      <c r="I2301" s="17" t="s">
        <v>355</v>
      </c>
      <c r="J2301" s="17" t="str">
        <f>""</f>
        <v/>
      </c>
      <c r="K2301" s="17" t="str">
        <f>"PFES1162732457_0001"</f>
        <v>PFES1162732457_0001</v>
      </c>
      <c r="L2301" s="17">
        <v>1</v>
      </c>
      <c r="M2301" s="17">
        <v>1</v>
      </c>
    </row>
    <row r="2302" spans="1:13">
      <c r="A2302" s="6">
        <v>43853</v>
      </c>
      <c r="B2302" s="7">
        <v>0.49444444444444446</v>
      </c>
      <c r="C2302" s="17" t="str">
        <f>"FES1162732718"</f>
        <v>FES1162732718</v>
      </c>
      <c r="D2302" s="17" t="s">
        <v>19</v>
      </c>
      <c r="E2302" s="17" t="s">
        <v>101</v>
      </c>
      <c r="F2302" s="17" t="str">
        <f>"2170725162 "</f>
        <v xml:space="preserve">2170725162 </v>
      </c>
      <c r="G2302" s="17" t="str">
        <f t="shared" si="69"/>
        <v>ON1</v>
      </c>
      <c r="H2302" s="17" t="s">
        <v>21</v>
      </c>
      <c r="I2302" s="17" t="s">
        <v>102</v>
      </c>
      <c r="J2302" s="17" t="str">
        <f>""</f>
        <v/>
      </c>
      <c r="K2302" s="17" t="str">
        <f>"PFES1162732718_0001"</f>
        <v>PFES1162732718_0001</v>
      </c>
      <c r="L2302" s="17">
        <v>1</v>
      </c>
      <c r="M2302" s="17">
        <v>1</v>
      </c>
    </row>
    <row r="2303" spans="1:13">
      <c r="A2303" s="6">
        <v>43853</v>
      </c>
      <c r="B2303" s="7">
        <v>0.49374999999999997</v>
      </c>
      <c r="C2303" s="17" t="str">
        <f>"FES1162732550"</f>
        <v>FES1162732550</v>
      </c>
      <c r="D2303" s="17" t="s">
        <v>19</v>
      </c>
      <c r="E2303" s="17" t="s">
        <v>205</v>
      </c>
      <c r="F2303" s="17" t="str">
        <f>"2170722831 "</f>
        <v xml:space="preserve">2170722831 </v>
      </c>
      <c r="G2303" s="17" t="str">
        <f t="shared" si="69"/>
        <v>ON1</v>
      </c>
      <c r="H2303" s="17" t="s">
        <v>21</v>
      </c>
      <c r="I2303" s="17" t="s">
        <v>88</v>
      </c>
      <c r="J2303" s="17" t="str">
        <f>""</f>
        <v/>
      </c>
      <c r="K2303" s="17" t="str">
        <f>"PFES1162732550_0001"</f>
        <v>PFES1162732550_0001</v>
      </c>
      <c r="L2303" s="17">
        <v>1</v>
      </c>
      <c r="M2303" s="17">
        <v>1</v>
      </c>
    </row>
    <row r="2304" spans="1:13">
      <c r="A2304" s="6">
        <v>43853</v>
      </c>
      <c r="B2304" s="7">
        <v>0.49305555555555558</v>
      </c>
      <c r="C2304" s="17" t="str">
        <f>"FES1162732641"</f>
        <v>FES1162732641</v>
      </c>
      <c r="D2304" s="17" t="s">
        <v>19</v>
      </c>
      <c r="E2304" s="17" t="s">
        <v>322</v>
      </c>
      <c r="F2304" s="17" t="str">
        <f>"2170723742 "</f>
        <v xml:space="preserve">2170723742 </v>
      </c>
      <c r="G2304" s="17" t="str">
        <f t="shared" si="69"/>
        <v>ON1</v>
      </c>
      <c r="H2304" s="17" t="s">
        <v>21</v>
      </c>
      <c r="I2304" s="17" t="s">
        <v>323</v>
      </c>
      <c r="J2304" s="17" t="str">
        <f>""</f>
        <v/>
      </c>
      <c r="K2304" s="17" t="str">
        <f>"PFES1162732641_0001"</f>
        <v>PFES1162732641_0001</v>
      </c>
      <c r="L2304" s="17">
        <v>1</v>
      </c>
      <c r="M2304" s="17">
        <v>1</v>
      </c>
    </row>
    <row r="2305" spans="1:13">
      <c r="A2305" s="6">
        <v>43853</v>
      </c>
      <c r="B2305" s="7">
        <v>0.49305555555555558</v>
      </c>
      <c r="C2305" s="17" t="str">
        <f>"FES1162732602"</f>
        <v>FES1162732602</v>
      </c>
      <c r="D2305" s="17" t="s">
        <v>19</v>
      </c>
      <c r="E2305" s="17" t="s">
        <v>632</v>
      </c>
      <c r="F2305" s="17" t="str">
        <f>"2170723386 "</f>
        <v xml:space="preserve">2170723386 </v>
      </c>
      <c r="G2305" s="17" t="str">
        <f t="shared" si="69"/>
        <v>ON1</v>
      </c>
      <c r="H2305" s="17" t="s">
        <v>21</v>
      </c>
      <c r="I2305" s="17" t="s">
        <v>36</v>
      </c>
      <c r="J2305" s="17" t="str">
        <f>""</f>
        <v/>
      </c>
      <c r="K2305" s="17" t="str">
        <f>"PFES1162732602_0001"</f>
        <v>PFES1162732602_0001</v>
      </c>
      <c r="L2305" s="17">
        <v>1</v>
      </c>
      <c r="M2305" s="17">
        <v>1</v>
      </c>
    </row>
    <row r="2306" spans="1:13">
      <c r="A2306" s="6">
        <v>43853</v>
      </c>
      <c r="B2306" s="7">
        <v>0.49305555555555558</v>
      </c>
      <c r="C2306" s="17" t="str">
        <f>"FES1162732710"</f>
        <v>FES1162732710</v>
      </c>
      <c r="D2306" s="17" t="s">
        <v>19</v>
      </c>
      <c r="E2306" s="17" t="s">
        <v>916</v>
      </c>
      <c r="F2306" s="17" t="str">
        <f>"2170725036 "</f>
        <v xml:space="preserve">2170725036 </v>
      </c>
      <c r="G2306" s="17" t="str">
        <f t="shared" si="69"/>
        <v>ON1</v>
      </c>
      <c r="H2306" s="17" t="s">
        <v>21</v>
      </c>
      <c r="I2306" s="17" t="s">
        <v>499</v>
      </c>
      <c r="J2306" s="17" t="str">
        <f>""</f>
        <v/>
      </c>
      <c r="K2306" s="17" t="str">
        <f>"PFES1162732710_0001"</f>
        <v>PFES1162732710_0001</v>
      </c>
      <c r="L2306" s="17">
        <v>1</v>
      </c>
      <c r="M2306" s="17">
        <v>1</v>
      </c>
    </row>
    <row r="2307" spans="1:13">
      <c r="A2307" s="6">
        <v>43853</v>
      </c>
      <c r="B2307" s="7">
        <v>0.49236111111111108</v>
      </c>
      <c r="C2307" s="17" t="str">
        <f>"FES1162732648"</f>
        <v>FES1162732648</v>
      </c>
      <c r="D2307" s="17" t="s">
        <v>19</v>
      </c>
      <c r="E2307" s="17" t="s">
        <v>134</v>
      </c>
      <c r="F2307" s="17" t="str">
        <f>"2170723774 "</f>
        <v xml:space="preserve">2170723774 </v>
      </c>
      <c r="G2307" s="17" t="str">
        <f t="shared" si="69"/>
        <v>ON1</v>
      </c>
      <c r="H2307" s="17" t="s">
        <v>21</v>
      </c>
      <c r="I2307" s="17" t="s">
        <v>135</v>
      </c>
      <c r="J2307" s="17" t="str">
        <f>""</f>
        <v/>
      </c>
      <c r="K2307" s="17" t="str">
        <f>"PFES1162732648_0001"</f>
        <v>PFES1162732648_0001</v>
      </c>
      <c r="L2307" s="17">
        <v>1</v>
      </c>
      <c r="M2307" s="17">
        <v>1</v>
      </c>
    </row>
    <row r="2308" spans="1:13">
      <c r="A2308" s="6">
        <v>43853</v>
      </c>
      <c r="B2308" s="7">
        <v>0.49236111111111108</v>
      </c>
      <c r="C2308" s="17" t="str">
        <f>"FES1162732566"</f>
        <v>FES1162732566</v>
      </c>
      <c r="D2308" s="17" t="s">
        <v>19</v>
      </c>
      <c r="E2308" s="17" t="s">
        <v>134</v>
      </c>
      <c r="F2308" s="17" t="str">
        <f>"2170723042 "</f>
        <v xml:space="preserve">2170723042 </v>
      </c>
      <c r="G2308" s="17" t="str">
        <f t="shared" si="69"/>
        <v>ON1</v>
      </c>
      <c r="H2308" s="17" t="s">
        <v>21</v>
      </c>
      <c r="I2308" s="17" t="s">
        <v>135</v>
      </c>
      <c r="J2308" s="17" t="str">
        <f>""</f>
        <v/>
      </c>
      <c r="K2308" s="17" t="str">
        <f>"PFES1162732566_0001"</f>
        <v>PFES1162732566_0001</v>
      </c>
      <c r="L2308" s="17">
        <v>1</v>
      </c>
      <c r="M2308" s="17">
        <v>1</v>
      </c>
    </row>
    <row r="2309" spans="1:13">
      <c r="A2309" s="6">
        <v>43853</v>
      </c>
      <c r="B2309" s="7">
        <v>0.49236111111111108</v>
      </c>
      <c r="C2309" s="17" t="str">
        <f>"FES1162732517"</f>
        <v>FES1162732517</v>
      </c>
      <c r="D2309" s="17" t="s">
        <v>19</v>
      </c>
      <c r="E2309" s="17" t="s">
        <v>917</v>
      </c>
      <c r="F2309" s="17" t="str">
        <f>"2170723255 "</f>
        <v xml:space="preserve">2170723255 </v>
      </c>
      <c r="G2309" s="17" t="str">
        <f t="shared" si="69"/>
        <v>ON1</v>
      </c>
      <c r="H2309" s="17" t="s">
        <v>21</v>
      </c>
      <c r="I2309" s="17" t="s">
        <v>918</v>
      </c>
      <c r="J2309" s="17" t="str">
        <f>""</f>
        <v/>
      </c>
      <c r="K2309" s="17" t="str">
        <f>"PFES1162732517_0001"</f>
        <v>PFES1162732517_0001</v>
      </c>
      <c r="L2309" s="17">
        <v>1</v>
      </c>
      <c r="M2309" s="17">
        <v>1</v>
      </c>
    </row>
    <row r="2310" spans="1:13">
      <c r="A2310" s="6">
        <v>43853</v>
      </c>
      <c r="B2310" s="7">
        <v>0.49236111111111108</v>
      </c>
      <c r="C2310" s="17" t="str">
        <f>"FES1162732548"</f>
        <v>FES1162732548</v>
      </c>
      <c r="D2310" s="17" t="s">
        <v>19</v>
      </c>
      <c r="E2310" s="17" t="s">
        <v>159</v>
      </c>
      <c r="F2310" s="17" t="str">
        <f>"2170722618 "</f>
        <v xml:space="preserve">2170722618 </v>
      </c>
      <c r="G2310" s="17" t="str">
        <f t="shared" si="69"/>
        <v>ON1</v>
      </c>
      <c r="H2310" s="17" t="s">
        <v>21</v>
      </c>
      <c r="I2310" s="17" t="s">
        <v>83</v>
      </c>
      <c r="J2310" s="17" t="str">
        <f>""</f>
        <v/>
      </c>
      <c r="K2310" s="17" t="str">
        <f>"PFES1162732548_0001"</f>
        <v>PFES1162732548_0001</v>
      </c>
      <c r="L2310" s="17">
        <v>1</v>
      </c>
      <c r="M2310" s="17">
        <v>1</v>
      </c>
    </row>
    <row r="2311" spans="1:13">
      <c r="A2311" s="6">
        <v>43853</v>
      </c>
      <c r="B2311" s="7">
        <v>0.4916666666666667</v>
      </c>
      <c r="C2311" s="17" t="str">
        <f>"FES1162732560"</f>
        <v>FES1162732560</v>
      </c>
      <c r="D2311" s="17" t="s">
        <v>19</v>
      </c>
      <c r="E2311" s="17" t="s">
        <v>871</v>
      </c>
      <c r="F2311" s="17" t="str">
        <f>"2170723005 "</f>
        <v xml:space="preserve">2170723005 </v>
      </c>
      <c r="G2311" s="17" t="str">
        <f t="shared" si="69"/>
        <v>ON1</v>
      </c>
      <c r="H2311" s="17" t="s">
        <v>21</v>
      </c>
      <c r="I2311" s="17" t="s">
        <v>866</v>
      </c>
      <c r="J2311" s="17" t="str">
        <f>""</f>
        <v/>
      </c>
      <c r="K2311" s="17" t="str">
        <f>"PFES1162732560_0001"</f>
        <v>PFES1162732560_0001</v>
      </c>
      <c r="L2311" s="17">
        <v>1</v>
      </c>
      <c r="M2311" s="17">
        <v>1</v>
      </c>
    </row>
    <row r="2312" spans="1:13">
      <c r="A2312" s="6">
        <v>43853</v>
      </c>
      <c r="B2312" s="7">
        <v>0.4916666666666667</v>
      </c>
      <c r="C2312" s="17" t="str">
        <f>"FES1162732646"</f>
        <v>FES1162732646</v>
      </c>
      <c r="D2312" s="17" t="s">
        <v>19</v>
      </c>
      <c r="E2312" s="17" t="s">
        <v>269</v>
      </c>
      <c r="F2312" s="17" t="str">
        <f>"2170723770 "</f>
        <v xml:space="preserve">2170723770 </v>
      </c>
      <c r="G2312" s="17" t="str">
        <f t="shared" si="69"/>
        <v>ON1</v>
      </c>
      <c r="H2312" s="17" t="s">
        <v>21</v>
      </c>
      <c r="I2312" s="17" t="s">
        <v>270</v>
      </c>
      <c r="J2312" s="17" t="str">
        <f>""</f>
        <v/>
      </c>
      <c r="K2312" s="17" t="str">
        <f>"PFES1162732646_0001"</f>
        <v>PFES1162732646_0001</v>
      </c>
      <c r="L2312" s="17">
        <v>1</v>
      </c>
      <c r="M2312" s="17">
        <v>1</v>
      </c>
    </row>
    <row r="2313" spans="1:13">
      <c r="A2313" s="6">
        <v>43853</v>
      </c>
      <c r="B2313" s="7">
        <v>0.4916666666666667</v>
      </c>
      <c r="C2313" s="17" t="str">
        <f>"FES1162732634"</f>
        <v>FES1162732634</v>
      </c>
      <c r="D2313" s="17" t="s">
        <v>19</v>
      </c>
      <c r="E2313" s="17" t="s">
        <v>232</v>
      </c>
      <c r="F2313" s="17" t="str">
        <f>"2170723659 "</f>
        <v xml:space="preserve">2170723659 </v>
      </c>
      <c r="G2313" s="17" t="str">
        <f t="shared" si="69"/>
        <v>ON1</v>
      </c>
      <c r="H2313" s="17" t="s">
        <v>21</v>
      </c>
      <c r="I2313" s="17" t="s">
        <v>247</v>
      </c>
      <c r="J2313" s="17" t="str">
        <f>""</f>
        <v/>
      </c>
      <c r="K2313" s="17" t="str">
        <f>"PFES1162732634_0001"</f>
        <v>PFES1162732634_0001</v>
      </c>
      <c r="L2313" s="17">
        <v>1</v>
      </c>
      <c r="M2313" s="17">
        <v>1</v>
      </c>
    </row>
    <row r="2314" spans="1:13">
      <c r="A2314" s="6">
        <v>43853</v>
      </c>
      <c r="B2314" s="7">
        <v>0.4916666666666667</v>
      </c>
      <c r="C2314" s="17" t="str">
        <f>"FES1162732583"</f>
        <v>FES1162732583</v>
      </c>
      <c r="D2314" s="17" t="s">
        <v>19</v>
      </c>
      <c r="E2314" s="17" t="s">
        <v>86</v>
      </c>
      <c r="F2314" s="17" t="str">
        <f>"2170723151 "</f>
        <v xml:space="preserve">2170723151 </v>
      </c>
      <c r="G2314" s="17" t="str">
        <f t="shared" si="69"/>
        <v>ON1</v>
      </c>
      <c r="H2314" s="17" t="s">
        <v>21</v>
      </c>
      <c r="I2314" s="17" t="s">
        <v>63</v>
      </c>
      <c r="J2314" s="17" t="str">
        <f>""</f>
        <v/>
      </c>
      <c r="K2314" s="17" t="str">
        <f>"PFES1162732583_0001"</f>
        <v>PFES1162732583_0001</v>
      </c>
      <c r="L2314" s="17">
        <v>1</v>
      </c>
      <c r="M2314" s="17">
        <v>1</v>
      </c>
    </row>
    <row r="2315" spans="1:13">
      <c r="A2315" s="6">
        <v>43853</v>
      </c>
      <c r="B2315" s="7">
        <v>0.4909722222222222</v>
      </c>
      <c r="C2315" s="17" t="str">
        <f>"FES1162732593"</f>
        <v>FES1162732593</v>
      </c>
      <c r="D2315" s="17" t="s">
        <v>19</v>
      </c>
      <c r="E2315" s="17" t="s">
        <v>660</v>
      </c>
      <c r="F2315" s="17" t="str">
        <f>"2170723313 "</f>
        <v xml:space="preserve">2170723313 </v>
      </c>
      <c r="G2315" s="17" t="str">
        <f t="shared" si="69"/>
        <v>ON1</v>
      </c>
      <c r="H2315" s="17" t="s">
        <v>21</v>
      </c>
      <c r="I2315" s="17" t="s">
        <v>60</v>
      </c>
      <c r="J2315" s="17" t="str">
        <f>""</f>
        <v/>
      </c>
      <c r="K2315" s="17" t="str">
        <f>"PFES1162732593_0001"</f>
        <v>PFES1162732593_0001</v>
      </c>
      <c r="L2315" s="17">
        <v>1</v>
      </c>
      <c r="M2315" s="17">
        <v>1</v>
      </c>
    </row>
    <row r="2316" spans="1:13">
      <c r="A2316" s="6">
        <v>43853</v>
      </c>
      <c r="B2316" s="7">
        <v>0.4909722222222222</v>
      </c>
      <c r="C2316" s="17" t="str">
        <f>"FES1162732613"</f>
        <v>FES1162732613</v>
      </c>
      <c r="D2316" s="17" t="s">
        <v>19</v>
      </c>
      <c r="E2316" s="17" t="s">
        <v>222</v>
      </c>
      <c r="F2316" s="17" t="str">
        <f>"2170723474 "</f>
        <v xml:space="preserve">2170723474 </v>
      </c>
      <c r="G2316" s="17" t="str">
        <f t="shared" si="69"/>
        <v>ON1</v>
      </c>
      <c r="H2316" s="17" t="s">
        <v>21</v>
      </c>
      <c r="I2316" s="17" t="s">
        <v>28</v>
      </c>
      <c r="J2316" s="17" t="str">
        <f>""</f>
        <v/>
      </c>
      <c r="K2316" s="17" t="str">
        <f>"PFES1162732613_0001"</f>
        <v>PFES1162732613_0001</v>
      </c>
      <c r="L2316" s="17">
        <v>1</v>
      </c>
      <c r="M2316" s="17">
        <v>1</v>
      </c>
    </row>
    <row r="2317" spans="1:13">
      <c r="A2317" s="6">
        <v>43853</v>
      </c>
      <c r="B2317" s="7">
        <v>0.4909722222222222</v>
      </c>
      <c r="C2317" s="17" t="str">
        <f>"FES1162732612"</f>
        <v>FES1162732612</v>
      </c>
      <c r="D2317" s="17" t="s">
        <v>19</v>
      </c>
      <c r="E2317" s="17" t="s">
        <v>563</v>
      </c>
      <c r="F2317" s="17" t="str">
        <f>"2170723472 "</f>
        <v xml:space="preserve">2170723472 </v>
      </c>
      <c r="G2317" s="17" t="str">
        <f t="shared" si="69"/>
        <v>ON1</v>
      </c>
      <c r="H2317" s="17" t="s">
        <v>21</v>
      </c>
      <c r="I2317" s="17" t="s">
        <v>564</v>
      </c>
      <c r="J2317" s="17" t="str">
        <f>""</f>
        <v/>
      </c>
      <c r="K2317" s="17" t="str">
        <f>"PFES1162732612_0001"</f>
        <v>PFES1162732612_0001</v>
      </c>
      <c r="L2317" s="17">
        <v>1</v>
      </c>
      <c r="M2317" s="17">
        <v>1</v>
      </c>
    </row>
    <row r="2318" spans="1:13">
      <c r="A2318" s="6">
        <v>43853</v>
      </c>
      <c r="B2318" s="7">
        <v>0.49027777777777781</v>
      </c>
      <c r="C2318" s="17" t="str">
        <f>"FES1162732616"</f>
        <v>FES1162732616</v>
      </c>
      <c r="D2318" s="17" t="s">
        <v>19</v>
      </c>
      <c r="E2318" s="17" t="s">
        <v>46</v>
      </c>
      <c r="F2318" s="17" t="str">
        <f>"2170723488 "</f>
        <v xml:space="preserve">2170723488 </v>
      </c>
      <c r="G2318" s="17" t="str">
        <f t="shared" si="69"/>
        <v>ON1</v>
      </c>
      <c r="H2318" s="17" t="s">
        <v>21</v>
      </c>
      <c r="I2318" s="17" t="s">
        <v>47</v>
      </c>
      <c r="J2318" s="17" t="str">
        <f>""</f>
        <v/>
      </c>
      <c r="K2318" s="17" t="str">
        <f>"PFES1162732616_0001"</f>
        <v>PFES1162732616_0001</v>
      </c>
      <c r="L2318" s="17">
        <v>1</v>
      </c>
      <c r="M2318" s="17">
        <v>1</v>
      </c>
    </row>
    <row r="2319" spans="1:13">
      <c r="A2319" s="6">
        <v>43853</v>
      </c>
      <c r="B2319" s="7">
        <v>0.49027777777777781</v>
      </c>
      <c r="C2319" s="17" t="str">
        <f>"FES1162732516"</f>
        <v>FES1162732516</v>
      </c>
      <c r="D2319" s="17" t="s">
        <v>19</v>
      </c>
      <c r="E2319" s="17" t="s">
        <v>919</v>
      </c>
      <c r="F2319" s="17" t="str">
        <f>"2170722972 "</f>
        <v xml:space="preserve">2170722972 </v>
      </c>
      <c r="G2319" s="17" t="str">
        <f t="shared" si="69"/>
        <v>ON1</v>
      </c>
      <c r="H2319" s="17" t="s">
        <v>21</v>
      </c>
      <c r="I2319" s="17" t="s">
        <v>288</v>
      </c>
      <c r="J2319" s="17" t="str">
        <f>""</f>
        <v/>
      </c>
      <c r="K2319" s="17" t="str">
        <f>"PFES1162732516_0001"</f>
        <v>PFES1162732516_0001</v>
      </c>
      <c r="L2319" s="17">
        <v>1</v>
      </c>
      <c r="M2319" s="17">
        <v>1</v>
      </c>
    </row>
    <row r="2320" spans="1:13">
      <c r="A2320" s="6">
        <v>43853</v>
      </c>
      <c r="B2320" s="7">
        <v>0.48958333333333331</v>
      </c>
      <c r="C2320" s="17" t="str">
        <f>"FES1162732663"</f>
        <v>FES1162732663</v>
      </c>
      <c r="D2320" s="17" t="s">
        <v>19</v>
      </c>
      <c r="E2320" s="17" t="s">
        <v>256</v>
      </c>
      <c r="F2320" s="17" t="str">
        <f>"2170724091 "</f>
        <v xml:space="preserve">2170724091 </v>
      </c>
      <c r="G2320" s="17" t="str">
        <f t="shared" si="69"/>
        <v>ON1</v>
      </c>
      <c r="H2320" s="17" t="s">
        <v>21</v>
      </c>
      <c r="I2320" s="17" t="s">
        <v>257</v>
      </c>
      <c r="J2320" s="17" t="str">
        <f>""</f>
        <v/>
      </c>
      <c r="K2320" s="17" t="str">
        <f>"PFES1162732663_0001"</f>
        <v>PFES1162732663_0001</v>
      </c>
      <c r="L2320" s="17">
        <v>1</v>
      </c>
      <c r="M2320" s="17">
        <v>1</v>
      </c>
    </row>
    <row r="2321" spans="1:13">
      <c r="A2321" s="6">
        <v>43853</v>
      </c>
      <c r="B2321" s="7">
        <v>0.48888888888888887</v>
      </c>
      <c r="C2321" s="17" t="str">
        <f>"FES1162732699"</f>
        <v>FES1162732699</v>
      </c>
      <c r="D2321" s="17" t="s">
        <v>19</v>
      </c>
      <c r="E2321" s="17" t="s">
        <v>259</v>
      </c>
      <c r="F2321" s="17" t="str">
        <f>"2170725139 "</f>
        <v xml:space="preserve">2170725139 </v>
      </c>
      <c r="G2321" s="17" t="str">
        <f t="shared" si="69"/>
        <v>ON1</v>
      </c>
      <c r="H2321" s="17" t="s">
        <v>21</v>
      </c>
      <c r="I2321" s="17" t="s">
        <v>260</v>
      </c>
      <c r="J2321" s="17" t="str">
        <f>""</f>
        <v/>
      </c>
      <c r="K2321" s="17" t="str">
        <f>"PFES1162732699_0001"</f>
        <v>PFES1162732699_0001</v>
      </c>
      <c r="L2321" s="17">
        <v>1</v>
      </c>
      <c r="M2321" s="17">
        <v>1</v>
      </c>
    </row>
    <row r="2322" spans="1:13">
      <c r="A2322" s="6">
        <v>43853</v>
      </c>
      <c r="B2322" s="7">
        <v>0.48749999999999999</v>
      </c>
      <c r="C2322" s="17" t="str">
        <f>"FES1162732624"</f>
        <v>FES1162732624</v>
      </c>
      <c r="D2322" s="17" t="s">
        <v>19</v>
      </c>
      <c r="E2322" s="17" t="s">
        <v>168</v>
      </c>
      <c r="F2322" s="17" t="str">
        <f>"2170723568 "</f>
        <v xml:space="preserve">2170723568 </v>
      </c>
      <c r="G2322" s="17" t="str">
        <f t="shared" si="69"/>
        <v>ON1</v>
      </c>
      <c r="H2322" s="17" t="s">
        <v>21</v>
      </c>
      <c r="I2322" s="17" t="s">
        <v>169</v>
      </c>
      <c r="J2322" s="17" t="str">
        <f>""</f>
        <v/>
      </c>
      <c r="K2322" s="17" t="str">
        <f>"PFES1162732624_0001"</f>
        <v>PFES1162732624_0001</v>
      </c>
      <c r="L2322" s="17">
        <v>1</v>
      </c>
      <c r="M2322" s="17">
        <v>1</v>
      </c>
    </row>
    <row r="2323" spans="1:13">
      <c r="A2323" s="6">
        <v>43853</v>
      </c>
      <c r="B2323" s="7">
        <v>0.4861111111111111</v>
      </c>
      <c r="C2323" s="17" t="str">
        <f>"FES1162732614"</f>
        <v>FES1162732614</v>
      </c>
      <c r="D2323" s="17" t="s">
        <v>19</v>
      </c>
      <c r="E2323" s="17" t="s">
        <v>443</v>
      </c>
      <c r="F2323" s="17" t="str">
        <f>"2170723478 "</f>
        <v xml:space="preserve">2170723478 </v>
      </c>
      <c r="G2323" s="17" t="str">
        <f t="shared" si="69"/>
        <v>ON1</v>
      </c>
      <c r="H2323" s="17" t="s">
        <v>21</v>
      </c>
      <c r="I2323" s="17" t="s">
        <v>444</v>
      </c>
      <c r="J2323" s="17" t="str">
        <f>""</f>
        <v/>
      </c>
      <c r="K2323" s="17" t="str">
        <f>"PFES1162732614_0001"</f>
        <v>PFES1162732614_0001</v>
      </c>
      <c r="L2323" s="17">
        <v>1</v>
      </c>
      <c r="M2323" s="17">
        <v>1</v>
      </c>
    </row>
    <row r="2324" spans="1:13">
      <c r="A2324" s="6">
        <v>43852</v>
      </c>
      <c r="B2324" s="7">
        <v>0.68819444444444444</v>
      </c>
      <c r="C2324" s="18" t="str">
        <f>"FES1162732508"</f>
        <v>FES1162732508</v>
      </c>
      <c r="D2324" s="18" t="s">
        <v>19</v>
      </c>
      <c r="E2324" s="18" t="s">
        <v>101</v>
      </c>
      <c r="F2324" s="18" t="str">
        <f>"2170720509 "</f>
        <v xml:space="preserve">2170720509 </v>
      </c>
      <c r="G2324" s="18" t="str">
        <f t="shared" si="69"/>
        <v>ON1</v>
      </c>
      <c r="H2324" s="18" t="s">
        <v>21</v>
      </c>
      <c r="I2324" s="18" t="s">
        <v>102</v>
      </c>
      <c r="J2324" s="18" t="str">
        <f>""</f>
        <v/>
      </c>
      <c r="K2324" s="18" t="str">
        <f>"PFES1162732508_0001"</f>
        <v>PFES1162732508_0001</v>
      </c>
      <c r="L2324" s="18">
        <v>1</v>
      </c>
      <c r="M2324" s="18">
        <v>5</v>
      </c>
    </row>
    <row r="2325" spans="1:13">
      <c r="A2325" s="6">
        <v>43852</v>
      </c>
      <c r="B2325" s="7">
        <v>0.68680555555555556</v>
      </c>
      <c r="C2325" s="18" t="str">
        <f>"FES1162732496"</f>
        <v>FES1162732496</v>
      </c>
      <c r="D2325" s="18" t="s">
        <v>19</v>
      </c>
      <c r="E2325" s="18" t="s">
        <v>920</v>
      </c>
      <c r="F2325" s="18" t="str">
        <f>"2170720047 "</f>
        <v xml:space="preserve">2170720047 </v>
      </c>
      <c r="G2325" s="18" t="str">
        <f t="shared" si="69"/>
        <v>ON1</v>
      </c>
      <c r="H2325" s="18" t="s">
        <v>21</v>
      </c>
      <c r="I2325" s="18" t="s">
        <v>202</v>
      </c>
      <c r="J2325" s="18" t="str">
        <f>""</f>
        <v/>
      </c>
      <c r="K2325" s="18" t="str">
        <f>"PFES1162732496_0001"</f>
        <v>PFES1162732496_0001</v>
      </c>
      <c r="L2325" s="18">
        <v>1</v>
      </c>
      <c r="M2325" s="18">
        <v>9</v>
      </c>
    </row>
    <row r="2326" spans="1:13">
      <c r="A2326" s="6">
        <v>43852</v>
      </c>
      <c r="B2326" s="7">
        <v>0.68472222222222223</v>
      </c>
      <c r="C2326" s="18" t="str">
        <f>"FES1162732494"</f>
        <v>FES1162732494</v>
      </c>
      <c r="D2326" s="18" t="s">
        <v>19</v>
      </c>
      <c r="E2326" s="18" t="s">
        <v>567</v>
      </c>
      <c r="F2326" s="18" t="str">
        <f>"2170725070 "</f>
        <v xml:space="preserve">2170725070 </v>
      </c>
      <c r="G2326" s="18" t="str">
        <f t="shared" si="69"/>
        <v>ON1</v>
      </c>
      <c r="H2326" s="18" t="s">
        <v>21</v>
      </c>
      <c r="I2326" s="18" t="s">
        <v>202</v>
      </c>
      <c r="J2326" s="18" t="str">
        <f>""</f>
        <v/>
      </c>
      <c r="K2326" s="18" t="str">
        <f>"PFES1162732494_0001"</f>
        <v>PFES1162732494_0001</v>
      </c>
      <c r="L2326" s="18">
        <v>1</v>
      </c>
      <c r="M2326" s="18">
        <v>1</v>
      </c>
    </row>
    <row r="2327" spans="1:13">
      <c r="A2327" s="6">
        <v>43852</v>
      </c>
      <c r="B2327" s="7">
        <v>0.68472222222222223</v>
      </c>
      <c r="C2327" s="18" t="str">
        <f>"FES1162732520"</f>
        <v>FES1162732520</v>
      </c>
      <c r="D2327" s="18" t="s">
        <v>19</v>
      </c>
      <c r="E2327" s="18" t="s">
        <v>383</v>
      </c>
      <c r="F2327" s="18" t="str">
        <f>"2170725104 "</f>
        <v xml:space="preserve">2170725104 </v>
      </c>
      <c r="G2327" s="18" t="str">
        <f t="shared" si="69"/>
        <v>ON1</v>
      </c>
      <c r="H2327" s="18" t="s">
        <v>21</v>
      </c>
      <c r="I2327" s="18" t="s">
        <v>148</v>
      </c>
      <c r="J2327" s="18" t="str">
        <f>""</f>
        <v/>
      </c>
      <c r="K2327" s="18" t="str">
        <f>"PFES1162732520_0001"</f>
        <v>PFES1162732520_0001</v>
      </c>
      <c r="L2327" s="18">
        <v>1</v>
      </c>
      <c r="M2327" s="18">
        <v>4</v>
      </c>
    </row>
    <row r="2328" spans="1:13">
      <c r="A2328" s="6">
        <v>43852</v>
      </c>
      <c r="B2328" s="7">
        <v>0.68333333333333324</v>
      </c>
      <c r="C2328" s="18" t="str">
        <f>"FES1162732451"</f>
        <v>FES1162732451</v>
      </c>
      <c r="D2328" s="18" t="s">
        <v>19</v>
      </c>
      <c r="E2328" s="18" t="s">
        <v>199</v>
      </c>
      <c r="F2328" s="18" t="str">
        <f>"2170724533 "</f>
        <v xml:space="preserve">2170724533 </v>
      </c>
      <c r="G2328" s="18" t="str">
        <f t="shared" si="69"/>
        <v>ON1</v>
      </c>
      <c r="H2328" s="18" t="s">
        <v>21</v>
      </c>
      <c r="I2328" s="18" t="s">
        <v>200</v>
      </c>
      <c r="J2328" s="18" t="str">
        <f>""</f>
        <v/>
      </c>
      <c r="K2328" s="18" t="str">
        <f>"PFES1162732451_0001"</f>
        <v>PFES1162732451_0001</v>
      </c>
      <c r="L2328" s="18">
        <v>1</v>
      </c>
      <c r="M2328" s="18">
        <v>4</v>
      </c>
    </row>
    <row r="2329" spans="1:13">
      <c r="A2329" s="6">
        <v>43852</v>
      </c>
      <c r="B2329" s="7">
        <v>0.68263888888888891</v>
      </c>
      <c r="C2329" s="18" t="str">
        <f>"FES1162732449"</f>
        <v>FES1162732449</v>
      </c>
      <c r="D2329" s="18" t="s">
        <v>19</v>
      </c>
      <c r="E2329" s="18" t="s">
        <v>478</v>
      </c>
      <c r="F2329" s="18" t="str">
        <f>"2170724446 "</f>
        <v xml:space="preserve">2170724446 </v>
      </c>
      <c r="G2329" s="18" t="str">
        <f t="shared" si="69"/>
        <v>ON1</v>
      </c>
      <c r="H2329" s="18" t="s">
        <v>21</v>
      </c>
      <c r="I2329" s="18" t="s">
        <v>277</v>
      </c>
      <c r="J2329" s="18" t="str">
        <f>""</f>
        <v/>
      </c>
      <c r="K2329" s="18" t="str">
        <f>"PFES1162732449_0001"</f>
        <v>PFES1162732449_0001</v>
      </c>
      <c r="L2329" s="18">
        <v>1</v>
      </c>
      <c r="M2329" s="18">
        <v>2</v>
      </c>
    </row>
    <row r="2330" spans="1:13">
      <c r="A2330" s="6">
        <v>43852</v>
      </c>
      <c r="B2330" s="7">
        <v>0.68263888888888891</v>
      </c>
      <c r="C2330" s="18" t="str">
        <f>"FES1162732499"</f>
        <v>FES1162732499</v>
      </c>
      <c r="D2330" s="18" t="s">
        <v>19</v>
      </c>
      <c r="E2330" s="18" t="s">
        <v>426</v>
      </c>
      <c r="F2330" s="18" t="str">
        <f>"2170725074 "</f>
        <v xml:space="preserve">2170725074 </v>
      </c>
      <c r="G2330" s="18" t="str">
        <f t="shared" si="69"/>
        <v>ON1</v>
      </c>
      <c r="H2330" s="18" t="s">
        <v>21</v>
      </c>
      <c r="I2330" s="18" t="s">
        <v>26</v>
      </c>
      <c r="J2330" s="18" t="str">
        <f>""</f>
        <v/>
      </c>
      <c r="K2330" s="18" t="str">
        <f>"PFES1162732499_0001"</f>
        <v>PFES1162732499_0001</v>
      </c>
      <c r="L2330" s="18">
        <v>1</v>
      </c>
      <c r="M2330" s="18">
        <v>1</v>
      </c>
    </row>
    <row r="2331" spans="1:13">
      <c r="A2331" s="6">
        <v>43852</v>
      </c>
      <c r="B2331" s="7">
        <v>0.67291666666666661</v>
      </c>
      <c r="C2331" s="18" t="str">
        <f>"009935712117"</f>
        <v>009935712117</v>
      </c>
      <c r="D2331" s="18" t="s">
        <v>19</v>
      </c>
      <c r="E2331" s="18" t="s">
        <v>44</v>
      </c>
      <c r="F2331" s="18" t="str">
        <f>"1162729816 "</f>
        <v xml:space="preserve">1162729816 </v>
      </c>
      <c r="G2331" s="18" t="str">
        <f t="shared" si="69"/>
        <v>ON1</v>
      </c>
      <c r="H2331" s="18" t="s">
        <v>21</v>
      </c>
      <c r="I2331" s="18" t="s">
        <v>249</v>
      </c>
      <c r="J2331" s="18" t="str">
        <f>"RE SEND PARCEL"</f>
        <v>RE SEND PARCEL</v>
      </c>
      <c r="K2331" s="18" t="str">
        <f>"P009935712117_0001"</f>
        <v>P009935712117_0001</v>
      </c>
      <c r="L2331" s="18">
        <v>1</v>
      </c>
      <c r="M2331" s="18">
        <v>1</v>
      </c>
    </row>
    <row r="2332" spans="1:13">
      <c r="A2332" s="6">
        <v>43852</v>
      </c>
      <c r="B2332" s="7">
        <v>0.67152777777777783</v>
      </c>
      <c r="C2332" s="18" t="str">
        <f>"009935712116"</f>
        <v>009935712116</v>
      </c>
      <c r="D2332" s="18" t="s">
        <v>19</v>
      </c>
      <c r="E2332" s="18" t="s">
        <v>205</v>
      </c>
      <c r="F2332" s="18" t="str">
        <f>"1162729236 "</f>
        <v xml:space="preserve">1162729236 </v>
      </c>
      <c r="G2332" s="18" t="str">
        <f t="shared" si="69"/>
        <v>ON1</v>
      </c>
      <c r="H2332" s="18" t="s">
        <v>21</v>
      </c>
      <c r="I2332" s="18" t="s">
        <v>88</v>
      </c>
      <c r="J2332" s="18" t="str">
        <f>"RE SEND PARCEL"</f>
        <v>RE SEND PARCEL</v>
      </c>
      <c r="K2332" s="18" t="str">
        <f>"P009935712116_0001"</f>
        <v>P009935712116_0001</v>
      </c>
      <c r="L2332" s="18">
        <v>1</v>
      </c>
      <c r="M2332" s="18">
        <v>1</v>
      </c>
    </row>
    <row r="2333" spans="1:13">
      <c r="A2333" s="6">
        <v>43852</v>
      </c>
      <c r="B2333" s="7">
        <v>0.67083333333333339</v>
      </c>
      <c r="C2333" s="18" t="str">
        <f>"FES1162732433"</f>
        <v>FES1162732433</v>
      </c>
      <c r="D2333" s="18" t="s">
        <v>19</v>
      </c>
      <c r="E2333" s="18" t="s">
        <v>856</v>
      </c>
      <c r="F2333" s="18" t="str">
        <f>"2170724998 "</f>
        <v xml:space="preserve">2170724998 </v>
      </c>
      <c r="G2333" s="18" t="str">
        <f t="shared" si="69"/>
        <v>ON1</v>
      </c>
      <c r="H2333" s="18" t="s">
        <v>21</v>
      </c>
      <c r="I2333" s="18" t="s">
        <v>515</v>
      </c>
      <c r="J2333" s="18" t="str">
        <f>""</f>
        <v/>
      </c>
      <c r="K2333" s="18" t="str">
        <f>"PFES1162732433_0001"</f>
        <v>PFES1162732433_0001</v>
      </c>
      <c r="L2333" s="18">
        <v>1</v>
      </c>
      <c r="M2333" s="18">
        <v>1</v>
      </c>
    </row>
    <row r="2334" spans="1:13">
      <c r="A2334" s="6">
        <v>43852</v>
      </c>
      <c r="B2334" s="7">
        <v>0.67083333333333339</v>
      </c>
      <c r="C2334" s="18" t="str">
        <f>"FES1162732503"</f>
        <v>FES1162732503</v>
      </c>
      <c r="D2334" s="18" t="s">
        <v>19</v>
      </c>
      <c r="E2334" s="18" t="s">
        <v>214</v>
      </c>
      <c r="F2334" s="18" t="str">
        <f>"2170725081 "</f>
        <v xml:space="preserve">2170725081 </v>
      </c>
      <c r="G2334" s="18" t="str">
        <f t="shared" si="69"/>
        <v>ON1</v>
      </c>
      <c r="H2334" s="18" t="s">
        <v>21</v>
      </c>
      <c r="I2334" s="18" t="s">
        <v>215</v>
      </c>
      <c r="J2334" s="18" t="str">
        <f>""</f>
        <v/>
      </c>
      <c r="K2334" s="18" t="str">
        <f>"PFES1162732503_0001"</f>
        <v>PFES1162732503_0001</v>
      </c>
      <c r="L2334" s="18">
        <v>1</v>
      </c>
      <c r="M2334" s="18">
        <v>4</v>
      </c>
    </row>
    <row r="2335" spans="1:13">
      <c r="A2335" s="6">
        <v>43852</v>
      </c>
      <c r="B2335" s="7">
        <v>0.6694444444444444</v>
      </c>
      <c r="C2335" s="18" t="str">
        <f>"FES1162732443"</f>
        <v>FES1162732443</v>
      </c>
      <c r="D2335" s="18" t="s">
        <v>19</v>
      </c>
      <c r="E2335" s="18" t="s">
        <v>587</v>
      </c>
      <c r="F2335" s="18" t="str">
        <f>"2170725013 "</f>
        <v xml:space="preserve">2170725013 </v>
      </c>
      <c r="G2335" s="18" t="str">
        <f t="shared" si="69"/>
        <v>ON1</v>
      </c>
      <c r="H2335" s="18" t="s">
        <v>21</v>
      </c>
      <c r="I2335" s="18" t="s">
        <v>277</v>
      </c>
      <c r="J2335" s="18" t="str">
        <f>""</f>
        <v/>
      </c>
      <c r="K2335" s="18" t="str">
        <f>"PFES1162732443_0001"</f>
        <v>PFES1162732443_0001</v>
      </c>
      <c r="L2335" s="18">
        <v>1</v>
      </c>
      <c r="M2335" s="18">
        <v>1</v>
      </c>
    </row>
    <row r="2336" spans="1:13">
      <c r="A2336" s="6">
        <v>43852</v>
      </c>
      <c r="B2336" s="7">
        <v>0.66805555555555562</v>
      </c>
      <c r="C2336" s="18" t="str">
        <f>"FES1162732448"</f>
        <v>FES1162732448</v>
      </c>
      <c r="D2336" s="18" t="s">
        <v>19</v>
      </c>
      <c r="E2336" s="18" t="s">
        <v>365</v>
      </c>
      <c r="F2336" s="18" t="str">
        <f>"2170724027 "</f>
        <v xml:space="preserve">2170724027 </v>
      </c>
      <c r="G2336" s="18" t="str">
        <f t="shared" si="69"/>
        <v>ON1</v>
      </c>
      <c r="H2336" s="18" t="s">
        <v>21</v>
      </c>
      <c r="I2336" s="18" t="s">
        <v>366</v>
      </c>
      <c r="J2336" s="18" t="str">
        <f>""</f>
        <v/>
      </c>
      <c r="K2336" s="18" t="str">
        <f>"PFES1162732448_0001"</f>
        <v>PFES1162732448_0001</v>
      </c>
      <c r="L2336" s="18">
        <v>1</v>
      </c>
      <c r="M2336" s="18">
        <v>1</v>
      </c>
    </row>
    <row r="2337" spans="1:13">
      <c r="A2337" s="6">
        <v>43852</v>
      </c>
      <c r="B2337" s="7">
        <v>0.66736111111111107</v>
      </c>
      <c r="C2337" s="18" t="str">
        <f>"FES1162732477"</f>
        <v>FES1162732477</v>
      </c>
      <c r="D2337" s="18" t="s">
        <v>19</v>
      </c>
      <c r="E2337" s="18" t="s">
        <v>29</v>
      </c>
      <c r="F2337" s="18" t="str">
        <f>"2170725049 "</f>
        <v xml:space="preserve">2170725049 </v>
      </c>
      <c r="G2337" s="18" t="str">
        <f t="shared" si="69"/>
        <v>ON1</v>
      </c>
      <c r="H2337" s="18" t="s">
        <v>21</v>
      </c>
      <c r="I2337" s="18" t="s">
        <v>22</v>
      </c>
      <c r="J2337" s="18" t="str">
        <f>""</f>
        <v/>
      </c>
      <c r="K2337" s="18" t="str">
        <f>"PFES1162732477_0001"</f>
        <v>PFES1162732477_0001</v>
      </c>
      <c r="L2337" s="18">
        <v>1</v>
      </c>
      <c r="M2337" s="18">
        <v>1</v>
      </c>
    </row>
    <row r="2338" spans="1:13">
      <c r="A2338" s="6">
        <v>43852</v>
      </c>
      <c r="B2338" s="7">
        <v>0.66666666666666663</v>
      </c>
      <c r="C2338" s="18" t="str">
        <f>"FES1162732513"</f>
        <v>FES1162732513</v>
      </c>
      <c r="D2338" s="18" t="s">
        <v>19</v>
      </c>
      <c r="E2338" s="18" t="s">
        <v>142</v>
      </c>
      <c r="F2338" s="18" t="str">
        <f>"2170725093 "</f>
        <v xml:space="preserve">2170725093 </v>
      </c>
      <c r="G2338" s="18" t="str">
        <f t="shared" si="69"/>
        <v>ON1</v>
      </c>
      <c r="H2338" s="18" t="s">
        <v>21</v>
      </c>
      <c r="I2338" s="18" t="s">
        <v>123</v>
      </c>
      <c r="J2338" s="18" t="str">
        <f>""</f>
        <v/>
      </c>
      <c r="K2338" s="18" t="str">
        <f>"PFES1162732513_0001"</f>
        <v>PFES1162732513_0001</v>
      </c>
      <c r="L2338" s="18">
        <v>1</v>
      </c>
      <c r="M2338" s="18">
        <v>1</v>
      </c>
    </row>
    <row r="2339" spans="1:13">
      <c r="A2339" s="6">
        <v>43852</v>
      </c>
      <c r="B2339" s="7">
        <v>0.66597222222222219</v>
      </c>
      <c r="C2339" s="18" t="str">
        <f>"FES1162732468"</f>
        <v>FES1162732468</v>
      </c>
      <c r="D2339" s="18" t="s">
        <v>19</v>
      </c>
      <c r="E2339" s="18" t="s">
        <v>23</v>
      </c>
      <c r="F2339" s="18" t="str">
        <f>"2170725037 "</f>
        <v xml:space="preserve">2170725037 </v>
      </c>
      <c r="G2339" s="18" t="str">
        <f t="shared" si="69"/>
        <v>ON1</v>
      </c>
      <c r="H2339" s="18" t="s">
        <v>21</v>
      </c>
      <c r="I2339" s="18" t="s">
        <v>24</v>
      </c>
      <c r="J2339" s="18" t="str">
        <f>""</f>
        <v/>
      </c>
      <c r="K2339" s="18" t="str">
        <f>"PFES1162732468_0001"</f>
        <v>PFES1162732468_0001</v>
      </c>
      <c r="L2339" s="18">
        <v>1</v>
      </c>
      <c r="M2339" s="18">
        <v>1</v>
      </c>
    </row>
    <row r="2340" spans="1:13">
      <c r="A2340" s="6">
        <v>43852</v>
      </c>
      <c r="B2340" s="7">
        <v>0.66527777777777775</v>
      </c>
      <c r="C2340" s="18" t="str">
        <f>"FES1162732487"</f>
        <v>FES1162732487</v>
      </c>
      <c r="D2340" s="18" t="s">
        <v>19</v>
      </c>
      <c r="E2340" s="18" t="s">
        <v>437</v>
      </c>
      <c r="F2340" s="18" t="str">
        <f>"2170725065 "</f>
        <v xml:space="preserve">2170725065 </v>
      </c>
      <c r="G2340" s="18" t="str">
        <f t="shared" si="69"/>
        <v>ON1</v>
      </c>
      <c r="H2340" s="18" t="s">
        <v>21</v>
      </c>
      <c r="I2340" s="18" t="s">
        <v>438</v>
      </c>
      <c r="J2340" s="18" t="str">
        <f>""</f>
        <v/>
      </c>
      <c r="K2340" s="18" t="str">
        <f>"PFES1162732487_0001"</f>
        <v>PFES1162732487_0001</v>
      </c>
      <c r="L2340" s="18">
        <v>1</v>
      </c>
      <c r="M2340" s="18">
        <v>1</v>
      </c>
    </row>
    <row r="2341" spans="1:13">
      <c r="A2341" s="6">
        <v>43852</v>
      </c>
      <c r="B2341" s="7">
        <v>0.6645833333333333</v>
      </c>
      <c r="C2341" s="18" t="str">
        <f>"FES1162732495"</f>
        <v>FES1162732495</v>
      </c>
      <c r="D2341" s="18" t="s">
        <v>19</v>
      </c>
      <c r="E2341" s="18" t="s">
        <v>29</v>
      </c>
      <c r="F2341" s="18" t="str">
        <f>"2170722286 "</f>
        <v xml:space="preserve">2170722286 </v>
      </c>
      <c r="G2341" s="18" t="str">
        <f t="shared" si="69"/>
        <v>ON1</v>
      </c>
      <c r="H2341" s="18" t="s">
        <v>21</v>
      </c>
      <c r="I2341" s="18" t="s">
        <v>22</v>
      </c>
      <c r="J2341" s="18" t="str">
        <f>""</f>
        <v/>
      </c>
      <c r="K2341" s="18" t="str">
        <f>"PFES1162732495_0001"</f>
        <v>PFES1162732495_0001</v>
      </c>
      <c r="L2341" s="18">
        <v>1</v>
      </c>
      <c r="M2341" s="18">
        <v>3</v>
      </c>
    </row>
    <row r="2342" spans="1:13">
      <c r="A2342" s="6">
        <v>43852</v>
      </c>
      <c r="B2342" s="7">
        <v>0.6645833333333333</v>
      </c>
      <c r="C2342" s="18" t="str">
        <f>"FES1162732470"</f>
        <v>FES1162732470</v>
      </c>
      <c r="D2342" s="18" t="s">
        <v>19</v>
      </c>
      <c r="E2342" s="18" t="s">
        <v>636</v>
      </c>
      <c r="F2342" s="18" t="str">
        <f>"2170725043 "</f>
        <v xml:space="preserve">2170725043 </v>
      </c>
      <c r="G2342" s="18" t="str">
        <f t="shared" si="69"/>
        <v>ON1</v>
      </c>
      <c r="H2342" s="18" t="s">
        <v>21</v>
      </c>
      <c r="I2342" s="18" t="s">
        <v>165</v>
      </c>
      <c r="J2342" s="18" t="str">
        <f>""</f>
        <v/>
      </c>
      <c r="K2342" s="18" t="str">
        <f>"PFES1162732470_0001"</f>
        <v>PFES1162732470_0001</v>
      </c>
      <c r="L2342" s="18">
        <v>1</v>
      </c>
      <c r="M2342" s="18">
        <v>1</v>
      </c>
    </row>
    <row r="2343" spans="1:13">
      <c r="A2343" s="6">
        <v>43852</v>
      </c>
      <c r="B2343" s="7">
        <v>0.6645833333333333</v>
      </c>
      <c r="C2343" s="18" t="str">
        <f>"FES1162732493"</f>
        <v>FES1162732493</v>
      </c>
      <c r="D2343" s="18" t="s">
        <v>19</v>
      </c>
      <c r="E2343" s="18" t="s">
        <v>921</v>
      </c>
      <c r="F2343" s="18" t="str">
        <f>"2170725068 "</f>
        <v xml:space="preserve">2170725068 </v>
      </c>
      <c r="G2343" s="18" t="str">
        <f t="shared" si="69"/>
        <v>ON1</v>
      </c>
      <c r="H2343" s="18" t="s">
        <v>21</v>
      </c>
      <c r="I2343" s="18" t="s">
        <v>531</v>
      </c>
      <c r="J2343" s="18" t="str">
        <f>""</f>
        <v/>
      </c>
      <c r="K2343" s="18" t="str">
        <f>"PFES1162732493_0001"</f>
        <v>PFES1162732493_0001</v>
      </c>
      <c r="L2343" s="18">
        <v>1</v>
      </c>
      <c r="M2343" s="18">
        <v>3</v>
      </c>
    </row>
    <row r="2344" spans="1:13">
      <c r="A2344" s="6">
        <v>43852</v>
      </c>
      <c r="B2344" s="7">
        <v>0.66388888888888886</v>
      </c>
      <c r="C2344" s="18" t="str">
        <f>"FES1162732421"</f>
        <v>FES1162732421</v>
      </c>
      <c r="D2344" s="18" t="s">
        <v>19</v>
      </c>
      <c r="E2344" s="18" t="s">
        <v>44</v>
      </c>
      <c r="F2344" s="18" t="str">
        <f>"2170724980 "</f>
        <v xml:space="preserve">2170724980 </v>
      </c>
      <c r="G2344" s="18" t="str">
        <f t="shared" si="69"/>
        <v>ON1</v>
      </c>
      <c r="H2344" s="18" t="s">
        <v>21</v>
      </c>
      <c r="I2344" s="18" t="s">
        <v>890</v>
      </c>
      <c r="J2344" s="18" t="str">
        <f>""</f>
        <v/>
      </c>
      <c r="K2344" s="18" t="str">
        <f>"PFES1162732421_0001"</f>
        <v>PFES1162732421_0001</v>
      </c>
      <c r="L2344" s="18">
        <v>1</v>
      </c>
      <c r="M2344" s="18">
        <v>5</v>
      </c>
    </row>
    <row r="2345" spans="1:13">
      <c r="A2345" s="6">
        <v>43852</v>
      </c>
      <c r="B2345" s="7">
        <v>0.66388888888888886</v>
      </c>
      <c r="C2345" s="18" t="str">
        <f>"FES1162732484"</f>
        <v>FES1162732484</v>
      </c>
      <c r="D2345" s="18" t="s">
        <v>19</v>
      </c>
      <c r="E2345" s="18" t="s">
        <v>46</v>
      </c>
      <c r="F2345" s="18" t="str">
        <f>"2170725061 "</f>
        <v xml:space="preserve">2170725061 </v>
      </c>
      <c r="G2345" s="18" t="str">
        <f t="shared" si="69"/>
        <v>ON1</v>
      </c>
      <c r="H2345" s="18" t="s">
        <v>21</v>
      </c>
      <c r="I2345" s="18" t="s">
        <v>47</v>
      </c>
      <c r="J2345" s="18" t="str">
        <f>""</f>
        <v/>
      </c>
      <c r="K2345" s="18" t="str">
        <f>"PFES1162732484_0001"</f>
        <v>PFES1162732484_0001</v>
      </c>
      <c r="L2345" s="18">
        <v>1</v>
      </c>
      <c r="M2345" s="18">
        <v>15</v>
      </c>
    </row>
    <row r="2346" spans="1:13">
      <c r="A2346" s="6">
        <v>43852</v>
      </c>
      <c r="B2346" s="7">
        <v>0.66319444444444442</v>
      </c>
      <c r="C2346" s="18" t="str">
        <f>"FES1162732463"</f>
        <v>FES1162732463</v>
      </c>
      <c r="D2346" s="18" t="s">
        <v>19</v>
      </c>
      <c r="E2346" s="18" t="s">
        <v>477</v>
      </c>
      <c r="F2346" s="18" t="str">
        <f>"2170725033 "</f>
        <v xml:space="preserve">2170725033 </v>
      </c>
      <c r="G2346" s="18" t="str">
        <f t="shared" si="69"/>
        <v>ON1</v>
      </c>
      <c r="H2346" s="18" t="s">
        <v>21</v>
      </c>
      <c r="I2346" s="18" t="s">
        <v>200</v>
      </c>
      <c r="J2346" s="18" t="str">
        <f>""</f>
        <v/>
      </c>
      <c r="K2346" s="18" t="str">
        <f>"PFES1162732463_0001"</f>
        <v>PFES1162732463_0001</v>
      </c>
      <c r="L2346" s="18">
        <v>1</v>
      </c>
      <c r="M2346" s="18">
        <v>4</v>
      </c>
    </row>
    <row r="2347" spans="1:13">
      <c r="A2347" s="6">
        <v>43852</v>
      </c>
      <c r="B2347" s="7">
        <v>0.66180555555555554</v>
      </c>
      <c r="C2347" s="18" t="str">
        <f>"FES1162732500"</f>
        <v>FES1162732500</v>
      </c>
      <c r="D2347" s="18" t="s">
        <v>19</v>
      </c>
      <c r="E2347" s="18" t="s">
        <v>134</v>
      </c>
      <c r="F2347" s="18" t="str">
        <f>"2170725076 "</f>
        <v xml:space="preserve">2170725076 </v>
      </c>
      <c r="G2347" s="18" t="str">
        <f t="shared" si="69"/>
        <v>ON1</v>
      </c>
      <c r="H2347" s="18" t="s">
        <v>21</v>
      </c>
      <c r="I2347" s="18" t="s">
        <v>135</v>
      </c>
      <c r="J2347" s="18" t="str">
        <f>""</f>
        <v/>
      </c>
      <c r="K2347" s="18" t="str">
        <f>"PFES1162732500_0001"</f>
        <v>PFES1162732500_0001</v>
      </c>
      <c r="L2347" s="18">
        <v>1</v>
      </c>
      <c r="M2347" s="18">
        <v>5</v>
      </c>
    </row>
    <row r="2348" spans="1:13">
      <c r="A2348" s="6">
        <v>43852</v>
      </c>
      <c r="B2348" s="7">
        <v>0.66180555555555554</v>
      </c>
      <c r="C2348" s="18" t="str">
        <f>"FES1162731835"</f>
        <v>FES1162731835</v>
      </c>
      <c r="D2348" s="18" t="s">
        <v>19</v>
      </c>
      <c r="E2348" s="18" t="s">
        <v>306</v>
      </c>
      <c r="F2348" s="18" t="str">
        <f>"2170715826 "</f>
        <v xml:space="preserve">2170715826 </v>
      </c>
      <c r="G2348" s="18" t="str">
        <f t="shared" si="69"/>
        <v>ON1</v>
      </c>
      <c r="H2348" s="18" t="s">
        <v>21</v>
      </c>
      <c r="I2348" s="18" t="s">
        <v>307</v>
      </c>
      <c r="J2348" s="18" t="str">
        <f>""</f>
        <v/>
      </c>
      <c r="K2348" s="18" t="str">
        <f>"PFES1162731835_0001"</f>
        <v>PFES1162731835_0001</v>
      </c>
      <c r="L2348" s="18">
        <v>1</v>
      </c>
      <c r="M2348" s="18">
        <v>5</v>
      </c>
    </row>
    <row r="2349" spans="1:13">
      <c r="A2349" s="6">
        <v>43852</v>
      </c>
      <c r="B2349" s="7">
        <v>0.65277777777777779</v>
      </c>
      <c r="C2349" s="18" t="str">
        <f>"FES1162732506"</f>
        <v>FES1162732506</v>
      </c>
      <c r="D2349" s="18" t="s">
        <v>19</v>
      </c>
      <c r="E2349" s="18" t="s">
        <v>922</v>
      </c>
      <c r="F2349" s="18" t="str">
        <f>"2170725087 "</f>
        <v xml:space="preserve">2170725087 </v>
      </c>
      <c r="G2349" s="18" t="str">
        <f t="shared" si="69"/>
        <v>ON1</v>
      </c>
      <c r="H2349" s="18" t="s">
        <v>21</v>
      </c>
      <c r="I2349" s="18" t="s">
        <v>255</v>
      </c>
      <c r="J2349" s="18" t="str">
        <f>""</f>
        <v/>
      </c>
      <c r="K2349" s="18" t="str">
        <f>"PFES1162732506_0001"</f>
        <v>PFES1162732506_0001</v>
      </c>
      <c r="L2349" s="18">
        <v>1</v>
      </c>
      <c r="M2349" s="18">
        <v>1</v>
      </c>
    </row>
    <row r="2350" spans="1:13">
      <c r="A2350" s="6">
        <v>43852</v>
      </c>
      <c r="B2350" s="7">
        <v>0.6479166666666667</v>
      </c>
      <c r="C2350" s="18" t="str">
        <f>"FES1162732390"</f>
        <v>FES1162732390</v>
      </c>
      <c r="D2350" s="18" t="s">
        <v>19</v>
      </c>
      <c r="E2350" s="18" t="s">
        <v>680</v>
      </c>
      <c r="F2350" s="18" t="str">
        <f>"2170724926 "</f>
        <v xml:space="preserve">2170724926 </v>
      </c>
      <c r="G2350" s="18" t="str">
        <f t="shared" si="69"/>
        <v>ON1</v>
      </c>
      <c r="H2350" s="18" t="s">
        <v>21</v>
      </c>
      <c r="I2350" s="18" t="s">
        <v>681</v>
      </c>
      <c r="J2350" s="18" t="str">
        <f>""</f>
        <v/>
      </c>
      <c r="K2350" s="18" t="str">
        <f>"PFES1162732390_0001"</f>
        <v>PFES1162732390_0001</v>
      </c>
      <c r="L2350" s="18">
        <v>1</v>
      </c>
      <c r="M2350" s="18">
        <v>1</v>
      </c>
    </row>
    <row r="2351" spans="1:13">
      <c r="A2351" s="6">
        <v>43852</v>
      </c>
      <c r="B2351" s="7">
        <v>0.64444444444444449</v>
      </c>
      <c r="C2351" s="18" t="str">
        <f>"FES1162732402"</f>
        <v>FES1162732402</v>
      </c>
      <c r="D2351" s="18" t="s">
        <v>19</v>
      </c>
      <c r="E2351" s="18" t="s">
        <v>591</v>
      </c>
      <c r="F2351" s="18" t="str">
        <f>"2170724945 "</f>
        <v xml:space="preserve">2170724945 </v>
      </c>
      <c r="G2351" s="18" t="str">
        <f t="shared" si="69"/>
        <v>ON1</v>
      </c>
      <c r="H2351" s="18" t="s">
        <v>21</v>
      </c>
      <c r="I2351" s="18" t="s">
        <v>247</v>
      </c>
      <c r="J2351" s="18" t="str">
        <f>""</f>
        <v/>
      </c>
      <c r="K2351" s="18" t="str">
        <f>"PFES1162732402_0001"</f>
        <v>PFES1162732402_0001</v>
      </c>
      <c r="L2351" s="18">
        <v>1</v>
      </c>
      <c r="M2351" s="18">
        <v>1</v>
      </c>
    </row>
    <row r="2352" spans="1:13">
      <c r="A2352" s="6">
        <v>43852</v>
      </c>
      <c r="B2352" s="7">
        <v>0.64166666666666672</v>
      </c>
      <c r="C2352" s="18" t="str">
        <f>"FES1162732398"</f>
        <v>FES1162732398</v>
      </c>
      <c r="D2352" s="18" t="s">
        <v>19</v>
      </c>
      <c r="E2352" s="18" t="s">
        <v>378</v>
      </c>
      <c r="F2352" s="18" t="str">
        <f>"2170724939 "</f>
        <v xml:space="preserve">2170724939 </v>
      </c>
      <c r="G2352" s="18" t="str">
        <f t="shared" si="69"/>
        <v>ON1</v>
      </c>
      <c r="H2352" s="18" t="s">
        <v>21</v>
      </c>
      <c r="I2352" s="18" t="s">
        <v>379</v>
      </c>
      <c r="J2352" s="18" t="str">
        <f>""</f>
        <v/>
      </c>
      <c r="K2352" s="18" t="str">
        <f>"PFES1162732398_0001"</f>
        <v>PFES1162732398_0001</v>
      </c>
      <c r="L2352" s="18">
        <v>1</v>
      </c>
      <c r="M2352" s="18">
        <v>1</v>
      </c>
    </row>
    <row r="2353" spans="1:13">
      <c r="A2353" s="6">
        <v>43852</v>
      </c>
      <c r="B2353" s="7">
        <v>0.64166666666666672</v>
      </c>
      <c r="C2353" s="18" t="str">
        <f>"FES1162732459"</f>
        <v>FES1162732459</v>
      </c>
      <c r="D2353" s="18" t="s">
        <v>19</v>
      </c>
      <c r="E2353" s="18" t="s">
        <v>37</v>
      </c>
      <c r="F2353" s="18" t="str">
        <f>"2170725029 "</f>
        <v xml:space="preserve">2170725029 </v>
      </c>
      <c r="G2353" s="18" t="str">
        <f t="shared" si="69"/>
        <v>ON1</v>
      </c>
      <c r="H2353" s="18" t="s">
        <v>21</v>
      </c>
      <c r="I2353" s="18" t="s">
        <v>38</v>
      </c>
      <c r="J2353" s="18" t="str">
        <f>""</f>
        <v/>
      </c>
      <c r="K2353" s="18" t="str">
        <f>"PFES1162732459_0001"</f>
        <v>PFES1162732459_0001</v>
      </c>
      <c r="L2353" s="18">
        <v>1</v>
      </c>
      <c r="M2353" s="18">
        <v>13</v>
      </c>
    </row>
    <row r="2354" spans="1:13">
      <c r="A2354" s="6">
        <v>43852</v>
      </c>
      <c r="B2354" s="7">
        <v>0.64097222222222217</v>
      </c>
      <c r="C2354" s="18" t="str">
        <f>"FES1162732486"</f>
        <v>FES1162732486</v>
      </c>
      <c r="D2354" s="18" t="s">
        <v>19</v>
      </c>
      <c r="E2354" s="18" t="s">
        <v>186</v>
      </c>
      <c r="F2354" s="18" t="str">
        <f>"2170725063 "</f>
        <v xml:space="preserve">2170725063 </v>
      </c>
      <c r="G2354" s="18" t="str">
        <f t="shared" ref="G2354:G2417" si="70">"ON1"</f>
        <v>ON1</v>
      </c>
      <c r="H2354" s="18" t="s">
        <v>21</v>
      </c>
      <c r="I2354" s="18" t="s">
        <v>187</v>
      </c>
      <c r="J2354" s="18" t="str">
        <f>""</f>
        <v/>
      </c>
      <c r="K2354" s="18" t="str">
        <f>"PFES1162732486_0001"</f>
        <v>PFES1162732486_0001</v>
      </c>
      <c r="L2354" s="18">
        <v>1</v>
      </c>
      <c r="M2354" s="18">
        <v>1</v>
      </c>
    </row>
    <row r="2355" spans="1:13">
      <c r="A2355" s="6">
        <v>43852</v>
      </c>
      <c r="B2355" s="7">
        <v>0.64027777777777783</v>
      </c>
      <c r="C2355" s="18" t="str">
        <f>"FES1162732423"</f>
        <v>FES1162732423</v>
      </c>
      <c r="D2355" s="18" t="s">
        <v>19</v>
      </c>
      <c r="E2355" s="18" t="s">
        <v>602</v>
      </c>
      <c r="F2355" s="18" t="str">
        <f>"2170722423 "</f>
        <v xml:space="preserve">2170722423 </v>
      </c>
      <c r="G2355" s="18" t="str">
        <f t="shared" si="70"/>
        <v>ON1</v>
      </c>
      <c r="H2355" s="18" t="s">
        <v>21</v>
      </c>
      <c r="I2355" s="18" t="s">
        <v>381</v>
      </c>
      <c r="J2355" s="18" t="str">
        <f>""</f>
        <v/>
      </c>
      <c r="K2355" s="18" t="str">
        <f>"PFES1162732423_0001"</f>
        <v>PFES1162732423_0001</v>
      </c>
      <c r="L2355" s="18">
        <v>1</v>
      </c>
      <c r="M2355" s="18">
        <v>4</v>
      </c>
    </row>
    <row r="2356" spans="1:13">
      <c r="A2356" s="6">
        <v>43852</v>
      </c>
      <c r="B2356" s="7">
        <v>0.63958333333333328</v>
      </c>
      <c r="C2356" s="18" t="str">
        <f>"FES1162732392"</f>
        <v>FES1162732392</v>
      </c>
      <c r="D2356" s="18" t="s">
        <v>19</v>
      </c>
      <c r="E2356" s="18" t="s">
        <v>516</v>
      </c>
      <c r="F2356" s="18" t="str">
        <f>"2170724930 "</f>
        <v xml:space="preserve">2170724930 </v>
      </c>
      <c r="G2356" s="18" t="str">
        <f t="shared" si="70"/>
        <v>ON1</v>
      </c>
      <c r="H2356" s="18" t="s">
        <v>21</v>
      </c>
      <c r="I2356" s="18" t="s">
        <v>517</v>
      </c>
      <c r="J2356" s="18" t="str">
        <f>""</f>
        <v/>
      </c>
      <c r="K2356" s="18" t="str">
        <f>"PFES1162732392_0001"</f>
        <v>PFES1162732392_0001</v>
      </c>
      <c r="L2356" s="18">
        <v>1</v>
      </c>
      <c r="M2356" s="18">
        <v>1</v>
      </c>
    </row>
    <row r="2357" spans="1:13">
      <c r="A2357" s="6">
        <v>43852</v>
      </c>
      <c r="B2357" s="7">
        <v>0.63888888888888895</v>
      </c>
      <c r="C2357" s="18" t="str">
        <f>"FES1162732335"</f>
        <v>FES1162732335</v>
      </c>
      <c r="D2357" s="18" t="s">
        <v>19</v>
      </c>
      <c r="E2357" s="18" t="s">
        <v>201</v>
      </c>
      <c r="F2357" s="18" t="str">
        <f>"2170722536 "</f>
        <v xml:space="preserve">2170722536 </v>
      </c>
      <c r="G2357" s="18" t="str">
        <f t="shared" si="70"/>
        <v>ON1</v>
      </c>
      <c r="H2357" s="18" t="s">
        <v>21</v>
      </c>
      <c r="I2357" s="18" t="s">
        <v>202</v>
      </c>
      <c r="J2357" s="18" t="str">
        <f>""</f>
        <v/>
      </c>
      <c r="K2357" s="18" t="str">
        <f>"PFES1162732335_0001"</f>
        <v>PFES1162732335_0001</v>
      </c>
      <c r="L2357" s="18">
        <v>1</v>
      </c>
      <c r="M2357" s="18">
        <v>4</v>
      </c>
    </row>
    <row r="2358" spans="1:13">
      <c r="A2358" s="6">
        <v>43852</v>
      </c>
      <c r="B2358" s="7">
        <v>0.6381944444444444</v>
      </c>
      <c r="C2358" s="18" t="str">
        <f>"FES1162732432"</f>
        <v>FES1162732432</v>
      </c>
      <c r="D2358" s="18" t="s">
        <v>19</v>
      </c>
      <c r="E2358" s="18" t="s">
        <v>923</v>
      </c>
      <c r="F2358" s="18" t="str">
        <f>"2170724995 "</f>
        <v xml:space="preserve">2170724995 </v>
      </c>
      <c r="G2358" s="18" t="str">
        <f t="shared" si="70"/>
        <v>ON1</v>
      </c>
      <c r="H2358" s="18" t="s">
        <v>21</v>
      </c>
      <c r="I2358" s="18" t="s">
        <v>416</v>
      </c>
      <c r="J2358" s="18" t="str">
        <f>""</f>
        <v/>
      </c>
      <c r="K2358" s="18" t="str">
        <f>"PFES1162732432_0001"</f>
        <v>PFES1162732432_0001</v>
      </c>
      <c r="L2358" s="18">
        <v>1</v>
      </c>
      <c r="M2358" s="18">
        <v>1</v>
      </c>
    </row>
    <row r="2359" spans="1:13">
      <c r="A2359" s="6">
        <v>43852</v>
      </c>
      <c r="B2359" s="7">
        <v>0.63680555555555551</v>
      </c>
      <c r="C2359" s="18" t="str">
        <f>"FES1162732377"</f>
        <v>FES1162732377</v>
      </c>
      <c r="D2359" s="18" t="s">
        <v>19</v>
      </c>
      <c r="E2359" s="18" t="s">
        <v>478</v>
      </c>
      <c r="F2359" s="18" t="str">
        <f>"2170724909 "</f>
        <v xml:space="preserve">2170724909 </v>
      </c>
      <c r="G2359" s="18" t="str">
        <f t="shared" si="70"/>
        <v>ON1</v>
      </c>
      <c r="H2359" s="18" t="s">
        <v>21</v>
      </c>
      <c r="I2359" s="18" t="s">
        <v>277</v>
      </c>
      <c r="J2359" s="18" t="str">
        <f>""</f>
        <v/>
      </c>
      <c r="K2359" s="18" t="str">
        <f>"PFES1162732377_0001"</f>
        <v>PFES1162732377_0001</v>
      </c>
      <c r="L2359" s="18">
        <v>1</v>
      </c>
      <c r="M2359" s="18">
        <v>14</v>
      </c>
    </row>
    <row r="2360" spans="1:13">
      <c r="A2360" s="6">
        <v>43852</v>
      </c>
      <c r="B2360" s="7">
        <v>0.62708333333333333</v>
      </c>
      <c r="C2360" s="18" t="str">
        <f>"FES1162732452"</f>
        <v>FES1162732452</v>
      </c>
      <c r="D2360" s="18" t="s">
        <v>19</v>
      </c>
      <c r="E2360" s="18" t="s">
        <v>427</v>
      </c>
      <c r="F2360" s="18" t="str">
        <f>"2170724702 "</f>
        <v xml:space="preserve">2170724702 </v>
      </c>
      <c r="G2360" s="18" t="str">
        <f t="shared" si="70"/>
        <v>ON1</v>
      </c>
      <c r="H2360" s="18" t="s">
        <v>21</v>
      </c>
      <c r="I2360" s="18" t="s">
        <v>428</v>
      </c>
      <c r="J2360" s="18" t="str">
        <f>""</f>
        <v/>
      </c>
      <c r="K2360" s="18" t="str">
        <f>"PFES1162732452_0001"</f>
        <v>PFES1162732452_0001</v>
      </c>
      <c r="L2360" s="18">
        <v>1</v>
      </c>
      <c r="M2360" s="18">
        <v>1</v>
      </c>
    </row>
    <row r="2361" spans="1:13">
      <c r="A2361" s="6">
        <v>43852</v>
      </c>
      <c r="B2361" s="7">
        <v>0.62638888888888888</v>
      </c>
      <c r="C2361" s="18" t="str">
        <f>"FES1162732454"</f>
        <v>FES1162732454</v>
      </c>
      <c r="D2361" s="18" t="s">
        <v>19</v>
      </c>
      <c r="E2361" s="18" t="s">
        <v>118</v>
      </c>
      <c r="F2361" s="18" t="str">
        <f>"2170724809 "</f>
        <v xml:space="preserve">2170724809 </v>
      </c>
      <c r="G2361" s="18" t="str">
        <f t="shared" si="70"/>
        <v>ON1</v>
      </c>
      <c r="H2361" s="18" t="s">
        <v>21</v>
      </c>
      <c r="I2361" s="18" t="s">
        <v>119</v>
      </c>
      <c r="J2361" s="18" t="str">
        <f>""</f>
        <v/>
      </c>
      <c r="K2361" s="18" t="str">
        <f>"PFES1162732454_0001"</f>
        <v>PFES1162732454_0001</v>
      </c>
      <c r="L2361" s="18">
        <v>1</v>
      </c>
      <c r="M2361" s="18">
        <v>1</v>
      </c>
    </row>
    <row r="2362" spans="1:13">
      <c r="A2362" s="6">
        <v>43852</v>
      </c>
      <c r="B2362" s="7">
        <v>0.62638888888888888</v>
      </c>
      <c r="C2362" s="18" t="str">
        <f>"FES1162732425"</f>
        <v>FES1162732425</v>
      </c>
      <c r="D2362" s="18" t="s">
        <v>19</v>
      </c>
      <c r="E2362" s="18" t="s">
        <v>285</v>
      </c>
      <c r="F2362" s="18" t="str">
        <f>"2170724882 "</f>
        <v xml:space="preserve">2170724882 </v>
      </c>
      <c r="G2362" s="18" t="str">
        <f t="shared" si="70"/>
        <v>ON1</v>
      </c>
      <c r="H2362" s="18" t="s">
        <v>21</v>
      </c>
      <c r="I2362" s="18" t="s">
        <v>165</v>
      </c>
      <c r="J2362" s="18" t="str">
        <f>""</f>
        <v/>
      </c>
      <c r="K2362" s="18" t="str">
        <f>"PFES1162732425_0001"</f>
        <v>PFES1162732425_0001</v>
      </c>
      <c r="L2362" s="18">
        <v>1</v>
      </c>
      <c r="M2362" s="18">
        <v>1</v>
      </c>
    </row>
    <row r="2363" spans="1:13">
      <c r="A2363" s="6">
        <v>43852</v>
      </c>
      <c r="B2363" s="7">
        <v>0.62569444444444444</v>
      </c>
      <c r="C2363" s="18" t="str">
        <f>"FES1162732420"</f>
        <v>FES1162732420</v>
      </c>
      <c r="D2363" s="18" t="s">
        <v>19</v>
      </c>
      <c r="E2363" s="18" t="s">
        <v>174</v>
      </c>
      <c r="F2363" s="18" t="str">
        <f>"2170724979 "</f>
        <v xml:space="preserve">2170724979 </v>
      </c>
      <c r="G2363" s="18" t="str">
        <f t="shared" si="70"/>
        <v>ON1</v>
      </c>
      <c r="H2363" s="18" t="s">
        <v>21</v>
      </c>
      <c r="I2363" s="18" t="s">
        <v>175</v>
      </c>
      <c r="J2363" s="18" t="str">
        <f>""</f>
        <v/>
      </c>
      <c r="K2363" s="18" t="str">
        <f>"PFES1162732420_0001"</f>
        <v>PFES1162732420_0001</v>
      </c>
      <c r="L2363" s="18">
        <v>1</v>
      </c>
      <c r="M2363" s="18">
        <v>1</v>
      </c>
    </row>
    <row r="2364" spans="1:13">
      <c r="A2364" s="6">
        <v>43852</v>
      </c>
      <c r="B2364" s="7">
        <v>0.625</v>
      </c>
      <c r="C2364" s="18" t="str">
        <f>"FES1162732418"</f>
        <v>FES1162732418</v>
      </c>
      <c r="D2364" s="18" t="s">
        <v>19</v>
      </c>
      <c r="E2364" s="18" t="s">
        <v>593</v>
      </c>
      <c r="F2364" s="18" t="str">
        <f>"2170724975 "</f>
        <v xml:space="preserve">2170724975 </v>
      </c>
      <c r="G2364" s="18" t="str">
        <f t="shared" si="70"/>
        <v>ON1</v>
      </c>
      <c r="H2364" s="18" t="s">
        <v>21</v>
      </c>
      <c r="I2364" s="18" t="s">
        <v>179</v>
      </c>
      <c r="J2364" s="18" t="str">
        <f>""</f>
        <v/>
      </c>
      <c r="K2364" s="18" t="str">
        <f>"PFES1162732418_0001"</f>
        <v>PFES1162732418_0001</v>
      </c>
      <c r="L2364" s="18">
        <v>1</v>
      </c>
      <c r="M2364" s="18">
        <v>9</v>
      </c>
    </row>
    <row r="2365" spans="1:13">
      <c r="A2365" s="6">
        <v>43852</v>
      </c>
      <c r="B2365" s="7">
        <v>0.62430555555555556</v>
      </c>
      <c r="C2365" s="18" t="str">
        <f>"FES1162732442"</f>
        <v>FES1162732442</v>
      </c>
      <c r="D2365" s="18" t="s">
        <v>19</v>
      </c>
      <c r="E2365" s="18" t="s">
        <v>168</v>
      </c>
      <c r="F2365" s="18" t="str">
        <f>"2170725012 "</f>
        <v xml:space="preserve">2170725012 </v>
      </c>
      <c r="G2365" s="18" t="str">
        <f t="shared" si="70"/>
        <v>ON1</v>
      </c>
      <c r="H2365" s="18" t="s">
        <v>21</v>
      </c>
      <c r="I2365" s="18" t="s">
        <v>169</v>
      </c>
      <c r="J2365" s="18" t="str">
        <f>""</f>
        <v/>
      </c>
      <c r="K2365" s="18" t="str">
        <f>"PFES1162732442_0001"</f>
        <v>PFES1162732442_0001</v>
      </c>
      <c r="L2365" s="18">
        <v>1</v>
      </c>
      <c r="M2365" s="18">
        <v>2</v>
      </c>
    </row>
    <row r="2366" spans="1:13">
      <c r="A2366" s="6">
        <v>43852</v>
      </c>
      <c r="B2366" s="7">
        <v>0.62361111111111112</v>
      </c>
      <c r="C2366" s="18" t="str">
        <f>"FES1162732437"</f>
        <v>FES1162732437</v>
      </c>
      <c r="D2366" s="18" t="s">
        <v>19</v>
      </c>
      <c r="E2366" s="18" t="s">
        <v>580</v>
      </c>
      <c r="F2366" s="18" t="str">
        <f>"2170725009 "</f>
        <v xml:space="preserve">2170725009 </v>
      </c>
      <c r="G2366" s="18" t="str">
        <f t="shared" si="70"/>
        <v>ON1</v>
      </c>
      <c r="H2366" s="18" t="s">
        <v>21</v>
      </c>
      <c r="I2366" s="18" t="s">
        <v>924</v>
      </c>
      <c r="J2366" s="18" t="str">
        <f>""</f>
        <v/>
      </c>
      <c r="K2366" s="18" t="str">
        <f>"PFES1162732437_0001"</f>
        <v>PFES1162732437_0001</v>
      </c>
      <c r="L2366" s="18">
        <v>1</v>
      </c>
      <c r="M2366" s="18">
        <v>10</v>
      </c>
    </row>
    <row r="2367" spans="1:13">
      <c r="A2367" s="6">
        <v>43852</v>
      </c>
      <c r="B2367" s="7">
        <v>0.61527777777777781</v>
      </c>
      <c r="C2367" s="18" t="str">
        <f>"009935723365"</f>
        <v>009935723365</v>
      </c>
      <c r="D2367" s="18" t="s">
        <v>19</v>
      </c>
      <c r="E2367" s="18" t="s">
        <v>44</v>
      </c>
      <c r="F2367" s="18" t="str">
        <f>"1162729007 "</f>
        <v xml:space="preserve">1162729007 </v>
      </c>
      <c r="G2367" s="18" t="str">
        <f t="shared" si="70"/>
        <v>ON1</v>
      </c>
      <c r="H2367" s="18" t="s">
        <v>21</v>
      </c>
      <c r="I2367" s="18" t="s">
        <v>249</v>
      </c>
      <c r="J2367" s="18" t="str">
        <f>"resend"</f>
        <v>resend</v>
      </c>
      <c r="K2367" s="18" t="str">
        <f>"P009935723365_0001"</f>
        <v>P009935723365_0001</v>
      </c>
      <c r="L2367" s="18">
        <v>1</v>
      </c>
      <c r="M2367" s="18">
        <v>5</v>
      </c>
    </row>
    <row r="2368" spans="1:13">
      <c r="A2368" s="6">
        <v>43852</v>
      </c>
      <c r="B2368" s="7">
        <v>0.61319444444444449</v>
      </c>
      <c r="C2368" s="18" t="str">
        <f>"FES1162732447"</f>
        <v>FES1162732447</v>
      </c>
      <c r="D2368" s="18" t="s">
        <v>19</v>
      </c>
      <c r="E2368" s="18" t="s">
        <v>261</v>
      </c>
      <c r="F2368" s="18" t="str">
        <f>"2170724009 "</f>
        <v xml:space="preserve">2170724009 </v>
      </c>
      <c r="G2368" s="18" t="str">
        <f t="shared" si="70"/>
        <v>ON1</v>
      </c>
      <c r="H2368" s="18" t="s">
        <v>21</v>
      </c>
      <c r="I2368" s="18" t="s">
        <v>152</v>
      </c>
      <c r="J2368" s="18" t="str">
        <f>""</f>
        <v/>
      </c>
      <c r="K2368" s="18" t="str">
        <f>"PFES1162732447_0001"</f>
        <v>PFES1162732447_0001</v>
      </c>
      <c r="L2368" s="18">
        <v>1</v>
      </c>
      <c r="M2368" s="18">
        <v>5</v>
      </c>
    </row>
    <row r="2369" spans="1:13">
      <c r="A2369" s="6">
        <v>43852</v>
      </c>
      <c r="B2369" s="7">
        <v>0.61249999999999993</v>
      </c>
      <c r="C2369" s="18" t="str">
        <f>"FES1162732380"</f>
        <v>FES1162732380</v>
      </c>
      <c r="D2369" s="18" t="s">
        <v>19</v>
      </c>
      <c r="E2369" s="18" t="s">
        <v>240</v>
      </c>
      <c r="F2369" s="18" t="str">
        <f>"2170724914 "</f>
        <v xml:space="preserve">2170724914 </v>
      </c>
      <c r="G2369" s="18" t="str">
        <f t="shared" si="70"/>
        <v>ON1</v>
      </c>
      <c r="H2369" s="18" t="s">
        <v>21</v>
      </c>
      <c r="I2369" s="18" t="s">
        <v>241</v>
      </c>
      <c r="J2369" s="18" t="str">
        <f>""</f>
        <v/>
      </c>
      <c r="K2369" s="18" t="str">
        <f>"PFES1162732380_0001"</f>
        <v>PFES1162732380_0001</v>
      </c>
      <c r="L2369" s="18">
        <v>1</v>
      </c>
      <c r="M2369" s="18">
        <v>3</v>
      </c>
    </row>
    <row r="2370" spans="1:13">
      <c r="A2370" s="6">
        <v>43852</v>
      </c>
      <c r="B2370" s="7">
        <v>0.61249999999999993</v>
      </c>
      <c r="C2370" s="18" t="str">
        <f>"FES1162732374"</f>
        <v>FES1162732374</v>
      </c>
      <c r="D2370" s="18" t="s">
        <v>19</v>
      </c>
      <c r="E2370" s="18" t="s">
        <v>205</v>
      </c>
      <c r="F2370" s="18" t="str">
        <f>"2170724905 "</f>
        <v xml:space="preserve">2170724905 </v>
      </c>
      <c r="G2370" s="18" t="str">
        <f t="shared" si="70"/>
        <v>ON1</v>
      </c>
      <c r="H2370" s="18" t="s">
        <v>21</v>
      </c>
      <c r="I2370" s="18" t="s">
        <v>88</v>
      </c>
      <c r="J2370" s="18" t="str">
        <f>""</f>
        <v/>
      </c>
      <c r="K2370" s="18" t="str">
        <f>"PFES1162732374_0001"</f>
        <v>PFES1162732374_0001</v>
      </c>
      <c r="L2370" s="18">
        <v>1</v>
      </c>
      <c r="M2370" s="18">
        <v>1</v>
      </c>
    </row>
    <row r="2371" spans="1:13">
      <c r="A2371" s="6">
        <v>43852</v>
      </c>
      <c r="B2371" s="7">
        <v>0.6118055555555556</v>
      </c>
      <c r="C2371" s="18" t="str">
        <f>"FES1162732279"</f>
        <v>FES1162732279</v>
      </c>
      <c r="D2371" s="18" t="s">
        <v>19</v>
      </c>
      <c r="E2371" s="18" t="s">
        <v>141</v>
      </c>
      <c r="F2371" s="18" t="str">
        <f>"2170724775 "</f>
        <v xml:space="preserve">2170724775 </v>
      </c>
      <c r="G2371" s="18" t="str">
        <f t="shared" si="70"/>
        <v>ON1</v>
      </c>
      <c r="H2371" s="18" t="s">
        <v>21</v>
      </c>
      <c r="I2371" s="18" t="s">
        <v>90</v>
      </c>
      <c r="J2371" s="18" t="str">
        <f>""</f>
        <v/>
      </c>
      <c r="K2371" s="18" t="str">
        <f>"PFES1162732279_0001"</f>
        <v>PFES1162732279_0001</v>
      </c>
      <c r="L2371" s="18">
        <v>1</v>
      </c>
      <c r="M2371" s="18">
        <v>1</v>
      </c>
    </row>
    <row r="2372" spans="1:13">
      <c r="A2372" s="6">
        <v>43852</v>
      </c>
      <c r="B2372" s="7">
        <v>0.6118055555555556</v>
      </c>
      <c r="C2372" s="18" t="str">
        <f>"FES1162732445"</f>
        <v>FES1162732445</v>
      </c>
      <c r="D2372" s="18" t="s">
        <v>19</v>
      </c>
      <c r="E2372" s="18" t="s">
        <v>925</v>
      </c>
      <c r="F2372" s="18" t="str">
        <f>"2170725018 "</f>
        <v xml:space="preserve">2170725018 </v>
      </c>
      <c r="G2372" s="18" t="str">
        <f t="shared" si="70"/>
        <v>ON1</v>
      </c>
      <c r="H2372" s="18" t="s">
        <v>21</v>
      </c>
      <c r="I2372" s="18" t="s">
        <v>225</v>
      </c>
      <c r="J2372" s="18" t="str">
        <f>""</f>
        <v/>
      </c>
      <c r="K2372" s="18" t="str">
        <f>"PFES1162732445_0001"</f>
        <v>PFES1162732445_0001</v>
      </c>
      <c r="L2372" s="18">
        <v>1</v>
      </c>
      <c r="M2372" s="18">
        <v>1</v>
      </c>
    </row>
    <row r="2373" spans="1:13">
      <c r="A2373" s="6">
        <v>43852</v>
      </c>
      <c r="B2373" s="7">
        <v>0.61111111111111105</v>
      </c>
      <c r="C2373" s="18" t="str">
        <f>"FES1162732465"</f>
        <v>FES1162732465</v>
      </c>
      <c r="D2373" s="18" t="s">
        <v>19</v>
      </c>
      <c r="E2373" s="18" t="s">
        <v>603</v>
      </c>
      <c r="F2373" s="18" t="str">
        <f>"2170725039 "</f>
        <v xml:space="preserve">2170725039 </v>
      </c>
      <c r="G2373" s="18" t="str">
        <f t="shared" si="70"/>
        <v>ON1</v>
      </c>
      <c r="H2373" s="18" t="s">
        <v>21</v>
      </c>
      <c r="I2373" s="18" t="s">
        <v>604</v>
      </c>
      <c r="J2373" s="18" t="str">
        <f>""</f>
        <v/>
      </c>
      <c r="K2373" s="18" t="str">
        <f>"PFES1162732465_0001"</f>
        <v>PFES1162732465_0001</v>
      </c>
      <c r="L2373" s="18">
        <v>1</v>
      </c>
      <c r="M2373" s="18">
        <v>5</v>
      </c>
    </row>
    <row r="2374" spans="1:13">
      <c r="A2374" s="6">
        <v>43852</v>
      </c>
      <c r="B2374" s="7">
        <v>0.61041666666666672</v>
      </c>
      <c r="C2374" s="18" t="str">
        <f>"FES1162732456"</f>
        <v>FES1162732456</v>
      </c>
      <c r="D2374" s="18" t="s">
        <v>19</v>
      </c>
      <c r="E2374" s="18" t="s">
        <v>822</v>
      </c>
      <c r="F2374" s="18" t="str">
        <f>"2170725025 "</f>
        <v xml:space="preserve">2170725025 </v>
      </c>
      <c r="G2374" s="18" t="str">
        <f t="shared" si="70"/>
        <v>ON1</v>
      </c>
      <c r="H2374" s="18" t="s">
        <v>21</v>
      </c>
      <c r="I2374" s="18" t="s">
        <v>823</v>
      </c>
      <c r="J2374" s="18" t="str">
        <f>""</f>
        <v/>
      </c>
      <c r="K2374" s="18" t="str">
        <f>"PFES1162732456_0001"</f>
        <v>PFES1162732456_0001</v>
      </c>
      <c r="L2374" s="18">
        <v>1</v>
      </c>
      <c r="M2374" s="18">
        <v>1</v>
      </c>
    </row>
    <row r="2375" spans="1:13">
      <c r="A2375" s="6">
        <v>43852</v>
      </c>
      <c r="B2375" s="7">
        <v>0.61041666666666672</v>
      </c>
      <c r="C2375" s="18" t="str">
        <f>"FES1162732460"</f>
        <v>FES1162732460</v>
      </c>
      <c r="D2375" s="18" t="s">
        <v>19</v>
      </c>
      <c r="E2375" s="18" t="s">
        <v>30</v>
      </c>
      <c r="F2375" s="18" t="str">
        <f>"2170725030 "</f>
        <v xml:space="preserve">2170725030 </v>
      </c>
      <c r="G2375" s="18" t="str">
        <f t="shared" si="70"/>
        <v>ON1</v>
      </c>
      <c r="H2375" s="18" t="s">
        <v>21</v>
      </c>
      <c r="I2375" s="18" t="s">
        <v>31</v>
      </c>
      <c r="J2375" s="18" t="str">
        <f>""</f>
        <v/>
      </c>
      <c r="K2375" s="18" t="str">
        <f>"PFES1162732460_0001"</f>
        <v>PFES1162732460_0001</v>
      </c>
      <c r="L2375" s="18">
        <v>1</v>
      </c>
      <c r="M2375" s="18">
        <v>4</v>
      </c>
    </row>
    <row r="2376" spans="1:13">
      <c r="A2376" s="6">
        <v>43852</v>
      </c>
      <c r="B2376" s="7">
        <v>0.60972222222222217</v>
      </c>
      <c r="C2376" s="18" t="str">
        <f>"FES1162732405"</f>
        <v>FES1162732405</v>
      </c>
      <c r="D2376" s="18" t="s">
        <v>19</v>
      </c>
      <c r="E2376" s="18" t="s">
        <v>926</v>
      </c>
      <c r="F2376" s="18" t="str">
        <f>"2170724950 "</f>
        <v xml:space="preserve">2170724950 </v>
      </c>
      <c r="G2376" s="18" t="str">
        <f t="shared" si="70"/>
        <v>ON1</v>
      </c>
      <c r="H2376" s="18" t="s">
        <v>21</v>
      </c>
      <c r="I2376" s="18" t="s">
        <v>927</v>
      </c>
      <c r="J2376" s="18" t="str">
        <f>""</f>
        <v/>
      </c>
      <c r="K2376" s="18" t="str">
        <f>"PFES1162732405_0001"</f>
        <v>PFES1162732405_0001</v>
      </c>
      <c r="L2376" s="18">
        <v>1</v>
      </c>
      <c r="M2376" s="18">
        <v>1</v>
      </c>
    </row>
    <row r="2377" spans="1:13">
      <c r="A2377" s="6">
        <v>43852</v>
      </c>
      <c r="B2377" s="7">
        <v>0.60902777777777783</v>
      </c>
      <c r="C2377" s="18" t="str">
        <f>"FES1162732282"</f>
        <v>FES1162732282</v>
      </c>
      <c r="D2377" s="18" t="s">
        <v>19</v>
      </c>
      <c r="E2377" s="18" t="s">
        <v>607</v>
      </c>
      <c r="F2377" s="18" t="str">
        <f>"2170724863 "</f>
        <v xml:space="preserve">2170724863 </v>
      </c>
      <c r="G2377" s="18" t="str">
        <f t="shared" si="70"/>
        <v>ON1</v>
      </c>
      <c r="H2377" s="18" t="s">
        <v>21</v>
      </c>
      <c r="I2377" s="18" t="s">
        <v>416</v>
      </c>
      <c r="J2377" s="18" t="str">
        <f>""</f>
        <v/>
      </c>
      <c r="K2377" s="18" t="str">
        <f>"PFES1162732282_0001"</f>
        <v>PFES1162732282_0001</v>
      </c>
      <c r="L2377" s="18">
        <v>1</v>
      </c>
      <c r="M2377" s="18">
        <v>4</v>
      </c>
    </row>
    <row r="2378" spans="1:13">
      <c r="A2378" s="6">
        <v>43852</v>
      </c>
      <c r="B2378" s="7">
        <v>0.60833333333333328</v>
      </c>
      <c r="C2378" s="18" t="str">
        <f>"FES1162732401"</f>
        <v>FES1162732401</v>
      </c>
      <c r="D2378" s="18" t="s">
        <v>19</v>
      </c>
      <c r="E2378" s="18" t="s">
        <v>275</v>
      </c>
      <c r="F2378" s="18" t="str">
        <f>"2170724944 "</f>
        <v xml:space="preserve">2170724944 </v>
      </c>
      <c r="G2378" s="18" t="str">
        <f t="shared" si="70"/>
        <v>ON1</v>
      </c>
      <c r="H2378" s="18" t="s">
        <v>21</v>
      </c>
      <c r="I2378" s="18" t="s">
        <v>202</v>
      </c>
      <c r="J2378" s="18" t="str">
        <f>""</f>
        <v/>
      </c>
      <c r="K2378" s="18" t="str">
        <f>"PFES1162732401_0001"</f>
        <v>PFES1162732401_0001</v>
      </c>
      <c r="L2378" s="18">
        <v>1</v>
      </c>
      <c r="M2378" s="18">
        <v>1</v>
      </c>
    </row>
    <row r="2379" spans="1:13">
      <c r="A2379" s="6">
        <v>43852</v>
      </c>
      <c r="B2379" s="7">
        <v>0.60833333333333328</v>
      </c>
      <c r="C2379" s="18" t="str">
        <f>"FES1162732324"</f>
        <v>FES1162732324</v>
      </c>
      <c r="D2379" s="18" t="s">
        <v>19</v>
      </c>
      <c r="E2379" s="18" t="s">
        <v>928</v>
      </c>
      <c r="F2379" s="18" t="str">
        <f>"2170724835 "</f>
        <v xml:space="preserve">2170724835 </v>
      </c>
      <c r="G2379" s="18" t="str">
        <f t="shared" si="70"/>
        <v>ON1</v>
      </c>
      <c r="H2379" s="18" t="s">
        <v>21</v>
      </c>
      <c r="I2379" s="18" t="s">
        <v>73</v>
      </c>
      <c r="J2379" s="18" t="str">
        <f>""</f>
        <v/>
      </c>
      <c r="K2379" s="18" t="str">
        <f>"PFES1162732324_0001"</f>
        <v>PFES1162732324_0001</v>
      </c>
      <c r="L2379" s="18">
        <v>1</v>
      </c>
      <c r="M2379" s="18">
        <v>10</v>
      </c>
    </row>
    <row r="2380" spans="1:13">
      <c r="A2380" s="6">
        <v>43852</v>
      </c>
      <c r="B2380" s="7">
        <v>0.60763888888888895</v>
      </c>
      <c r="C2380" s="18" t="str">
        <f>"FES1162732388"</f>
        <v>FES1162732388</v>
      </c>
      <c r="D2380" s="18" t="s">
        <v>19</v>
      </c>
      <c r="E2380" s="18" t="s">
        <v>600</v>
      </c>
      <c r="F2380" s="18" t="str">
        <f>"2170724913 "</f>
        <v xml:space="preserve">2170724913 </v>
      </c>
      <c r="G2380" s="18" t="str">
        <f t="shared" si="70"/>
        <v>ON1</v>
      </c>
      <c r="H2380" s="18" t="s">
        <v>21</v>
      </c>
      <c r="I2380" s="18" t="s">
        <v>601</v>
      </c>
      <c r="J2380" s="18" t="str">
        <f>""</f>
        <v/>
      </c>
      <c r="K2380" s="18" t="str">
        <f>"PFES1162732388_0001"</f>
        <v>PFES1162732388_0001</v>
      </c>
      <c r="L2380" s="18">
        <v>1</v>
      </c>
      <c r="M2380" s="18">
        <v>1</v>
      </c>
    </row>
    <row r="2381" spans="1:13">
      <c r="A2381" s="6">
        <v>43852</v>
      </c>
      <c r="B2381" s="7">
        <v>0.6069444444444444</v>
      </c>
      <c r="C2381" s="18" t="str">
        <f>"FES1162732400"</f>
        <v>FES1162732400</v>
      </c>
      <c r="D2381" s="18" t="s">
        <v>19</v>
      </c>
      <c r="E2381" s="18" t="s">
        <v>50</v>
      </c>
      <c r="F2381" s="18" t="str">
        <f>"2170724943 "</f>
        <v xml:space="preserve">2170724943 </v>
      </c>
      <c r="G2381" s="18" t="str">
        <f t="shared" si="70"/>
        <v>ON1</v>
      </c>
      <c r="H2381" s="18" t="s">
        <v>21</v>
      </c>
      <c r="I2381" s="18" t="s">
        <v>51</v>
      </c>
      <c r="J2381" s="18" t="str">
        <f>""</f>
        <v/>
      </c>
      <c r="K2381" s="18" t="str">
        <f>"PFES1162732400_0001"</f>
        <v>PFES1162732400_0001</v>
      </c>
      <c r="L2381" s="18">
        <v>1</v>
      </c>
      <c r="M2381" s="18">
        <v>12</v>
      </c>
    </row>
    <row r="2382" spans="1:13">
      <c r="A2382" s="6">
        <v>43852</v>
      </c>
      <c r="B2382" s="7">
        <v>0.60625000000000007</v>
      </c>
      <c r="C2382" s="18" t="str">
        <f>"FES1162732299"</f>
        <v>FES1162732299</v>
      </c>
      <c r="D2382" s="18" t="s">
        <v>19</v>
      </c>
      <c r="E2382" s="18" t="s">
        <v>240</v>
      </c>
      <c r="F2382" s="18" t="str">
        <f>"2170723949 "</f>
        <v xml:space="preserve">2170723949 </v>
      </c>
      <c r="G2382" s="18" t="str">
        <f t="shared" si="70"/>
        <v>ON1</v>
      </c>
      <c r="H2382" s="18" t="s">
        <v>21</v>
      </c>
      <c r="I2382" s="18" t="s">
        <v>241</v>
      </c>
      <c r="J2382" s="18" t="str">
        <f>""</f>
        <v/>
      </c>
      <c r="K2382" s="18" t="str">
        <f>"PFES1162732299_0001"</f>
        <v>PFES1162732299_0001</v>
      </c>
      <c r="L2382" s="18">
        <v>1</v>
      </c>
      <c r="M2382" s="18">
        <v>1</v>
      </c>
    </row>
    <row r="2383" spans="1:13">
      <c r="A2383" s="6">
        <v>43852</v>
      </c>
      <c r="B2383" s="7">
        <v>0.60555555555555551</v>
      </c>
      <c r="C2383" s="18" t="str">
        <f>"FES1162732446"</f>
        <v>FES1162732446</v>
      </c>
      <c r="D2383" s="18" t="s">
        <v>19</v>
      </c>
      <c r="E2383" s="18" t="s">
        <v>643</v>
      </c>
      <c r="F2383" s="18" t="str">
        <f>"2170725019 "</f>
        <v xml:space="preserve">2170725019 </v>
      </c>
      <c r="G2383" s="18" t="str">
        <f t="shared" si="70"/>
        <v>ON1</v>
      </c>
      <c r="H2383" s="18" t="s">
        <v>21</v>
      </c>
      <c r="I2383" s="18" t="s">
        <v>644</v>
      </c>
      <c r="J2383" s="18" t="str">
        <f>""</f>
        <v/>
      </c>
      <c r="K2383" s="18" t="str">
        <f>"PFES1162732446_0001"</f>
        <v>PFES1162732446_0001</v>
      </c>
      <c r="L2383" s="18">
        <v>1</v>
      </c>
      <c r="M2383" s="18">
        <v>1</v>
      </c>
    </row>
    <row r="2384" spans="1:13">
      <c r="A2384" s="6">
        <v>43852</v>
      </c>
      <c r="B2384" s="7">
        <v>0.60486111111111118</v>
      </c>
      <c r="C2384" s="18" t="str">
        <f>"FES1162732461"</f>
        <v>FES1162732461</v>
      </c>
      <c r="D2384" s="18" t="s">
        <v>19</v>
      </c>
      <c r="E2384" s="18" t="s">
        <v>54</v>
      </c>
      <c r="F2384" s="18" t="str">
        <f>"2170725031 "</f>
        <v xml:space="preserve">2170725031 </v>
      </c>
      <c r="G2384" s="18" t="str">
        <f t="shared" si="70"/>
        <v>ON1</v>
      </c>
      <c r="H2384" s="18" t="s">
        <v>21</v>
      </c>
      <c r="I2384" s="18" t="s">
        <v>31</v>
      </c>
      <c r="J2384" s="18" t="str">
        <f>""</f>
        <v/>
      </c>
      <c r="K2384" s="18" t="str">
        <f>"PFES1162732461_0001"</f>
        <v>PFES1162732461_0001</v>
      </c>
      <c r="L2384" s="18">
        <v>1</v>
      </c>
      <c r="M2384" s="18">
        <v>1</v>
      </c>
    </row>
    <row r="2385" spans="1:13">
      <c r="A2385" s="6">
        <v>43852</v>
      </c>
      <c r="B2385" s="7">
        <v>0.60347222222222219</v>
      </c>
      <c r="C2385" s="18" t="str">
        <f>"FES1162732441"</f>
        <v>FES1162732441</v>
      </c>
      <c r="D2385" s="18" t="s">
        <v>19</v>
      </c>
      <c r="E2385" s="18" t="s">
        <v>611</v>
      </c>
      <c r="F2385" s="18" t="str">
        <f>"2170725017 "</f>
        <v xml:space="preserve">2170725017 </v>
      </c>
      <c r="G2385" s="18" t="str">
        <f t="shared" si="70"/>
        <v>ON1</v>
      </c>
      <c r="H2385" s="18" t="s">
        <v>21</v>
      </c>
      <c r="I2385" s="18" t="s">
        <v>36</v>
      </c>
      <c r="J2385" s="18" t="str">
        <f>""</f>
        <v/>
      </c>
      <c r="K2385" s="18" t="str">
        <f>"PFES1162732441_0001"</f>
        <v>PFES1162732441_0001</v>
      </c>
      <c r="L2385" s="18">
        <v>1</v>
      </c>
      <c r="M2385" s="18">
        <v>1</v>
      </c>
    </row>
    <row r="2386" spans="1:13">
      <c r="A2386" s="6">
        <v>43852</v>
      </c>
      <c r="B2386" s="7">
        <v>0.60277777777777775</v>
      </c>
      <c r="C2386" s="18" t="str">
        <f>"FES1162732462"</f>
        <v>FES1162732462</v>
      </c>
      <c r="D2386" s="18" t="s">
        <v>19</v>
      </c>
      <c r="E2386" s="18" t="s">
        <v>54</v>
      </c>
      <c r="F2386" s="18" t="str">
        <f>"2170725032 "</f>
        <v xml:space="preserve">2170725032 </v>
      </c>
      <c r="G2386" s="18" t="str">
        <f t="shared" si="70"/>
        <v>ON1</v>
      </c>
      <c r="H2386" s="18" t="s">
        <v>21</v>
      </c>
      <c r="I2386" s="18" t="s">
        <v>31</v>
      </c>
      <c r="J2386" s="18" t="str">
        <f>""</f>
        <v/>
      </c>
      <c r="K2386" s="18" t="str">
        <f>"PFES1162732462_0001"</f>
        <v>PFES1162732462_0001</v>
      </c>
      <c r="L2386" s="18">
        <v>1</v>
      </c>
      <c r="M2386" s="18">
        <v>1</v>
      </c>
    </row>
    <row r="2387" spans="1:13">
      <c r="A2387" s="6">
        <v>43852</v>
      </c>
      <c r="B2387" s="7">
        <v>0.59861111111111109</v>
      </c>
      <c r="C2387" s="18" t="str">
        <f>"FES1162732444"</f>
        <v>FES1162732444</v>
      </c>
      <c r="D2387" s="18" t="s">
        <v>19</v>
      </c>
      <c r="E2387" s="18" t="s">
        <v>759</v>
      </c>
      <c r="F2387" s="18" t="str">
        <f>"2170725016 "</f>
        <v xml:space="preserve">2170725016 </v>
      </c>
      <c r="G2387" s="18" t="str">
        <f t="shared" si="70"/>
        <v>ON1</v>
      </c>
      <c r="H2387" s="18" t="s">
        <v>21</v>
      </c>
      <c r="I2387" s="18" t="s">
        <v>49</v>
      </c>
      <c r="J2387" s="18" t="str">
        <f>""</f>
        <v/>
      </c>
      <c r="K2387" s="18" t="str">
        <f>"PFES1162732444_0001"</f>
        <v>PFES1162732444_0001</v>
      </c>
      <c r="L2387" s="18">
        <v>1</v>
      </c>
      <c r="M2387" s="18">
        <v>1</v>
      </c>
    </row>
    <row r="2388" spans="1:13">
      <c r="A2388" s="6">
        <v>43852</v>
      </c>
      <c r="B2388" s="7">
        <v>0.58750000000000002</v>
      </c>
      <c r="C2388" s="18" t="str">
        <f>"FES1162732280"</f>
        <v>FES1162732280</v>
      </c>
      <c r="D2388" s="18" t="s">
        <v>19</v>
      </c>
      <c r="E2388" s="18" t="s">
        <v>141</v>
      </c>
      <c r="F2388" s="18" t="str">
        <f>"2170724822 "</f>
        <v xml:space="preserve">2170724822 </v>
      </c>
      <c r="G2388" s="18" t="str">
        <f t="shared" si="70"/>
        <v>ON1</v>
      </c>
      <c r="H2388" s="18" t="s">
        <v>21</v>
      </c>
      <c r="I2388" s="18" t="s">
        <v>90</v>
      </c>
      <c r="J2388" s="18" t="str">
        <f>""</f>
        <v/>
      </c>
      <c r="K2388" s="18" t="str">
        <f>"PFES1162732280_0001"</f>
        <v>PFES1162732280_0001</v>
      </c>
      <c r="L2388" s="18">
        <v>1</v>
      </c>
      <c r="M2388" s="18">
        <v>1</v>
      </c>
    </row>
    <row r="2389" spans="1:13">
      <c r="A2389" s="6">
        <v>43852</v>
      </c>
      <c r="B2389" s="7">
        <v>0.58750000000000002</v>
      </c>
      <c r="C2389" s="18" t="str">
        <f>"FES1162732422"</f>
        <v>FES1162732422</v>
      </c>
      <c r="D2389" s="18" t="s">
        <v>19</v>
      </c>
      <c r="E2389" s="18" t="s">
        <v>929</v>
      </c>
      <c r="F2389" s="18" t="str">
        <f>"2170724985 "</f>
        <v xml:space="preserve">2170724985 </v>
      </c>
      <c r="G2389" s="18" t="str">
        <f t="shared" si="70"/>
        <v>ON1</v>
      </c>
      <c r="H2389" s="18" t="s">
        <v>21</v>
      </c>
      <c r="I2389" s="18" t="s">
        <v>85</v>
      </c>
      <c r="J2389" s="18" t="str">
        <f>""</f>
        <v/>
      </c>
      <c r="K2389" s="18" t="str">
        <f>"PFES1162732422_0001"</f>
        <v>PFES1162732422_0001</v>
      </c>
      <c r="L2389" s="18">
        <v>1</v>
      </c>
      <c r="M2389" s="18">
        <v>1</v>
      </c>
    </row>
    <row r="2390" spans="1:13">
      <c r="A2390" s="6">
        <v>43852</v>
      </c>
      <c r="B2390" s="7">
        <v>0.58750000000000002</v>
      </c>
      <c r="C2390" s="18" t="str">
        <f>"FES1162732321"</f>
        <v>FES1162732321</v>
      </c>
      <c r="D2390" s="18" t="s">
        <v>19</v>
      </c>
      <c r="E2390" s="18" t="s">
        <v>714</v>
      </c>
      <c r="F2390" s="18" t="str">
        <f>"2170724892 "</f>
        <v xml:space="preserve">2170724892 </v>
      </c>
      <c r="G2390" s="18" t="str">
        <f t="shared" si="70"/>
        <v>ON1</v>
      </c>
      <c r="H2390" s="18" t="s">
        <v>21</v>
      </c>
      <c r="I2390" s="18" t="s">
        <v>202</v>
      </c>
      <c r="J2390" s="18" t="str">
        <f>""</f>
        <v/>
      </c>
      <c r="K2390" s="18" t="str">
        <f>"PFES1162732321_0001"</f>
        <v>PFES1162732321_0001</v>
      </c>
      <c r="L2390" s="18">
        <v>1</v>
      </c>
      <c r="M2390" s="18">
        <v>1</v>
      </c>
    </row>
    <row r="2391" spans="1:13">
      <c r="A2391" s="6">
        <v>43852</v>
      </c>
      <c r="B2391" s="7">
        <v>0.58680555555555558</v>
      </c>
      <c r="C2391" s="18" t="str">
        <f>"FES1162732370"</f>
        <v>FES1162732370</v>
      </c>
      <c r="D2391" s="18" t="s">
        <v>19</v>
      </c>
      <c r="E2391" s="18" t="s">
        <v>540</v>
      </c>
      <c r="F2391" s="18" t="str">
        <f>"2170724747 "</f>
        <v xml:space="preserve">2170724747 </v>
      </c>
      <c r="G2391" s="18" t="str">
        <f t="shared" si="70"/>
        <v>ON1</v>
      </c>
      <c r="H2391" s="18" t="s">
        <v>21</v>
      </c>
      <c r="I2391" s="18" t="s">
        <v>403</v>
      </c>
      <c r="J2391" s="18" t="str">
        <f>""</f>
        <v/>
      </c>
      <c r="K2391" s="18" t="str">
        <f>"PFES1162732370_0001"</f>
        <v>PFES1162732370_0001</v>
      </c>
      <c r="L2391" s="18">
        <v>1</v>
      </c>
      <c r="M2391" s="18">
        <v>1</v>
      </c>
    </row>
    <row r="2392" spans="1:13">
      <c r="A2392" s="6">
        <v>43852</v>
      </c>
      <c r="B2392" s="7">
        <v>0.58611111111111114</v>
      </c>
      <c r="C2392" s="18" t="str">
        <f>"FES1162732297"</f>
        <v>FES1162732297</v>
      </c>
      <c r="D2392" s="18" t="s">
        <v>19</v>
      </c>
      <c r="E2392" s="18" t="s">
        <v>868</v>
      </c>
      <c r="F2392" s="18" t="str">
        <f>"2170723594 "</f>
        <v xml:space="preserve">2170723594 </v>
      </c>
      <c r="G2392" s="18" t="str">
        <f t="shared" si="70"/>
        <v>ON1</v>
      </c>
      <c r="H2392" s="18" t="s">
        <v>21</v>
      </c>
      <c r="I2392" s="18" t="s">
        <v>869</v>
      </c>
      <c r="J2392" s="18" t="str">
        <f>""</f>
        <v/>
      </c>
      <c r="K2392" s="18" t="str">
        <f>"PFES1162732297_0001"</f>
        <v>PFES1162732297_0001</v>
      </c>
      <c r="L2392" s="18">
        <v>1</v>
      </c>
      <c r="M2392" s="18">
        <v>1</v>
      </c>
    </row>
    <row r="2393" spans="1:13">
      <c r="A2393" s="6">
        <v>43852</v>
      </c>
      <c r="B2393" s="7">
        <v>0.58611111111111114</v>
      </c>
      <c r="C2393" s="18" t="str">
        <f>"FES1162732277"</f>
        <v>FES1162732277</v>
      </c>
      <c r="D2393" s="18" t="s">
        <v>19</v>
      </c>
      <c r="E2393" s="18" t="s">
        <v>141</v>
      </c>
      <c r="F2393" s="18" t="str">
        <f>"2170724229 "</f>
        <v xml:space="preserve">2170724229 </v>
      </c>
      <c r="G2393" s="18" t="str">
        <f t="shared" si="70"/>
        <v>ON1</v>
      </c>
      <c r="H2393" s="18" t="s">
        <v>21</v>
      </c>
      <c r="I2393" s="18" t="s">
        <v>90</v>
      </c>
      <c r="J2393" s="18" t="str">
        <f>""</f>
        <v/>
      </c>
      <c r="K2393" s="18" t="str">
        <f>"PFES1162732277_0001"</f>
        <v>PFES1162732277_0001</v>
      </c>
      <c r="L2393" s="18">
        <v>1</v>
      </c>
      <c r="M2393" s="18">
        <v>1</v>
      </c>
    </row>
    <row r="2394" spans="1:13">
      <c r="A2394" s="6">
        <v>43852</v>
      </c>
      <c r="B2394" s="7">
        <v>0.5854166666666667</v>
      </c>
      <c r="C2394" s="18" t="str">
        <f>"FES1162732411"</f>
        <v>FES1162732411</v>
      </c>
      <c r="D2394" s="18" t="s">
        <v>19</v>
      </c>
      <c r="E2394" s="18" t="s">
        <v>470</v>
      </c>
      <c r="F2394" s="18" t="str">
        <f>"2170724961 "</f>
        <v xml:space="preserve">2170724961 </v>
      </c>
      <c r="G2394" s="18" t="str">
        <f t="shared" si="70"/>
        <v>ON1</v>
      </c>
      <c r="H2394" s="18" t="s">
        <v>21</v>
      </c>
      <c r="I2394" s="18" t="s">
        <v>471</v>
      </c>
      <c r="J2394" s="18" t="str">
        <f>""</f>
        <v/>
      </c>
      <c r="K2394" s="18" t="str">
        <f>"PFES1162732411_0001"</f>
        <v>PFES1162732411_0001</v>
      </c>
      <c r="L2394" s="18">
        <v>1</v>
      </c>
      <c r="M2394" s="18">
        <v>1</v>
      </c>
    </row>
    <row r="2395" spans="1:13">
      <c r="A2395" s="6">
        <v>43852</v>
      </c>
      <c r="B2395" s="7">
        <v>0.58472222222222225</v>
      </c>
      <c r="C2395" s="18" t="str">
        <f>"FES1162732378"</f>
        <v>FES1162732378</v>
      </c>
      <c r="D2395" s="18" t="s">
        <v>19</v>
      </c>
      <c r="E2395" s="18" t="s">
        <v>930</v>
      </c>
      <c r="F2395" s="18" t="str">
        <f>"2170724910 "</f>
        <v xml:space="preserve">2170724910 </v>
      </c>
      <c r="G2395" s="18" t="str">
        <f t="shared" si="70"/>
        <v>ON1</v>
      </c>
      <c r="H2395" s="18" t="s">
        <v>21</v>
      </c>
      <c r="I2395" s="18" t="s">
        <v>924</v>
      </c>
      <c r="J2395" s="18" t="str">
        <f>""</f>
        <v/>
      </c>
      <c r="K2395" s="18" t="str">
        <f>"PFES1162732378_0001"</f>
        <v>PFES1162732378_0001</v>
      </c>
      <c r="L2395" s="18">
        <v>1</v>
      </c>
      <c r="M2395" s="18">
        <v>1</v>
      </c>
    </row>
    <row r="2396" spans="1:13">
      <c r="A2396" s="6">
        <v>43852</v>
      </c>
      <c r="B2396" s="7">
        <v>0.58402777777777781</v>
      </c>
      <c r="C2396" s="18" t="str">
        <f>"FES1162732372"</f>
        <v>FES1162732372</v>
      </c>
      <c r="D2396" s="18" t="s">
        <v>19</v>
      </c>
      <c r="E2396" s="18" t="s">
        <v>101</v>
      </c>
      <c r="F2396" s="18" t="str">
        <f>"2170724901 "</f>
        <v xml:space="preserve">2170724901 </v>
      </c>
      <c r="G2396" s="18" t="str">
        <f t="shared" si="70"/>
        <v>ON1</v>
      </c>
      <c r="H2396" s="18" t="s">
        <v>21</v>
      </c>
      <c r="I2396" s="18" t="s">
        <v>102</v>
      </c>
      <c r="J2396" s="18" t="str">
        <f>""</f>
        <v/>
      </c>
      <c r="K2396" s="18" t="str">
        <f>"PFES1162732372_0001"</f>
        <v>PFES1162732372_0001</v>
      </c>
      <c r="L2396" s="18">
        <v>1</v>
      </c>
      <c r="M2396" s="18">
        <v>1</v>
      </c>
    </row>
    <row r="2397" spans="1:13">
      <c r="A2397" s="6">
        <v>43852</v>
      </c>
      <c r="B2397" s="7">
        <v>0.58333333333333337</v>
      </c>
      <c r="C2397" s="18" t="str">
        <f>"FES1162732368"</f>
        <v>FES1162732368</v>
      </c>
      <c r="D2397" s="18" t="s">
        <v>19</v>
      </c>
      <c r="E2397" s="18" t="s">
        <v>478</v>
      </c>
      <c r="F2397" s="18" t="str">
        <f>"2170724662 "</f>
        <v xml:space="preserve">2170724662 </v>
      </c>
      <c r="G2397" s="18" t="str">
        <f t="shared" si="70"/>
        <v>ON1</v>
      </c>
      <c r="H2397" s="18" t="s">
        <v>21</v>
      </c>
      <c r="I2397" s="18" t="s">
        <v>277</v>
      </c>
      <c r="J2397" s="18" t="str">
        <f>""</f>
        <v/>
      </c>
      <c r="K2397" s="18" t="str">
        <f>"PFES1162732368_0001"</f>
        <v>PFES1162732368_0001</v>
      </c>
      <c r="L2397" s="18">
        <v>1</v>
      </c>
      <c r="M2397" s="18">
        <v>1</v>
      </c>
    </row>
    <row r="2398" spans="1:13">
      <c r="A2398" s="6">
        <v>43852</v>
      </c>
      <c r="B2398" s="7">
        <v>0.58263888888888882</v>
      </c>
      <c r="C2398" s="18" t="str">
        <f>"FES1162732281"</f>
        <v>FES1162732281</v>
      </c>
      <c r="D2398" s="18" t="s">
        <v>19</v>
      </c>
      <c r="E2398" s="18" t="s">
        <v>199</v>
      </c>
      <c r="F2398" s="18" t="str">
        <f>"2170724861 "</f>
        <v xml:space="preserve">2170724861 </v>
      </c>
      <c r="G2398" s="18" t="str">
        <f t="shared" si="70"/>
        <v>ON1</v>
      </c>
      <c r="H2398" s="18" t="s">
        <v>21</v>
      </c>
      <c r="I2398" s="18" t="s">
        <v>200</v>
      </c>
      <c r="J2398" s="18" t="str">
        <f>""</f>
        <v/>
      </c>
      <c r="K2398" s="18" t="str">
        <f>"PFES1162732281_0001"</f>
        <v>PFES1162732281_0001</v>
      </c>
      <c r="L2398" s="18">
        <v>1</v>
      </c>
      <c r="M2398" s="18">
        <v>1</v>
      </c>
    </row>
    <row r="2399" spans="1:13">
      <c r="A2399" s="6">
        <v>43852</v>
      </c>
      <c r="B2399" s="7">
        <v>0.58194444444444449</v>
      </c>
      <c r="C2399" s="18" t="str">
        <f>"FES1162732325"</f>
        <v>FES1162732325</v>
      </c>
      <c r="D2399" s="18" t="s">
        <v>19</v>
      </c>
      <c r="E2399" s="18" t="s">
        <v>931</v>
      </c>
      <c r="F2399" s="18" t="str">
        <f>"2170724856 "</f>
        <v xml:space="preserve">2170724856 </v>
      </c>
      <c r="G2399" s="18" t="str">
        <f t="shared" si="70"/>
        <v>ON1</v>
      </c>
      <c r="H2399" s="18" t="s">
        <v>21</v>
      </c>
      <c r="I2399" s="18" t="s">
        <v>85</v>
      </c>
      <c r="J2399" s="18" t="str">
        <f>""</f>
        <v/>
      </c>
      <c r="K2399" s="18" t="str">
        <f>"PFES1162732325_0001"</f>
        <v>PFES1162732325_0001</v>
      </c>
      <c r="L2399" s="18">
        <v>1</v>
      </c>
      <c r="M2399" s="18">
        <v>1</v>
      </c>
    </row>
    <row r="2400" spans="1:13">
      <c r="A2400" s="6">
        <v>43852</v>
      </c>
      <c r="B2400" s="7">
        <v>0.57986111111111105</v>
      </c>
      <c r="C2400" s="18" t="str">
        <f>"FES1162732334"</f>
        <v>FES1162732334</v>
      </c>
      <c r="D2400" s="18" t="s">
        <v>19</v>
      </c>
      <c r="E2400" s="18" t="s">
        <v>623</v>
      </c>
      <c r="F2400" s="18" t="str">
        <f>"2170722458 "</f>
        <v xml:space="preserve">2170722458 </v>
      </c>
      <c r="G2400" s="18" t="str">
        <f t="shared" si="70"/>
        <v>ON1</v>
      </c>
      <c r="H2400" s="18" t="s">
        <v>21</v>
      </c>
      <c r="I2400" s="18" t="s">
        <v>96</v>
      </c>
      <c r="J2400" s="18" t="str">
        <f>""</f>
        <v/>
      </c>
      <c r="K2400" s="18" t="str">
        <f>"PFES1162732334_0001"</f>
        <v>PFES1162732334_0001</v>
      </c>
      <c r="L2400" s="18">
        <v>1</v>
      </c>
      <c r="M2400" s="18">
        <v>1</v>
      </c>
    </row>
    <row r="2401" spans="1:13">
      <c r="A2401" s="6">
        <v>43852</v>
      </c>
      <c r="B2401" s="7">
        <v>0.57916666666666672</v>
      </c>
      <c r="C2401" s="18" t="str">
        <f>"FES1162732347"</f>
        <v>FES1162732347</v>
      </c>
      <c r="D2401" s="18" t="s">
        <v>19</v>
      </c>
      <c r="E2401" s="18" t="s">
        <v>157</v>
      </c>
      <c r="F2401" s="18" t="str">
        <f>"2170723059 "</f>
        <v xml:space="preserve">2170723059 </v>
      </c>
      <c r="G2401" s="18" t="str">
        <f t="shared" si="70"/>
        <v>ON1</v>
      </c>
      <c r="H2401" s="18" t="s">
        <v>21</v>
      </c>
      <c r="I2401" s="18" t="s">
        <v>158</v>
      </c>
      <c r="J2401" s="18" t="str">
        <f>""</f>
        <v/>
      </c>
      <c r="K2401" s="18" t="str">
        <f>"PFES1162732347_0001"</f>
        <v>PFES1162732347_0001</v>
      </c>
      <c r="L2401" s="18">
        <v>1</v>
      </c>
      <c r="M2401" s="18">
        <v>1</v>
      </c>
    </row>
    <row r="2402" spans="1:13">
      <c r="A2402" s="6">
        <v>43852</v>
      </c>
      <c r="B2402" s="7">
        <v>0.57777777777777783</v>
      </c>
      <c r="C2402" s="18" t="str">
        <f>"009935723364"</f>
        <v>009935723364</v>
      </c>
      <c r="D2402" s="18" t="s">
        <v>19</v>
      </c>
      <c r="E2402" s="18" t="s">
        <v>105</v>
      </c>
      <c r="F2402" s="18" t="str">
        <f>"1162732151 "</f>
        <v xml:space="preserve">1162732151 </v>
      </c>
      <c r="G2402" s="18" t="str">
        <f t="shared" si="70"/>
        <v>ON1</v>
      </c>
      <c r="H2402" s="18" t="s">
        <v>21</v>
      </c>
      <c r="I2402" s="18" t="s">
        <v>106</v>
      </c>
      <c r="J2402" s="18" t="str">
        <f>"SHORT SUPPLIED"</f>
        <v>SHORT SUPPLIED</v>
      </c>
      <c r="K2402" s="18" t="str">
        <f>"P009935723364_0001"</f>
        <v>P009935723364_0001</v>
      </c>
      <c r="L2402" s="18">
        <v>1</v>
      </c>
      <c r="M2402" s="18">
        <v>16</v>
      </c>
    </row>
    <row r="2403" spans="1:13">
      <c r="A2403" s="6">
        <v>43852</v>
      </c>
      <c r="B2403" s="7">
        <v>0.5756944444444444</v>
      </c>
      <c r="C2403" s="18" t="str">
        <f>"FES1162732464"</f>
        <v>FES1162732464</v>
      </c>
      <c r="D2403" s="18" t="s">
        <v>19</v>
      </c>
      <c r="E2403" s="18" t="s">
        <v>136</v>
      </c>
      <c r="F2403" s="18" t="str">
        <f>"2170725038 "</f>
        <v xml:space="preserve">2170725038 </v>
      </c>
      <c r="G2403" s="18" t="str">
        <f t="shared" si="70"/>
        <v>ON1</v>
      </c>
      <c r="H2403" s="18" t="s">
        <v>21</v>
      </c>
      <c r="I2403" s="18" t="s">
        <v>137</v>
      </c>
      <c r="J2403" s="18" t="str">
        <f>""</f>
        <v/>
      </c>
      <c r="K2403" s="18" t="str">
        <f>"PFES1162732464_0001"</f>
        <v>PFES1162732464_0001</v>
      </c>
      <c r="L2403" s="18">
        <v>1</v>
      </c>
      <c r="M2403" s="18">
        <v>2</v>
      </c>
    </row>
    <row r="2404" spans="1:13">
      <c r="A2404" s="6">
        <v>43852</v>
      </c>
      <c r="B2404" s="7">
        <v>0.57430555555555551</v>
      </c>
      <c r="C2404" s="18" t="str">
        <f>"FES1162732267"</f>
        <v>FES1162732267</v>
      </c>
      <c r="D2404" s="18" t="s">
        <v>19</v>
      </c>
      <c r="E2404" s="18" t="s">
        <v>101</v>
      </c>
      <c r="F2404" s="18" t="str">
        <f>"2170724844 "</f>
        <v xml:space="preserve">2170724844 </v>
      </c>
      <c r="G2404" s="18" t="str">
        <f t="shared" si="70"/>
        <v>ON1</v>
      </c>
      <c r="H2404" s="18" t="s">
        <v>21</v>
      </c>
      <c r="I2404" s="18" t="s">
        <v>102</v>
      </c>
      <c r="J2404" s="18" t="str">
        <f>""</f>
        <v/>
      </c>
      <c r="K2404" s="18" t="str">
        <f>"PFES1162732267_0001"</f>
        <v>PFES1162732267_0001</v>
      </c>
      <c r="L2404" s="18">
        <v>1</v>
      </c>
      <c r="M2404" s="18">
        <v>3</v>
      </c>
    </row>
    <row r="2405" spans="1:13">
      <c r="A2405" s="6">
        <v>43852</v>
      </c>
      <c r="B2405" s="7">
        <v>0.57361111111111118</v>
      </c>
      <c r="C2405" s="18" t="str">
        <f>"FES1162732434"</f>
        <v>FES1162732434</v>
      </c>
      <c r="D2405" s="18" t="s">
        <v>19</v>
      </c>
      <c r="E2405" s="18" t="s">
        <v>143</v>
      </c>
      <c r="F2405" s="18" t="str">
        <f>"2170724482 "</f>
        <v xml:space="preserve">2170724482 </v>
      </c>
      <c r="G2405" s="18" t="str">
        <f t="shared" si="70"/>
        <v>ON1</v>
      </c>
      <c r="H2405" s="18" t="s">
        <v>21</v>
      </c>
      <c r="I2405" s="18" t="s">
        <v>137</v>
      </c>
      <c r="J2405" s="18" t="str">
        <f>""</f>
        <v/>
      </c>
      <c r="K2405" s="18" t="str">
        <f>"PFES1162732434_0001"</f>
        <v>PFES1162732434_0001</v>
      </c>
      <c r="L2405" s="18">
        <v>1</v>
      </c>
      <c r="M2405" s="18">
        <v>1</v>
      </c>
    </row>
    <row r="2406" spans="1:13">
      <c r="A2406" s="6">
        <v>43852</v>
      </c>
      <c r="B2406" s="7">
        <v>0.57291666666666663</v>
      </c>
      <c r="C2406" s="18" t="str">
        <f>"FES1162732355"</f>
        <v>FES1162732355</v>
      </c>
      <c r="D2406" s="18" t="s">
        <v>19</v>
      </c>
      <c r="E2406" s="18" t="s">
        <v>547</v>
      </c>
      <c r="F2406" s="18" t="str">
        <f>"2170723238 "</f>
        <v xml:space="preserve">2170723238 </v>
      </c>
      <c r="G2406" s="18" t="str">
        <f t="shared" si="70"/>
        <v>ON1</v>
      </c>
      <c r="H2406" s="18" t="s">
        <v>21</v>
      </c>
      <c r="I2406" s="18" t="s">
        <v>548</v>
      </c>
      <c r="J2406" s="18" t="str">
        <f>""</f>
        <v/>
      </c>
      <c r="K2406" s="18" t="str">
        <f>"PFES1162732355_0001"</f>
        <v>PFES1162732355_0001</v>
      </c>
      <c r="L2406" s="18">
        <v>1</v>
      </c>
      <c r="M2406" s="18">
        <v>1</v>
      </c>
    </row>
    <row r="2407" spans="1:13">
      <c r="A2407" s="6">
        <v>43852</v>
      </c>
      <c r="B2407" s="7">
        <v>0.57222222222222219</v>
      </c>
      <c r="C2407" s="18" t="str">
        <f>"FES1162732348"</f>
        <v>FES1162732348</v>
      </c>
      <c r="D2407" s="18" t="s">
        <v>19</v>
      </c>
      <c r="E2407" s="18" t="s">
        <v>932</v>
      </c>
      <c r="F2407" s="18" t="str">
        <f>"2170723074 "</f>
        <v xml:space="preserve">2170723074 </v>
      </c>
      <c r="G2407" s="18" t="str">
        <f t="shared" si="70"/>
        <v>ON1</v>
      </c>
      <c r="H2407" s="18" t="s">
        <v>21</v>
      </c>
      <c r="I2407" s="18" t="s">
        <v>933</v>
      </c>
      <c r="J2407" s="18" t="str">
        <f>""</f>
        <v/>
      </c>
      <c r="K2407" s="18" t="str">
        <f>"PFES1162732348_0001"</f>
        <v>PFES1162732348_0001</v>
      </c>
      <c r="L2407" s="18">
        <v>1</v>
      </c>
      <c r="M2407" s="18">
        <v>1</v>
      </c>
    </row>
    <row r="2408" spans="1:13">
      <c r="A2408" s="6">
        <v>43852</v>
      </c>
      <c r="B2408" s="7">
        <v>0.5708333333333333</v>
      </c>
      <c r="C2408" s="18" t="str">
        <f>"FES1162732361"</f>
        <v>FES1162732361</v>
      </c>
      <c r="D2408" s="18" t="s">
        <v>19</v>
      </c>
      <c r="E2408" s="18" t="s">
        <v>600</v>
      </c>
      <c r="F2408" s="18" t="str">
        <f>"2170723328 "</f>
        <v xml:space="preserve">2170723328 </v>
      </c>
      <c r="G2408" s="18" t="str">
        <f t="shared" si="70"/>
        <v>ON1</v>
      </c>
      <c r="H2408" s="18" t="s">
        <v>21</v>
      </c>
      <c r="I2408" s="18" t="s">
        <v>601</v>
      </c>
      <c r="J2408" s="18" t="str">
        <f>""</f>
        <v/>
      </c>
      <c r="K2408" s="18" t="str">
        <f>"PFES1162732361_0001"</f>
        <v>PFES1162732361_0001</v>
      </c>
      <c r="L2408" s="18">
        <v>1</v>
      </c>
      <c r="M2408" s="18">
        <v>1</v>
      </c>
    </row>
    <row r="2409" spans="1:13">
      <c r="A2409" s="6">
        <v>43852</v>
      </c>
      <c r="B2409" s="7">
        <v>0.56944444444444442</v>
      </c>
      <c r="C2409" s="18" t="str">
        <f>"FES1162732371"</f>
        <v>FES1162732371</v>
      </c>
      <c r="D2409" s="18" t="s">
        <v>19</v>
      </c>
      <c r="E2409" s="18" t="s">
        <v>304</v>
      </c>
      <c r="F2409" s="18" t="str">
        <f>"2170724900 "</f>
        <v xml:space="preserve">2170724900 </v>
      </c>
      <c r="G2409" s="18" t="str">
        <f t="shared" si="70"/>
        <v>ON1</v>
      </c>
      <c r="H2409" s="18" t="s">
        <v>21</v>
      </c>
      <c r="I2409" s="18" t="s">
        <v>305</v>
      </c>
      <c r="J2409" s="18" t="str">
        <f>""</f>
        <v/>
      </c>
      <c r="K2409" s="18" t="str">
        <f>"PFES1162732371_0001"</f>
        <v>PFES1162732371_0001</v>
      </c>
      <c r="L2409" s="18">
        <v>1</v>
      </c>
      <c r="M2409" s="18">
        <v>5</v>
      </c>
    </row>
    <row r="2410" spans="1:13">
      <c r="A2410" s="6">
        <v>43852</v>
      </c>
      <c r="B2410" s="7">
        <v>0.56527777777777777</v>
      </c>
      <c r="C2410" s="18" t="str">
        <f>"FES1162732317"</f>
        <v>FES1162732317</v>
      </c>
      <c r="D2410" s="18" t="s">
        <v>19</v>
      </c>
      <c r="E2410" s="18" t="s">
        <v>293</v>
      </c>
      <c r="F2410" s="18" t="str">
        <f>"2170724888 "</f>
        <v xml:space="preserve">2170724888 </v>
      </c>
      <c r="G2410" s="18" t="str">
        <f t="shared" si="70"/>
        <v>ON1</v>
      </c>
      <c r="H2410" s="18" t="s">
        <v>21</v>
      </c>
      <c r="I2410" s="18" t="s">
        <v>294</v>
      </c>
      <c r="J2410" s="18" t="str">
        <f>""</f>
        <v/>
      </c>
      <c r="K2410" s="18" t="str">
        <f>"PFES1162732317_0001"</f>
        <v>PFES1162732317_0001</v>
      </c>
      <c r="L2410" s="18">
        <v>2</v>
      </c>
      <c r="M2410" s="18">
        <v>9</v>
      </c>
    </row>
    <row r="2411" spans="1:13">
      <c r="A2411" s="6">
        <v>43852</v>
      </c>
      <c r="B2411" s="7">
        <v>0.56527777777777777</v>
      </c>
      <c r="C2411" s="18" t="str">
        <f>"FES1162732317"</f>
        <v>FES1162732317</v>
      </c>
      <c r="D2411" s="18" t="s">
        <v>19</v>
      </c>
      <c r="E2411" s="18" t="s">
        <v>293</v>
      </c>
      <c r="F2411" s="18" t="str">
        <f>"2170724888 "</f>
        <v xml:space="preserve">2170724888 </v>
      </c>
      <c r="G2411" s="18" t="str">
        <f t="shared" si="70"/>
        <v>ON1</v>
      </c>
      <c r="H2411" s="18" t="s">
        <v>21</v>
      </c>
      <c r="I2411" s="18" t="s">
        <v>294</v>
      </c>
      <c r="J2411" s="18"/>
      <c r="K2411" s="18" t="str">
        <f>"PFES1162732317_0002"</f>
        <v>PFES1162732317_0002</v>
      </c>
      <c r="L2411" s="18">
        <v>2</v>
      </c>
      <c r="M2411" s="18">
        <v>9</v>
      </c>
    </row>
    <row r="2412" spans="1:13">
      <c r="A2412" s="6">
        <v>43852</v>
      </c>
      <c r="B2412" s="7">
        <v>0.56458333333333333</v>
      </c>
      <c r="C2412" s="18" t="str">
        <f>"FES1162732344"</f>
        <v>FES1162732344</v>
      </c>
      <c r="D2412" s="18" t="s">
        <v>19</v>
      </c>
      <c r="E2412" s="18" t="s">
        <v>358</v>
      </c>
      <c r="F2412" s="18" t="str">
        <f>"2170722999 "</f>
        <v xml:space="preserve">2170722999 </v>
      </c>
      <c r="G2412" s="18" t="str">
        <f t="shared" si="70"/>
        <v>ON1</v>
      </c>
      <c r="H2412" s="18" t="s">
        <v>21</v>
      </c>
      <c r="I2412" s="18" t="s">
        <v>119</v>
      </c>
      <c r="J2412" s="18" t="str">
        <f>""</f>
        <v/>
      </c>
      <c r="K2412" s="18" t="str">
        <f>"PFES1162732344_0001"</f>
        <v>PFES1162732344_0001</v>
      </c>
      <c r="L2412" s="18">
        <v>1</v>
      </c>
      <c r="M2412" s="18">
        <v>7</v>
      </c>
    </row>
    <row r="2413" spans="1:13">
      <c r="A2413" s="6">
        <v>43852</v>
      </c>
      <c r="B2413" s="7">
        <v>0.56319444444444444</v>
      </c>
      <c r="C2413" s="18" t="str">
        <f>"FES1162732386"</f>
        <v>FES1162732386</v>
      </c>
      <c r="D2413" s="18" t="s">
        <v>19</v>
      </c>
      <c r="E2413" s="18" t="s">
        <v>934</v>
      </c>
      <c r="F2413" s="18" t="str">
        <f>"2170724920 "</f>
        <v xml:space="preserve">2170724920 </v>
      </c>
      <c r="G2413" s="18" t="str">
        <f t="shared" si="70"/>
        <v>ON1</v>
      </c>
      <c r="H2413" s="18" t="s">
        <v>21</v>
      </c>
      <c r="I2413" s="18" t="s">
        <v>320</v>
      </c>
      <c r="J2413" s="18" t="str">
        <f>""</f>
        <v/>
      </c>
      <c r="K2413" s="18" t="str">
        <f>"PFES1162732386_0001"</f>
        <v>PFES1162732386_0001</v>
      </c>
      <c r="L2413" s="18">
        <v>1</v>
      </c>
      <c r="M2413" s="18">
        <v>5</v>
      </c>
    </row>
    <row r="2414" spans="1:13">
      <c r="A2414" s="6">
        <v>43852</v>
      </c>
      <c r="B2414" s="7">
        <v>0.56180555555555556</v>
      </c>
      <c r="C2414" s="18" t="str">
        <f>"FES1162732343"</f>
        <v>FES1162732343</v>
      </c>
      <c r="D2414" s="18" t="s">
        <v>19</v>
      </c>
      <c r="E2414" s="18" t="s">
        <v>398</v>
      </c>
      <c r="F2414" s="18" t="str">
        <f>"2170722980 "</f>
        <v xml:space="preserve">2170722980 </v>
      </c>
      <c r="G2414" s="18" t="str">
        <f t="shared" si="70"/>
        <v>ON1</v>
      </c>
      <c r="H2414" s="18" t="s">
        <v>21</v>
      </c>
      <c r="I2414" s="18" t="s">
        <v>399</v>
      </c>
      <c r="J2414" s="18" t="str">
        <f>""</f>
        <v/>
      </c>
      <c r="K2414" s="18" t="str">
        <f>"PFES1162732343_0001"</f>
        <v>PFES1162732343_0001</v>
      </c>
      <c r="L2414" s="18">
        <v>1</v>
      </c>
      <c r="M2414" s="18">
        <v>4</v>
      </c>
    </row>
    <row r="2415" spans="1:13">
      <c r="A2415" s="6">
        <v>43852</v>
      </c>
      <c r="B2415" s="7">
        <v>0.56041666666666667</v>
      </c>
      <c r="C2415" s="18" t="str">
        <f>"FES1162732331"</f>
        <v>FES1162732331</v>
      </c>
      <c r="D2415" s="18" t="s">
        <v>19</v>
      </c>
      <c r="E2415" s="18" t="s">
        <v>218</v>
      </c>
      <c r="F2415" s="18" t="str">
        <f>"2170721810 "</f>
        <v xml:space="preserve">2170721810 </v>
      </c>
      <c r="G2415" s="18" t="str">
        <f t="shared" si="70"/>
        <v>ON1</v>
      </c>
      <c r="H2415" s="18" t="s">
        <v>21</v>
      </c>
      <c r="I2415" s="18" t="s">
        <v>49</v>
      </c>
      <c r="J2415" s="18" t="str">
        <f>""</f>
        <v/>
      </c>
      <c r="K2415" s="18" t="str">
        <f>"PFES1162732331_0001"</f>
        <v>PFES1162732331_0001</v>
      </c>
      <c r="L2415" s="18">
        <v>1</v>
      </c>
      <c r="M2415" s="18">
        <v>1</v>
      </c>
    </row>
    <row r="2416" spans="1:13">
      <c r="A2416" s="6">
        <v>43852</v>
      </c>
      <c r="B2416" s="7">
        <v>0.56041666666666667</v>
      </c>
      <c r="C2416" s="18" t="str">
        <f>"FES1162732383"</f>
        <v>FES1162732383</v>
      </c>
      <c r="D2416" s="18" t="s">
        <v>19</v>
      </c>
      <c r="E2416" s="18" t="s">
        <v>111</v>
      </c>
      <c r="F2416" s="18" t="str">
        <f>"2170724917 "</f>
        <v xml:space="preserve">2170724917 </v>
      </c>
      <c r="G2416" s="18" t="str">
        <f t="shared" si="70"/>
        <v>ON1</v>
      </c>
      <c r="H2416" s="18" t="s">
        <v>21</v>
      </c>
      <c r="I2416" s="18" t="s">
        <v>112</v>
      </c>
      <c r="J2416" s="18" t="str">
        <f>""</f>
        <v/>
      </c>
      <c r="K2416" s="18" t="str">
        <f>"PFES1162732383_0001"</f>
        <v>PFES1162732383_0001</v>
      </c>
      <c r="L2416" s="18">
        <v>1</v>
      </c>
      <c r="M2416" s="18">
        <v>4</v>
      </c>
    </row>
    <row r="2417" spans="1:13">
      <c r="A2417" s="6">
        <v>43852</v>
      </c>
      <c r="B2417" s="7">
        <v>0.55972222222222223</v>
      </c>
      <c r="C2417" s="18" t="str">
        <f>"FES1162732359"</f>
        <v>FES1162732359</v>
      </c>
      <c r="D2417" s="18" t="s">
        <v>19</v>
      </c>
      <c r="E2417" s="18" t="s">
        <v>935</v>
      </c>
      <c r="F2417" s="18" t="str">
        <f>"2170723305 "</f>
        <v xml:space="preserve">2170723305 </v>
      </c>
      <c r="G2417" s="18" t="str">
        <f t="shared" si="70"/>
        <v>ON1</v>
      </c>
      <c r="H2417" s="18" t="s">
        <v>21</v>
      </c>
      <c r="I2417" s="18" t="s">
        <v>49</v>
      </c>
      <c r="J2417" s="18" t="str">
        <f>""</f>
        <v/>
      </c>
      <c r="K2417" s="18" t="str">
        <f>"PFES1162732359_0001"</f>
        <v>PFES1162732359_0001</v>
      </c>
      <c r="L2417" s="18">
        <v>1</v>
      </c>
      <c r="M2417" s="18">
        <v>1</v>
      </c>
    </row>
    <row r="2418" spans="1:13">
      <c r="A2418" s="6">
        <v>43852</v>
      </c>
      <c r="B2418" s="7">
        <v>0.55902777777777779</v>
      </c>
      <c r="C2418" s="18" t="str">
        <f>"FES1162732413"</f>
        <v>FES1162732413</v>
      </c>
      <c r="D2418" s="18" t="s">
        <v>19</v>
      </c>
      <c r="E2418" s="18" t="s">
        <v>936</v>
      </c>
      <c r="F2418" s="18" t="str">
        <f>"2170724970 "</f>
        <v xml:space="preserve">2170724970 </v>
      </c>
      <c r="G2418" s="18" t="str">
        <f t="shared" ref="G2418:G2481" si="71">"ON1"</f>
        <v>ON1</v>
      </c>
      <c r="H2418" s="18" t="s">
        <v>21</v>
      </c>
      <c r="I2418" s="18" t="s">
        <v>146</v>
      </c>
      <c r="J2418" s="18" t="str">
        <f>""</f>
        <v/>
      </c>
      <c r="K2418" s="18" t="str">
        <f>"PFES1162732413_0001"</f>
        <v>PFES1162732413_0001</v>
      </c>
      <c r="L2418" s="18">
        <v>1</v>
      </c>
      <c r="M2418" s="18">
        <v>2</v>
      </c>
    </row>
    <row r="2419" spans="1:13">
      <c r="A2419" s="6">
        <v>43852</v>
      </c>
      <c r="B2419" s="7">
        <v>0.55902777777777779</v>
      </c>
      <c r="C2419" s="18" t="str">
        <f>"FES1162732362"</f>
        <v>FES1162732362</v>
      </c>
      <c r="D2419" s="18" t="s">
        <v>19</v>
      </c>
      <c r="E2419" s="18" t="s">
        <v>308</v>
      </c>
      <c r="F2419" s="18" t="str">
        <f>"2170723336 "</f>
        <v xml:space="preserve">2170723336 </v>
      </c>
      <c r="G2419" s="18" t="str">
        <f t="shared" si="71"/>
        <v>ON1</v>
      </c>
      <c r="H2419" s="18" t="s">
        <v>21</v>
      </c>
      <c r="I2419" s="18" t="s">
        <v>309</v>
      </c>
      <c r="J2419" s="18" t="str">
        <f>""</f>
        <v/>
      </c>
      <c r="K2419" s="18" t="str">
        <f>"PFES1162732362_0001"</f>
        <v>PFES1162732362_0001</v>
      </c>
      <c r="L2419" s="18">
        <v>1</v>
      </c>
      <c r="M2419" s="18">
        <v>1</v>
      </c>
    </row>
    <row r="2420" spans="1:13">
      <c r="A2420" s="6">
        <v>43852</v>
      </c>
      <c r="B2420" s="7">
        <v>0.55763888888888891</v>
      </c>
      <c r="C2420" s="18" t="str">
        <f>"FES1162732363"</f>
        <v>FES1162732363</v>
      </c>
      <c r="D2420" s="18" t="s">
        <v>19</v>
      </c>
      <c r="E2420" s="18" t="s">
        <v>143</v>
      </c>
      <c r="F2420" s="18" t="str">
        <f>"2170723358 "</f>
        <v xml:space="preserve">2170723358 </v>
      </c>
      <c r="G2420" s="18" t="str">
        <f t="shared" si="71"/>
        <v>ON1</v>
      </c>
      <c r="H2420" s="18" t="s">
        <v>21</v>
      </c>
      <c r="I2420" s="18" t="s">
        <v>137</v>
      </c>
      <c r="J2420" s="18" t="str">
        <f>""</f>
        <v/>
      </c>
      <c r="K2420" s="18" t="str">
        <f>"PFES1162732363_0001"</f>
        <v>PFES1162732363_0001</v>
      </c>
      <c r="L2420" s="18">
        <v>1</v>
      </c>
      <c r="M2420" s="18">
        <v>12</v>
      </c>
    </row>
    <row r="2421" spans="1:13">
      <c r="A2421" s="6">
        <v>43852</v>
      </c>
      <c r="B2421" s="7">
        <v>0.55763888888888891</v>
      </c>
      <c r="C2421" s="18" t="str">
        <f>"FES1162732408"</f>
        <v>FES1162732408</v>
      </c>
      <c r="D2421" s="18" t="s">
        <v>19</v>
      </c>
      <c r="E2421" s="18" t="s">
        <v>611</v>
      </c>
      <c r="F2421" s="18" t="str">
        <f>"2170724942 "</f>
        <v xml:space="preserve">2170724942 </v>
      </c>
      <c r="G2421" s="18" t="str">
        <f t="shared" si="71"/>
        <v>ON1</v>
      </c>
      <c r="H2421" s="18" t="s">
        <v>21</v>
      </c>
      <c r="I2421" s="18" t="s">
        <v>36</v>
      </c>
      <c r="J2421" s="18" t="str">
        <f>""</f>
        <v/>
      </c>
      <c r="K2421" s="18" t="str">
        <f>"PFES1162732408_0001"</f>
        <v>PFES1162732408_0001</v>
      </c>
      <c r="L2421" s="18">
        <v>1</v>
      </c>
      <c r="M2421" s="18">
        <v>1</v>
      </c>
    </row>
    <row r="2422" spans="1:13">
      <c r="A2422" s="6">
        <v>43852</v>
      </c>
      <c r="B2422" s="7">
        <v>0.55694444444444446</v>
      </c>
      <c r="C2422" s="18" t="str">
        <f>"FES1162732369"</f>
        <v>FES1162732369</v>
      </c>
      <c r="D2422" s="18" t="s">
        <v>19</v>
      </c>
      <c r="E2422" s="18" t="s">
        <v>185</v>
      </c>
      <c r="F2422" s="18" t="str">
        <f>"2170724728 "</f>
        <v xml:space="preserve">2170724728 </v>
      </c>
      <c r="G2422" s="18" t="str">
        <f t="shared" si="71"/>
        <v>ON1</v>
      </c>
      <c r="H2422" s="18" t="s">
        <v>21</v>
      </c>
      <c r="I2422" s="18" t="s">
        <v>47</v>
      </c>
      <c r="J2422" s="18" t="str">
        <f>""</f>
        <v/>
      </c>
      <c r="K2422" s="18" t="str">
        <f>"PFES1162732369_0001"</f>
        <v>PFES1162732369_0001</v>
      </c>
      <c r="L2422" s="18">
        <v>1</v>
      </c>
      <c r="M2422" s="18">
        <v>1</v>
      </c>
    </row>
    <row r="2423" spans="1:13">
      <c r="A2423" s="6">
        <v>43852</v>
      </c>
      <c r="B2423" s="7">
        <v>0.55625000000000002</v>
      </c>
      <c r="C2423" s="18" t="str">
        <f>"FES1162732319"</f>
        <v>FES1162732319</v>
      </c>
      <c r="D2423" s="18" t="s">
        <v>19</v>
      </c>
      <c r="E2423" s="18" t="s">
        <v>120</v>
      </c>
      <c r="F2423" s="18" t="str">
        <f>"2170724890 "</f>
        <v xml:space="preserve">2170724890 </v>
      </c>
      <c r="G2423" s="18" t="str">
        <f t="shared" si="71"/>
        <v>ON1</v>
      </c>
      <c r="H2423" s="18" t="s">
        <v>21</v>
      </c>
      <c r="I2423" s="18" t="s">
        <v>121</v>
      </c>
      <c r="J2423" s="18" t="str">
        <f>""</f>
        <v/>
      </c>
      <c r="K2423" s="18" t="str">
        <f>"PFES1162732319_0001"</f>
        <v>PFES1162732319_0001</v>
      </c>
      <c r="L2423" s="18">
        <v>1</v>
      </c>
      <c r="M2423" s="18">
        <v>1</v>
      </c>
    </row>
    <row r="2424" spans="1:13">
      <c r="A2424" s="6">
        <v>43852</v>
      </c>
      <c r="B2424" s="7">
        <v>0.55555555555555558</v>
      </c>
      <c r="C2424" s="18" t="str">
        <f>"FES1162732326"</f>
        <v>FES1162732326</v>
      </c>
      <c r="D2424" s="18" t="s">
        <v>19</v>
      </c>
      <c r="E2424" s="18" t="s">
        <v>695</v>
      </c>
      <c r="F2424" s="18" t="str">
        <f>"2170724895 "</f>
        <v xml:space="preserve">2170724895 </v>
      </c>
      <c r="G2424" s="18" t="str">
        <f t="shared" si="71"/>
        <v>ON1</v>
      </c>
      <c r="H2424" s="18" t="s">
        <v>21</v>
      </c>
      <c r="I2424" s="18" t="s">
        <v>60</v>
      </c>
      <c r="J2424" s="18" t="str">
        <f>""</f>
        <v/>
      </c>
      <c r="K2424" s="18" t="str">
        <f>"PFES1162732326_0001"</f>
        <v>PFES1162732326_0001</v>
      </c>
      <c r="L2424" s="18">
        <v>1</v>
      </c>
      <c r="M2424" s="18">
        <v>1</v>
      </c>
    </row>
    <row r="2425" spans="1:13">
      <c r="A2425" s="6">
        <v>43852</v>
      </c>
      <c r="B2425" s="7">
        <v>0.55486111111111114</v>
      </c>
      <c r="C2425" s="18" t="str">
        <f>"FES1162732333"</f>
        <v>FES1162732333</v>
      </c>
      <c r="D2425" s="18" t="s">
        <v>19</v>
      </c>
      <c r="E2425" s="18" t="s">
        <v>269</v>
      </c>
      <c r="F2425" s="18" t="str">
        <f>"2170722396 "</f>
        <v xml:space="preserve">2170722396 </v>
      </c>
      <c r="G2425" s="18" t="str">
        <f t="shared" si="71"/>
        <v>ON1</v>
      </c>
      <c r="H2425" s="18" t="s">
        <v>21</v>
      </c>
      <c r="I2425" s="18" t="s">
        <v>270</v>
      </c>
      <c r="J2425" s="18" t="str">
        <f>""</f>
        <v/>
      </c>
      <c r="K2425" s="18" t="str">
        <f>"PFES1162732333_0001"</f>
        <v>PFES1162732333_0001</v>
      </c>
      <c r="L2425" s="18">
        <v>1</v>
      </c>
      <c r="M2425" s="18">
        <v>1</v>
      </c>
    </row>
    <row r="2426" spans="1:13">
      <c r="A2426" s="6">
        <v>43852</v>
      </c>
      <c r="B2426" s="7">
        <v>0.5541666666666667</v>
      </c>
      <c r="C2426" s="18" t="str">
        <f>"FES1162732315"</f>
        <v>FES1162732315</v>
      </c>
      <c r="D2426" s="18" t="s">
        <v>19</v>
      </c>
      <c r="E2426" s="18" t="s">
        <v>101</v>
      </c>
      <c r="F2426" s="18" t="str">
        <f>"2170724886 "</f>
        <v xml:space="preserve">2170724886 </v>
      </c>
      <c r="G2426" s="18" t="str">
        <f t="shared" si="71"/>
        <v>ON1</v>
      </c>
      <c r="H2426" s="18" t="s">
        <v>21</v>
      </c>
      <c r="I2426" s="18" t="s">
        <v>102</v>
      </c>
      <c r="J2426" s="18" t="str">
        <f>""</f>
        <v/>
      </c>
      <c r="K2426" s="18" t="str">
        <f>"PFES1162732315_0001"</f>
        <v>PFES1162732315_0001</v>
      </c>
      <c r="L2426" s="18">
        <v>1</v>
      </c>
      <c r="M2426" s="18">
        <v>1</v>
      </c>
    </row>
    <row r="2427" spans="1:13">
      <c r="A2427" s="6">
        <v>43852</v>
      </c>
      <c r="B2427" s="7">
        <v>0.55347222222222225</v>
      </c>
      <c r="C2427" s="18" t="str">
        <f>"FES1162732305"</f>
        <v>FES1162732305</v>
      </c>
      <c r="D2427" s="18" t="s">
        <v>19</v>
      </c>
      <c r="E2427" s="18" t="s">
        <v>262</v>
      </c>
      <c r="F2427" s="18" t="str">
        <f>"2170724808 "</f>
        <v xml:space="preserve">2170724808 </v>
      </c>
      <c r="G2427" s="18" t="str">
        <f t="shared" si="71"/>
        <v>ON1</v>
      </c>
      <c r="H2427" s="18" t="s">
        <v>21</v>
      </c>
      <c r="I2427" s="18" t="s">
        <v>114</v>
      </c>
      <c r="J2427" s="18" t="str">
        <f>""</f>
        <v/>
      </c>
      <c r="K2427" s="18" t="str">
        <f>"PFES1162732305_0001"</f>
        <v>PFES1162732305_0001</v>
      </c>
      <c r="L2427" s="18">
        <v>1</v>
      </c>
      <c r="M2427" s="18">
        <v>1</v>
      </c>
    </row>
    <row r="2428" spans="1:13">
      <c r="A2428" s="6">
        <v>43852</v>
      </c>
      <c r="B2428" s="7">
        <v>0.55347222222222225</v>
      </c>
      <c r="C2428" s="18" t="str">
        <f>"FES1162732307"</f>
        <v>FES1162732307</v>
      </c>
      <c r="D2428" s="18" t="s">
        <v>19</v>
      </c>
      <c r="E2428" s="18" t="s">
        <v>322</v>
      </c>
      <c r="F2428" s="18" t="str">
        <f>"2170724877 "</f>
        <v xml:space="preserve">2170724877 </v>
      </c>
      <c r="G2428" s="18" t="str">
        <f t="shared" si="71"/>
        <v>ON1</v>
      </c>
      <c r="H2428" s="18" t="s">
        <v>21</v>
      </c>
      <c r="I2428" s="18" t="s">
        <v>323</v>
      </c>
      <c r="J2428" s="18" t="str">
        <f>""</f>
        <v/>
      </c>
      <c r="K2428" s="18" t="str">
        <f>"PFES1162732307_0001"</f>
        <v>PFES1162732307_0001</v>
      </c>
      <c r="L2428" s="18">
        <v>1</v>
      </c>
      <c r="M2428" s="18">
        <v>1</v>
      </c>
    </row>
    <row r="2429" spans="1:13">
      <c r="A2429" s="6">
        <v>43852</v>
      </c>
      <c r="B2429" s="7">
        <v>0.55208333333333337</v>
      </c>
      <c r="C2429" s="18" t="str">
        <f>"FES1162732356"</f>
        <v>FES1162732356</v>
      </c>
      <c r="D2429" s="18" t="s">
        <v>19</v>
      </c>
      <c r="E2429" s="18" t="s">
        <v>59</v>
      </c>
      <c r="F2429" s="18" t="str">
        <f>"2170723246 "</f>
        <v xml:space="preserve">2170723246 </v>
      </c>
      <c r="G2429" s="18" t="str">
        <f t="shared" si="71"/>
        <v>ON1</v>
      </c>
      <c r="H2429" s="18" t="s">
        <v>21</v>
      </c>
      <c r="I2429" s="18" t="s">
        <v>60</v>
      </c>
      <c r="J2429" s="18" t="str">
        <f>""</f>
        <v/>
      </c>
      <c r="K2429" s="18" t="str">
        <f>"PFES1162732356_0001"</f>
        <v>PFES1162732356_0001</v>
      </c>
      <c r="L2429" s="18">
        <v>1</v>
      </c>
      <c r="M2429" s="18">
        <v>1</v>
      </c>
    </row>
    <row r="2430" spans="1:13">
      <c r="A2430" s="6">
        <v>43852</v>
      </c>
      <c r="B2430" s="7">
        <v>0.54999999999999993</v>
      </c>
      <c r="C2430" s="18" t="str">
        <f>"FES1162732351"</f>
        <v>FES1162732351</v>
      </c>
      <c r="D2430" s="18" t="s">
        <v>19</v>
      </c>
      <c r="E2430" s="18" t="s">
        <v>352</v>
      </c>
      <c r="F2430" s="18" t="str">
        <f>"2170723138 "</f>
        <v xml:space="preserve">2170723138 </v>
      </c>
      <c r="G2430" s="18" t="str">
        <f t="shared" si="71"/>
        <v>ON1</v>
      </c>
      <c r="H2430" s="18" t="s">
        <v>21</v>
      </c>
      <c r="I2430" s="18" t="s">
        <v>114</v>
      </c>
      <c r="J2430" s="18" t="str">
        <f>""</f>
        <v/>
      </c>
      <c r="K2430" s="18" t="str">
        <f>"PFES1162732351_0001"</f>
        <v>PFES1162732351_0001</v>
      </c>
      <c r="L2430" s="18">
        <v>1</v>
      </c>
      <c r="M2430" s="18">
        <v>1</v>
      </c>
    </row>
    <row r="2431" spans="1:13">
      <c r="A2431" s="6">
        <v>43852</v>
      </c>
      <c r="B2431" s="7">
        <v>0.5493055555555556</v>
      </c>
      <c r="C2431" s="18" t="str">
        <f>"FES1162732287"</f>
        <v>FES1162732287</v>
      </c>
      <c r="D2431" s="18" t="s">
        <v>19</v>
      </c>
      <c r="E2431" s="18" t="s">
        <v>101</v>
      </c>
      <c r="F2431" s="18" t="str">
        <f>"2170724871 "</f>
        <v xml:space="preserve">2170724871 </v>
      </c>
      <c r="G2431" s="18" t="str">
        <f t="shared" si="71"/>
        <v>ON1</v>
      </c>
      <c r="H2431" s="18" t="s">
        <v>21</v>
      </c>
      <c r="I2431" s="18" t="s">
        <v>102</v>
      </c>
      <c r="J2431" s="18" t="str">
        <f>""</f>
        <v/>
      </c>
      <c r="K2431" s="18" t="str">
        <f>"PFES1162732287_0001"</f>
        <v>PFES1162732287_0001</v>
      </c>
      <c r="L2431" s="18">
        <v>1</v>
      </c>
      <c r="M2431" s="18">
        <v>1</v>
      </c>
    </row>
    <row r="2432" spans="1:13">
      <c r="A2432" s="6">
        <v>43852</v>
      </c>
      <c r="B2432" s="7">
        <v>0.54861111111111105</v>
      </c>
      <c r="C2432" s="18" t="str">
        <f>"FES1162732345"</f>
        <v>FES1162732345</v>
      </c>
      <c r="D2432" s="18" t="s">
        <v>19</v>
      </c>
      <c r="E2432" s="18" t="s">
        <v>251</v>
      </c>
      <c r="F2432" s="18" t="str">
        <f>"2170723006 "</f>
        <v xml:space="preserve">2170723006 </v>
      </c>
      <c r="G2432" s="18" t="str">
        <f t="shared" si="71"/>
        <v>ON1</v>
      </c>
      <c r="H2432" s="18" t="s">
        <v>21</v>
      </c>
      <c r="I2432" s="18" t="s">
        <v>183</v>
      </c>
      <c r="J2432" s="18" t="str">
        <f>""</f>
        <v/>
      </c>
      <c r="K2432" s="18" t="str">
        <f>"PFES1162732345_0001"</f>
        <v>PFES1162732345_0001</v>
      </c>
      <c r="L2432" s="18">
        <v>1</v>
      </c>
      <c r="M2432" s="18">
        <v>1</v>
      </c>
    </row>
    <row r="2433" spans="1:13">
      <c r="A2433" s="6">
        <v>43852</v>
      </c>
      <c r="B2433" s="7">
        <v>0.54583333333333328</v>
      </c>
      <c r="C2433" s="18" t="str">
        <f>"FES1162732366"</f>
        <v>FES1162732366</v>
      </c>
      <c r="D2433" s="18" t="s">
        <v>19</v>
      </c>
      <c r="E2433" s="18" t="s">
        <v>809</v>
      </c>
      <c r="F2433" s="18" t="str">
        <f>"2170724280 "</f>
        <v xml:space="preserve">2170724280 </v>
      </c>
      <c r="G2433" s="18" t="str">
        <f t="shared" si="71"/>
        <v>ON1</v>
      </c>
      <c r="H2433" s="18" t="s">
        <v>21</v>
      </c>
      <c r="I2433" s="18" t="s">
        <v>114</v>
      </c>
      <c r="J2433" s="18" t="str">
        <f>""</f>
        <v/>
      </c>
      <c r="K2433" s="18" t="str">
        <f>"PFES1162732366_0001"</f>
        <v>PFES1162732366_0001</v>
      </c>
      <c r="L2433" s="18">
        <v>1</v>
      </c>
      <c r="M2433" s="18">
        <v>1</v>
      </c>
    </row>
    <row r="2434" spans="1:13">
      <c r="A2434" s="6">
        <v>43852</v>
      </c>
      <c r="B2434" s="7">
        <v>0.54513888888888895</v>
      </c>
      <c r="C2434" s="18" t="str">
        <f>"FES1162732353"</f>
        <v>FES1162732353</v>
      </c>
      <c r="D2434" s="18" t="s">
        <v>19</v>
      </c>
      <c r="E2434" s="18" t="s">
        <v>352</v>
      </c>
      <c r="F2434" s="18" t="str">
        <f>"2170723145 "</f>
        <v xml:space="preserve">2170723145 </v>
      </c>
      <c r="G2434" s="18" t="str">
        <f t="shared" si="71"/>
        <v>ON1</v>
      </c>
      <c r="H2434" s="18" t="s">
        <v>21</v>
      </c>
      <c r="I2434" s="18" t="s">
        <v>114</v>
      </c>
      <c r="J2434" s="18" t="str">
        <f>""</f>
        <v/>
      </c>
      <c r="K2434" s="18" t="str">
        <f>"PFES1162732353_0001"</f>
        <v>PFES1162732353_0001</v>
      </c>
      <c r="L2434" s="18">
        <v>1</v>
      </c>
      <c r="M2434" s="18">
        <v>1</v>
      </c>
    </row>
    <row r="2435" spans="1:13">
      <c r="A2435" s="6">
        <v>43852</v>
      </c>
      <c r="B2435" s="7">
        <v>0.68194444444444446</v>
      </c>
      <c r="C2435" s="18" t="str">
        <f>"FES1162732507"</f>
        <v>FES1162732507</v>
      </c>
      <c r="D2435" s="18" t="s">
        <v>19</v>
      </c>
      <c r="E2435" s="18" t="s">
        <v>331</v>
      </c>
      <c r="F2435" s="18" t="str">
        <f>"2170725089 "</f>
        <v xml:space="preserve">2170725089 </v>
      </c>
      <c r="G2435" s="18" t="str">
        <f t="shared" si="71"/>
        <v>ON1</v>
      </c>
      <c r="H2435" s="18" t="s">
        <v>21</v>
      </c>
      <c r="I2435" s="18" t="s">
        <v>303</v>
      </c>
      <c r="J2435" s="18" t="str">
        <f>""</f>
        <v/>
      </c>
      <c r="K2435" s="18" t="str">
        <f>"PFES1162732507_0001"</f>
        <v>PFES1162732507_0001</v>
      </c>
      <c r="L2435" s="18">
        <v>1</v>
      </c>
      <c r="M2435" s="18">
        <v>1</v>
      </c>
    </row>
    <row r="2436" spans="1:13">
      <c r="A2436" s="6">
        <v>43852</v>
      </c>
      <c r="B2436" s="7">
        <v>0.68194444444444446</v>
      </c>
      <c r="C2436" s="18" t="str">
        <f>"FES1162732273"</f>
        <v>FES1162732273</v>
      </c>
      <c r="D2436" s="18" t="s">
        <v>19</v>
      </c>
      <c r="E2436" s="18" t="s">
        <v>259</v>
      </c>
      <c r="F2436" s="18" t="str">
        <f>"217072485 "</f>
        <v xml:space="preserve">217072485 </v>
      </c>
      <c r="G2436" s="18" t="str">
        <f t="shared" si="71"/>
        <v>ON1</v>
      </c>
      <c r="H2436" s="18" t="s">
        <v>21</v>
      </c>
      <c r="I2436" s="18" t="s">
        <v>260</v>
      </c>
      <c r="J2436" s="18" t="str">
        <f>""</f>
        <v/>
      </c>
      <c r="K2436" s="18" t="str">
        <f>"PFES1162732273_0001"</f>
        <v>PFES1162732273_0001</v>
      </c>
      <c r="L2436" s="18">
        <v>1</v>
      </c>
      <c r="M2436" s="18">
        <v>1</v>
      </c>
    </row>
    <row r="2437" spans="1:13">
      <c r="A2437" s="6">
        <v>43852</v>
      </c>
      <c r="B2437" s="7">
        <v>0.68194444444444446</v>
      </c>
      <c r="C2437" s="18" t="str">
        <f>"FES1162732515"</f>
        <v>FES1162732515</v>
      </c>
      <c r="D2437" s="18" t="s">
        <v>19</v>
      </c>
      <c r="E2437" s="18" t="s">
        <v>937</v>
      </c>
      <c r="F2437" s="18" t="str">
        <f>"2170725096 "</f>
        <v xml:space="preserve">2170725096 </v>
      </c>
      <c r="G2437" s="18" t="str">
        <f t="shared" si="71"/>
        <v>ON1</v>
      </c>
      <c r="H2437" s="18" t="s">
        <v>21</v>
      </c>
      <c r="I2437" s="18" t="s">
        <v>119</v>
      </c>
      <c r="J2437" s="18" t="str">
        <f>""</f>
        <v/>
      </c>
      <c r="K2437" s="18" t="str">
        <f>"PFES1162732515_0001"</f>
        <v>PFES1162732515_0001</v>
      </c>
      <c r="L2437" s="18">
        <v>1</v>
      </c>
      <c r="M2437" s="18">
        <v>2</v>
      </c>
    </row>
    <row r="2438" spans="1:13">
      <c r="A2438" s="6">
        <v>43852</v>
      </c>
      <c r="B2438" s="7">
        <v>0.68125000000000002</v>
      </c>
      <c r="C2438" s="18" t="str">
        <f>"FES1162732518"</f>
        <v>FES1162732518</v>
      </c>
      <c r="D2438" s="18" t="s">
        <v>19</v>
      </c>
      <c r="E2438" s="18" t="s">
        <v>254</v>
      </c>
      <c r="F2438" s="18" t="str">
        <f>"2170725101 "</f>
        <v xml:space="preserve">2170725101 </v>
      </c>
      <c r="G2438" s="18" t="str">
        <f t="shared" si="71"/>
        <v>ON1</v>
      </c>
      <c r="H2438" s="18" t="s">
        <v>21</v>
      </c>
      <c r="I2438" s="18" t="s">
        <v>255</v>
      </c>
      <c r="J2438" s="18" t="str">
        <f>""</f>
        <v/>
      </c>
      <c r="K2438" s="18" t="str">
        <f>"PFES1162732518_0001"</f>
        <v>PFES1162732518_0001</v>
      </c>
      <c r="L2438" s="18">
        <v>1</v>
      </c>
      <c r="M2438" s="18">
        <v>2</v>
      </c>
    </row>
    <row r="2439" spans="1:13">
      <c r="A2439" s="6">
        <v>43852</v>
      </c>
      <c r="B2439" s="7">
        <v>0.68055555555555547</v>
      </c>
      <c r="C2439" s="18" t="str">
        <f>"FES1162731381"</f>
        <v>FES1162731381</v>
      </c>
      <c r="D2439" s="18" t="s">
        <v>19</v>
      </c>
      <c r="E2439" s="18" t="s">
        <v>504</v>
      </c>
      <c r="F2439" s="18" t="str">
        <f>"217072021 "</f>
        <v xml:space="preserve">217072021 </v>
      </c>
      <c r="G2439" s="18" t="str">
        <f t="shared" si="71"/>
        <v>ON1</v>
      </c>
      <c r="H2439" s="18" t="s">
        <v>21</v>
      </c>
      <c r="I2439" s="18" t="s">
        <v>133</v>
      </c>
      <c r="J2439" s="18" t="str">
        <f>""</f>
        <v/>
      </c>
      <c r="K2439" s="18" t="str">
        <f>"PFES1162731381_0001"</f>
        <v>PFES1162731381_0001</v>
      </c>
      <c r="L2439" s="18">
        <v>1</v>
      </c>
      <c r="M2439" s="18">
        <v>1</v>
      </c>
    </row>
    <row r="2440" spans="1:13">
      <c r="A2440" s="6">
        <v>43852</v>
      </c>
      <c r="B2440" s="7">
        <v>0.67986111111111114</v>
      </c>
      <c r="C2440" s="18" t="str">
        <f>"FES1162732424"</f>
        <v>FES1162732424</v>
      </c>
      <c r="D2440" s="18" t="s">
        <v>19</v>
      </c>
      <c r="E2440" s="18" t="s">
        <v>938</v>
      </c>
      <c r="F2440" s="18" t="str">
        <f>"2170724987 "</f>
        <v xml:space="preserve">2170724987 </v>
      </c>
      <c r="G2440" s="18" t="str">
        <f t="shared" si="71"/>
        <v>ON1</v>
      </c>
      <c r="H2440" s="18" t="s">
        <v>21</v>
      </c>
      <c r="I2440" s="18" t="s">
        <v>699</v>
      </c>
      <c r="J2440" s="18" t="str">
        <f>""</f>
        <v/>
      </c>
      <c r="K2440" s="18" t="str">
        <f>"PFES1162732424_0001"</f>
        <v>PFES1162732424_0001</v>
      </c>
      <c r="L2440" s="18">
        <v>1</v>
      </c>
      <c r="M2440" s="18">
        <v>1</v>
      </c>
    </row>
    <row r="2441" spans="1:13">
      <c r="A2441" s="6">
        <v>43852</v>
      </c>
      <c r="B2441" s="7">
        <v>0.67986111111111114</v>
      </c>
      <c r="C2441" s="18" t="str">
        <f>"FES1162732426"</f>
        <v>FES1162732426</v>
      </c>
      <c r="D2441" s="18" t="s">
        <v>19</v>
      </c>
      <c r="E2441" s="18" t="s">
        <v>938</v>
      </c>
      <c r="F2441" s="18" t="str">
        <f>"2170724988 "</f>
        <v xml:space="preserve">2170724988 </v>
      </c>
      <c r="G2441" s="18" t="str">
        <f t="shared" si="71"/>
        <v>ON1</v>
      </c>
      <c r="H2441" s="18" t="s">
        <v>21</v>
      </c>
      <c r="I2441" s="18" t="s">
        <v>699</v>
      </c>
      <c r="J2441" s="18" t="str">
        <f>""</f>
        <v/>
      </c>
      <c r="K2441" s="18" t="str">
        <f>"PFES1162732426_0001"</f>
        <v>PFES1162732426_0001</v>
      </c>
      <c r="L2441" s="18">
        <v>1</v>
      </c>
      <c r="M2441" s="18">
        <v>1</v>
      </c>
    </row>
    <row r="2442" spans="1:13">
      <c r="A2442" s="6">
        <v>43852</v>
      </c>
      <c r="B2442" s="7">
        <v>0.67986111111111114</v>
      </c>
      <c r="C2442" s="18" t="str">
        <f>"FES1162732427"</f>
        <v>FES1162732427</v>
      </c>
      <c r="D2442" s="18" t="s">
        <v>19</v>
      </c>
      <c r="E2442" s="18" t="s">
        <v>938</v>
      </c>
      <c r="F2442" s="18" t="str">
        <f>"2170724989 "</f>
        <v xml:space="preserve">2170724989 </v>
      </c>
      <c r="G2442" s="18" t="str">
        <f t="shared" si="71"/>
        <v>ON1</v>
      </c>
      <c r="H2442" s="18" t="s">
        <v>21</v>
      </c>
      <c r="I2442" s="18" t="s">
        <v>699</v>
      </c>
      <c r="J2442" s="18" t="str">
        <f>""</f>
        <v/>
      </c>
      <c r="K2442" s="18" t="str">
        <f>"PFES1162732427_0001"</f>
        <v>PFES1162732427_0001</v>
      </c>
      <c r="L2442" s="18">
        <v>1</v>
      </c>
      <c r="M2442" s="18">
        <v>1</v>
      </c>
    </row>
    <row r="2443" spans="1:13">
      <c r="A2443" s="6">
        <v>43852</v>
      </c>
      <c r="B2443" s="7">
        <v>0.6791666666666667</v>
      </c>
      <c r="C2443" s="18" t="str">
        <f>"FES1162732466"</f>
        <v>FES1162732466</v>
      </c>
      <c r="D2443" s="18" t="s">
        <v>19</v>
      </c>
      <c r="E2443" s="18" t="s">
        <v>654</v>
      </c>
      <c r="F2443" s="18" t="str">
        <f>"2170724921 "</f>
        <v xml:space="preserve">2170724921 </v>
      </c>
      <c r="G2443" s="18" t="str">
        <f t="shared" si="71"/>
        <v>ON1</v>
      </c>
      <c r="H2443" s="18" t="s">
        <v>21</v>
      </c>
      <c r="I2443" s="18" t="s">
        <v>284</v>
      </c>
      <c r="J2443" s="18" t="str">
        <f>""</f>
        <v/>
      </c>
      <c r="K2443" s="18" t="str">
        <f>"PFES1162732466_0001"</f>
        <v>PFES1162732466_0001</v>
      </c>
      <c r="L2443" s="18">
        <v>1</v>
      </c>
      <c r="M2443" s="18">
        <v>11</v>
      </c>
    </row>
    <row r="2444" spans="1:13">
      <c r="A2444" s="6">
        <v>43852</v>
      </c>
      <c r="B2444" s="7">
        <v>0.67708333333333337</v>
      </c>
      <c r="C2444" s="18" t="str">
        <f>"FES1162732230"</f>
        <v>FES1162732230</v>
      </c>
      <c r="D2444" s="18" t="s">
        <v>19</v>
      </c>
      <c r="E2444" s="18" t="s">
        <v>101</v>
      </c>
      <c r="F2444" s="18" t="str">
        <f>"2170724804 "</f>
        <v xml:space="preserve">2170724804 </v>
      </c>
      <c r="G2444" s="18" t="str">
        <f t="shared" si="71"/>
        <v>ON1</v>
      </c>
      <c r="H2444" s="18" t="s">
        <v>21</v>
      </c>
      <c r="I2444" s="18" t="s">
        <v>102</v>
      </c>
      <c r="J2444" s="18" t="str">
        <f>""</f>
        <v/>
      </c>
      <c r="K2444" s="18" t="str">
        <f>"PFES1162732230_0001"</f>
        <v>PFES1162732230_0001</v>
      </c>
      <c r="L2444" s="18">
        <v>1</v>
      </c>
      <c r="M2444" s="18">
        <v>12</v>
      </c>
    </row>
    <row r="2445" spans="1:13">
      <c r="A2445" s="6">
        <v>43852</v>
      </c>
      <c r="B2445" s="7">
        <v>0.67638888888888893</v>
      </c>
      <c r="C2445" s="18" t="str">
        <f>"FES1162732428"</f>
        <v>FES1162732428</v>
      </c>
      <c r="D2445" s="18" t="s">
        <v>19</v>
      </c>
      <c r="E2445" s="18" t="s">
        <v>938</v>
      </c>
      <c r="F2445" s="18" t="str">
        <f>"2170724990 "</f>
        <v xml:space="preserve">2170724990 </v>
      </c>
      <c r="G2445" s="18" t="str">
        <f t="shared" si="71"/>
        <v>ON1</v>
      </c>
      <c r="H2445" s="18" t="s">
        <v>21</v>
      </c>
      <c r="I2445" s="18" t="s">
        <v>699</v>
      </c>
      <c r="J2445" s="18" t="str">
        <f>""</f>
        <v/>
      </c>
      <c r="K2445" s="18" t="str">
        <f>"PFES1162732428_0001"</f>
        <v>PFES1162732428_0001</v>
      </c>
      <c r="L2445" s="18">
        <v>1</v>
      </c>
      <c r="M2445" s="18">
        <v>1</v>
      </c>
    </row>
    <row r="2446" spans="1:13">
      <c r="A2446" s="6">
        <v>43852</v>
      </c>
      <c r="B2446" s="7">
        <v>0.67638888888888893</v>
      </c>
      <c r="C2446" s="18" t="str">
        <f>"FES1162732491"</f>
        <v>FES1162732491</v>
      </c>
      <c r="D2446" s="18" t="s">
        <v>19</v>
      </c>
      <c r="E2446" s="18" t="s">
        <v>939</v>
      </c>
      <c r="F2446" s="18" t="str">
        <f>"2170725066 "</f>
        <v xml:space="preserve">2170725066 </v>
      </c>
      <c r="G2446" s="18" t="str">
        <f t="shared" si="71"/>
        <v>ON1</v>
      </c>
      <c r="H2446" s="18" t="s">
        <v>21</v>
      </c>
      <c r="I2446" s="18" t="s">
        <v>40</v>
      </c>
      <c r="J2446" s="18" t="str">
        <f>""</f>
        <v/>
      </c>
      <c r="K2446" s="18" t="str">
        <f>"PFES1162732491_0001"</f>
        <v>PFES1162732491_0001</v>
      </c>
      <c r="L2446" s="18">
        <v>1</v>
      </c>
      <c r="M2446" s="18">
        <v>1</v>
      </c>
    </row>
    <row r="2447" spans="1:13">
      <c r="A2447" s="6">
        <v>43852</v>
      </c>
      <c r="B2447" s="7">
        <v>0.67638888888888893</v>
      </c>
      <c r="C2447" s="18" t="str">
        <f>"FES1162732410"</f>
        <v>FES1162732410</v>
      </c>
      <c r="D2447" s="18" t="s">
        <v>19</v>
      </c>
      <c r="E2447" s="18" t="s">
        <v>940</v>
      </c>
      <c r="F2447" s="18" t="str">
        <f>"2170724964 "</f>
        <v xml:space="preserve">2170724964 </v>
      </c>
      <c r="G2447" s="18" t="str">
        <f t="shared" si="71"/>
        <v>ON1</v>
      </c>
      <c r="H2447" s="18" t="s">
        <v>21</v>
      </c>
      <c r="I2447" s="18" t="s">
        <v>941</v>
      </c>
      <c r="J2447" s="18" t="str">
        <f>""</f>
        <v/>
      </c>
      <c r="K2447" s="18" t="str">
        <f>"PFES1162732410_0001"</f>
        <v>PFES1162732410_0001</v>
      </c>
      <c r="L2447" s="18">
        <v>1</v>
      </c>
      <c r="M2447" s="18">
        <v>1</v>
      </c>
    </row>
    <row r="2448" spans="1:13">
      <c r="A2448" s="6">
        <v>43852</v>
      </c>
      <c r="B2448" s="7">
        <v>0.67638888888888893</v>
      </c>
      <c r="C2448" s="18" t="str">
        <f>"FES1162732504"</f>
        <v>FES1162732504</v>
      </c>
      <c r="D2448" s="18" t="s">
        <v>19</v>
      </c>
      <c r="E2448" s="18" t="s">
        <v>199</v>
      </c>
      <c r="F2448" s="18" t="str">
        <f>"2170725082 "</f>
        <v xml:space="preserve">2170725082 </v>
      </c>
      <c r="G2448" s="18" t="str">
        <f t="shared" si="71"/>
        <v>ON1</v>
      </c>
      <c r="H2448" s="18" t="s">
        <v>21</v>
      </c>
      <c r="I2448" s="18" t="s">
        <v>200</v>
      </c>
      <c r="J2448" s="18" t="str">
        <f>""</f>
        <v/>
      </c>
      <c r="K2448" s="18" t="str">
        <f>"PFES1162732504_0001"</f>
        <v>PFES1162732504_0001</v>
      </c>
      <c r="L2448" s="18">
        <v>1</v>
      </c>
      <c r="M2448" s="18">
        <v>1</v>
      </c>
    </row>
    <row r="2449" spans="1:13">
      <c r="A2449" s="6">
        <v>43852</v>
      </c>
      <c r="B2449" s="7">
        <v>0.67569444444444438</v>
      </c>
      <c r="C2449" s="18" t="str">
        <f>"FES1162732476"</f>
        <v>FES1162732476</v>
      </c>
      <c r="D2449" s="18" t="s">
        <v>19</v>
      </c>
      <c r="E2449" s="18" t="s">
        <v>248</v>
      </c>
      <c r="F2449" s="18" t="str">
        <f>"2170724992 "</f>
        <v xml:space="preserve">2170724992 </v>
      </c>
      <c r="G2449" s="18" t="str">
        <f t="shared" si="71"/>
        <v>ON1</v>
      </c>
      <c r="H2449" s="18" t="s">
        <v>21</v>
      </c>
      <c r="I2449" s="18" t="s">
        <v>247</v>
      </c>
      <c r="J2449" s="18" t="str">
        <f>""</f>
        <v/>
      </c>
      <c r="K2449" s="18" t="str">
        <f>"PFES1162732476_0001"</f>
        <v>PFES1162732476_0001</v>
      </c>
      <c r="L2449" s="18">
        <v>1</v>
      </c>
      <c r="M2449" s="18">
        <v>1</v>
      </c>
    </row>
    <row r="2450" spans="1:13">
      <c r="A2450" s="6">
        <v>43852</v>
      </c>
      <c r="B2450" s="7">
        <v>0.67569444444444438</v>
      </c>
      <c r="C2450" s="18" t="str">
        <f>"FES1162732417"</f>
        <v>FES1162732417</v>
      </c>
      <c r="D2450" s="18" t="s">
        <v>19</v>
      </c>
      <c r="E2450" s="18" t="s">
        <v>846</v>
      </c>
      <c r="F2450" s="18" t="str">
        <f>"2170724974 "</f>
        <v xml:space="preserve">2170724974 </v>
      </c>
      <c r="G2450" s="18" t="str">
        <f t="shared" si="71"/>
        <v>ON1</v>
      </c>
      <c r="H2450" s="18" t="s">
        <v>21</v>
      </c>
      <c r="I2450" s="18" t="s">
        <v>942</v>
      </c>
      <c r="J2450" s="18" t="str">
        <f>""</f>
        <v/>
      </c>
      <c r="K2450" s="18" t="str">
        <f>"PFES1162732417_0001"</f>
        <v>PFES1162732417_0001</v>
      </c>
      <c r="L2450" s="18">
        <v>1</v>
      </c>
      <c r="M2450" s="18">
        <v>1</v>
      </c>
    </row>
    <row r="2451" spans="1:13">
      <c r="A2451" s="6">
        <v>43852</v>
      </c>
      <c r="B2451" s="7">
        <v>0.67499999999999993</v>
      </c>
      <c r="C2451" s="18" t="str">
        <f>"FES1162732429"</f>
        <v>FES1162732429</v>
      </c>
      <c r="D2451" s="18" t="s">
        <v>19</v>
      </c>
      <c r="E2451" s="18" t="s">
        <v>943</v>
      </c>
      <c r="F2451" s="18" t="str">
        <f>"2170724991 "</f>
        <v xml:space="preserve">2170724991 </v>
      </c>
      <c r="G2451" s="18" t="str">
        <f t="shared" si="71"/>
        <v>ON1</v>
      </c>
      <c r="H2451" s="18" t="s">
        <v>21</v>
      </c>
      <c r="I2451" s="18" t="s">
        <v>247</v>
      </c>
      <c r="J2451" s="18" t="str">
        <f>""</f>
        <v/>
      </c>
      <c r="K2451" s="18" t="str">
        <f>"PFES1162732429_0001"</f>
        <v>PFES1162732429_0001</v>
      </c>
      <c r="L2451" s="18">
        <v>1</v>
      </c>
      <c r="M2451" s="18">
        <v>1</v>
      </c>
    </row>
    <row r="2452" spans="1:13">
      <c r="A2452" s="6">
        <v>43852</v>
      </c>
      <c r="B2452" s="7">
        <v>0.67499999999999993</v>
      </c>
      <c r="C2452" s="18" t="str">
        <f>"FES1162732478"</f>
        <v>FES1162732478</v>
      </c>
      <c r="D2452" s="18" t="s">
        <v>19</v>
      </c>
      <c r="E2452" s="18" t="s">
        <v>458</v>
      </c>
      <c r="F2452" s="18" t="str">
        <f>"2170725052 "</f>
        <v xml:space="preserve">2170725052 </v>
      </c>
      <c r="G2452" s="18" t="str">
        <f t="shared" si="71"/>
        <v>ON1</v>
      </c>
      <c r="H2452" s="18" t="s">
        <v>21</v>
      </c>
      <c r="I2452" s="18" t="s">
        <v>459</v>
      </c>
      <c r="J2452" s="18" t="str">
        <f>""</f>
        <v/>
      </c>
      <c r="K2452" s="18" t="str">
        <f>"PFES1162732478_0001"</f>
        <v>PFES1162732478_0001</v>
      </c>
      <c r="L2452" s="18">
        <v>1</v>
      </c>
      <c r="M2452" s="18">
        <v>1</v>
      </c>
    </row>
    <row r="2453" spans="1:13">
      <c r="A2453" s="6">
        <v>43852</v>
      </c>
      <c r="B2453" s="7">
        <v>0.67499999999999993</v>
      </c>
      <c r="C2453" s="18" t="str">
        <f>"FES1162732419"</f>
        <v>FES1162732419</v>
      </c>
      <c r="D2453" s="18" t="s">
        <v>19</v>
      </c>
      <c r="E2453" s="18" t="s">
        <v>44</v>
      </c>
      <c r="F2453" s="18" t="str">
        <f>"2170724977 "</f>
        <v xml:space="preserve">2170724977 </v>
      </c>
      <c r="G2453" s="18" t="str">
        <f t="shared" si="71"/>
        <v>ON1</v>
      </c>
      <c r="H2453" s="18" t="s">
        <v>21</v>
      </c>
      <c r="I2453" s="18" t="s">
        <v>249</v>
      </c>
      <c r="J2453" s="18" t="str">
        <f>""</f>
        <v/>
      </c>
      <c r="K2453" s="18" t="str">
        <f>"PFES1162732419_0001"</f>
        <v>PFES1162732419_0001</v>
      </c>
      <c r="L2453" s="18">
        <v>1</v>
      </c>
      <c r="M2453" s="18">
        <v>1</v>
      </c>
    </row>
    <row r="2454" spans="1:13">
      <c r="A2454" s="6">
        <v>43852</v>
      </c>
      <c r="B2454" s="7">
        <v>0.6743055555555556</v>
      </c>
      <c r="C2454" s="18" t="str">
        <f>"FES1162732474"</f>
        <v>FES1162732474</v>
      </c>
      <c r="D2454" s="18" t="s">
        <v>19</v>
      </c>
      <c r="E2454" s="18" t="s">
        <v>923</v>
      </c>
      <c r="F2454" s="18" t="str">
        <f>"21702725048 "</f>
        <v xml:space="preserve">21702725048 </v>
      </c>
      <c r="G2454" s="18" t="str">
        <f t="shared" si="71"/>
        <v>ON1</v>
      </c>
      <c r="H2454" s="18" t="s">
        <v>21</v>
      </c>
      <c r="I2454" s="18" t="s">
        <v>416</v>
      </c>
      <c r="J2454" s="18" t="str">
        <f>""</f>
        <v/>
      </c>
      <c r="K2454" s="18" t="str">
        <f>"PFES1162732474_0001"</f>
        <v>PFES1162732474_0001</v>
      </c>
      <c r="L2454" s="18">
        <v>1</v>
      </c>
      <c r="M2454" s="18">
        <v>5</v>
      </c>
    </row>
    <row r="2455" spans="1:13">
      <c r="A2455" s="6">
        <v>43852</v>
      </c>
      <c r="B2455" s="7">
        <v>0.67361111111111116</v>
      </c>
      <c r="C2455" s="18" t="str">
        <f>"FES1162732458"</f>
        <v>FES1162732458</v>
      </c>
      <c r="D2455" s="18" t="s">
        <v>19</v>
      </c>
      <c r="E2455" s="18" t="s">
        <v>441</v>
      </c>
      <c r="F2455" s="18" t="str">
        <f>"2170725028 "</f>
        <v xml:space="preserve">2170725028 </v>
      </c>
      <c r="G2455" s="18" t="str">
        <f t="shared" si="71"/>
        <v>ON1</v>
      </c>
      <c r="H2455" s="18" t="s">
        <v>21</v>
      </c>
      <c r="I2455" s="18" t="s">
        <v>73</v>
      </c>
      <c r="J2455" s="18" t="str">
        <f>""</f>
        <v/>
      </c>
      <c r="K2455" s="18" t="str">
        <f>"PFES1162732458_0001"</f>
        <v>PFES1162732458_0001</v>
      </c>
      <c r="L2455" s="18">
        <v>1</v>
      </c>
      <c r="M2455" s="18">
        <v>1</v>
      </c>
    </row>
    <row r="2456" spans="1:13">
      <c r="A2456" s="6">
        <v>43852</v>
      </c>
      <c r="B2456" s="7">
        <v>0.5444444444444444</v>
      </c>
      <c r="C2456" s="18" t="str">
        <f>"FES1162732295"</f>
        <v>FES1162732295</v>
      </c>
      <c r="D2456" s="18" t="s">
        <v>19</v>
      </c>
      <c r="E2456" s="18" t="s">
        <v>560</v>
      </c>
      <c r="F2456" s="18" t="str">
        <f>"2170723297 "</f>
        <v xml:space="preserve">2170723297 </v>
      </c>
      <c r="G2456" s="18" t="str">
        <f t="shared" si="71"/>
        <v>ON1</v>
      </c>
      <c r="H2456" s="18" t="s">
        <v>21</v>
      </c>
      <c r="I2456" s="18" t="s">
        <v>191</v>
      </c>
      <c r="J2456" s="18" t="str">
        <f>""</f>
        <v/>
      </c>
      <c r="K2456" s="18" t="str">
        <f>"PFES1162732295_0001"</f>
        <v>PFES1162732295_0001</v>
      </c>
      <c r="L2456" s="18">
        <v>1</v>
      </c>
      <c r="M2456" s="18">
        <v>1</v>
      </c>
    </row>
    <row r="2457" spans="1:13">
      <c r="A2457" s="6">
        <v>43852</v>
      </c>
      <c r="B2457" s="7">
        <v>0.5444444444444444</v>
      </c>
      <c r="C2457" s="18" t="str">
        <f>"FES1162732312"</f>
        <v>FES1162732312</v>
      </c>
      <c r="D2457" s="18" t="s">
        <v>19</v>
      </c>
      <c r="E2457" s="18" t="s">
        <v>134</v>
      </c>
      <c r="F2457" s="18" t="str">
        <f>"2170724884 "</f>
        <v xml:space="preserve">2170724884 </v>
      </c>
      <c r="G2457" s="18" t="str">
        <f t="shared" si="71"/>
        <v>ON1</v>
      </c>
      <c r="H2457" s="18" t="s">
        <v>21</v>
      </c>
      <c r="I2457" s="18" t="s">
        <v>135</v>
      </c>
      <c r="J2457" s="18" t="str">
        <f>""</f>
        <v/>
      </c>
      <c r="K2457" s="18" t="str">
        <f>"PFES1162732312_0001"</f>
        <v>PFES1162732312_0001</v>
      </c>
      <c r="L2457" s="18">
        <v>1</v>
      </c>
      <c r="M2457" s="18">
        <v>1</v>
      </c>
    </row>
    <row r="2458" spans="1:13">
      <c r="A2458" s="6">
        <v>43852</v>
      </c>
      <c r="B2458" s="7">
        <v>0.54236111111111118</v>
      </c>
      <c r="C2458" s="18" t="str">
        <f>"FES1162732385"</f>
        <v>FES1162732385</v>
      </c>
      <c r="D2458" s="18" t="s">
        <v>19</v>
      </c>
      <c r="E2458" s="18" t="s">
        <v>259</v>
      </c>
      <c r="F2458" s="18" t="str">
        <f>"2170724919 "</f>
        <v xml:space="preserve">2170724919 </v>
      </c>
      <c r="G2458" s="18" t="str">
        <f t="shared" si="71"/>
        <v>ON1</v>
      </c>
      <c r="H2458" s="18" t="s">
        <v>21</v>
      </c>
      <c r="I2458" s="18" t="s">
        <v>260</v>
      </c>
      <c r="J2458" s="18" t="str">
        <f>""</f>
        <v/>
      </c>
      <c r="K2458" s="18" t="str">
        <f>"PFES1162732385_0001"</f>
        <v>PFES1162732385_0001</v>
      </c>
      <c r="L2458" s="18">
        <v>1</v>
      </c>
      <c r="M2458" s="18">
        <v>2</v>
      </c>
    </row>
    <row r="2459" spans="1:13">
      <c r="A2459" s="6">
        <v>43852</v>
      </c>
      <c r="B2459" s="7">
        <v>0.54097222222222219</v>
      </c>
      <c r="C2459" s="18" t="str">
        <f>"FES1162732396"</f>
        <v>FES1162732396</v>
      </c>
      <c r="D2459" s="18" t="s">
        <v>19</v>
      </c>
      <c r="E2459" s="18" t="s">
        <v>944</v>
      </c>
      <c r="F2459" s="18" t="str">
        <f>"2170724936 "</f>
        <v xml:space="preserve">2170724936 </v>
      </c>
      <c r="G2459" s="18" t="str">
        <f t="shared" si="71"/>
        <v>ON1</v>
      </c>
      <c r="H2459" s="18" t="s">
        <v>21</v>
      </c>
      <c r="I2459" s="18" t="s">
        <v>146</v>
      </c>
      <c r="J2459" s="18" t="str">
        <f>""</f>
        <v/>
      </c>
      <c r="K2459" s="18" t="str">
        <f>"PFES1162732396_0001"</f>
        <v>PFES1162732396_0001</v>
      </c>
      <c r="L2459" s="18">
        <v>1</v>
      </c>
      <c r="M2459" s="18">
        <v>1</v>
      </c>
    </row>
    <row r="2460" spans="1:13">
      <c r="A2460" s="6">
        <v>43852</v>
      </c>
      <c r="B2460" s="7">
        <v>0.54097222222222219</v>
      </c>
      <c r="C2460" s="18" t="str">
        <f>"FES1162732300"</f>
        <v>FES1162732300</v>
      </c>
      <c r="D2460" s="18" t="s">
        <v>19</v>
      </c>
      <c r="E2460" s="18" t="s">
        <v>67</v>
      </c>
      <c r="F2460" s="18" t="str">
        <f>"2170724265 "</f>
        <v xml:space="preserve">2170724265 </v>
      </c>
      <c r="G2460" s="18" t="str">
        <f t="shared" si="71"/>
        <v>ON1</v>
      </c>
      <c r="H2460" s="18" t="s">
        <v>21</v>
      </c>
      <c r="I2460" s="18" t="s">
        <v>253</v>
      </c>
      <c r="J2460" s="18" t="str">
        <f>""</f>
        <v/>
      </c>
      <c r="K2460" s="18" t="str">
        <f>"PFES1162732300_0001"</f>
        <v>PFES1162732300_0001</v>
      </c>
      <c r="L2460" s="18">
        <v>1</v>
      </c>
      <c r="M2460" s="18">
        <v>1</v>
      </c>
    </row>
    <row r="2461" spans="1:13">
      <c r="A2461" s="6">
        <v>43852</v>
      </c>
      <c r="B2461" s="7">
        <v>0.54027777777777775</v>
      </c>
      <c r="C2461" s="18" t="str">
        <f>"FES1162732397"</f>
        <v>FES1162732397</v>
      </c>
      <c r="D2461" s="18" t="s">
        <v>19</v>
      </c>
      <c r="E2461" s="18" t="s">
        <v>737</v>
      </c>
      <c r="F2461" s="18" t="str">
        <f>"2170724938 "</f>
        <v xml:space="preserve">2170724938 </v>
      </c>
      <c r="G2461" s="18" t="str">
        <f t="shared" si="71"/>
        <v>ON1</v>
      </c>
      <c r="H2461" s="18" t="s">
        <v>21</v>
      </c>
      <c r="I2461" s="18" t="s">
        <v>139</v>
      </c>
      <c r="J2461" s="18" t="str">
        <f>""</f>
        <v/>
      </c>
      <c r="K2461" s="18" t="str">
        <f>"PFES1162732397_0001"</f>
        <v>PFES1162732397_0001</v>
      </c>
      <c r="L2461" s="18">
        <v>1</v>
      </c>
      <c r="M2461" s="18">
        <v>1</v>
      </c>
    </row>
    <row r="2462" spans="1:13">
      <c r="A2462" s="6">
        <v>43852</v>
      </c>
      <c r="B2462" s="7">
        <v>0.54027777777777775</v>
      </c>
      <c r="C2462" s="18" t="str">
        <f>"FES1162732338"</f>
        <v>FES1162732338</v>
      </c>
      <c r="D2462" s="18" t="s">
        <v>19</v>
      </c>
      <c r="E2462" s="18" t="s">
        <v>44</v>
      </c>
      <c r="F2462" s="18" t="str">
        <f>"2170722805 "</f>
        <v xml:space="preserve">2170722805 </v>
      </c>
      <c r="G2462" s="18" t="str">
        <f t="shared" si="71"/>
        <v>ON1</v>
      </c>
      <c r="H2462" s="18" t="s">
        <v>21</v>
      </c>
      <c r="I2462" s="18" t="s">
        <v>249</v>
      </c>
      <c r="J2462" s="18" t="str">
        <f>""</f>
        <v/>
      </c>
      <c r="K2462" s="18" t="str">
        <f>"PFES1162732338_0001"</f>
        <v>PFES1162732338_0001</v>
      </c>
      <c r="L2462" s="18">
        <v>1</v>
      </c>
      <c r="M2462" s="18">
        <v>5</v>
      </c>
    </row>
    <row r="2463" spans="1:13">
      <c r="A2463" s="6">
        <v>43852</v>
      </c>
      <c r="B2463" s="7">
        <v>0.5395833333333333</v>
      </c>
      <c r="C2463" s="18" t="str">
        <f>"FES1162732290"</f>
        <v>FES1162732290</v>
      </c>
      <c r="D2463" s="18" t="s">
        <v>19</v>
      </c>
      <c r="E2463" s="18" t="s">
        <v>153</v>
      </c>
      <c r="F2463" s="18" t="str">
        <f>"2170721965 "</f>
        <v xml:space="preserve">2170721965 </v>
      </c>
      <c r="G2463" s="18" t="str">
        <f t="shared" si="71"/>
        <v>ON1</v>
      </c>
      <c r="H2463" s="18" t="s">
        <v>21</v>
      </c>
      <c r="I2463" s="18" t="s">
        <v>146</v>
      </c>
      <c r="J2463" s="18" t="str">
        <f>""</f>
        <v/>
      </c>
      <c r="K2463" s="18" t="str">
        <f>"PFES1162732290_0001"</f>
        <v>PFES1162732290_0001</v>
      </c>
      <c r="L2463" s="18">
        <v>1</v>
      </c>
      <c r="M2463" s="18">
        <v>1</v>
      </c>
    </row>
    <row r="2464" spans="1:13">
      <c r="A2464" s="6">
        <v>43852</v>
      </c>
      <c r="B2464" s="7">
        <v>0.53888888888888886</v>
      </c>
      <c r="C2464" s="18" t="str">
        <f>"FES1162732296"</f>
        <v>FES1162732296</v>
      </c>
      <c r="D2464" s="18" t="s">
        <v>19</v>
      </c>
      <c r="E2464" s="18" t="s">
        <v>81</v>
      </c>
      <c r="F2464" s="18" t="str">
        <f>"2170723569 "</f>
        <v xml:space="preserve">2170723569 </v>
      </c>
      <c r="G2464" s="18" t="str">
        <f t="shared" si="71"/>
        <v>ON1</v>
      </c>
      <c r="H2464" s="18" t="s">
        <v>21</v>
      </c>
      <c r="I2464" s="18" t="s">
        <v>34</v>
      </c>
      <c r="J2464" s="18" t="str">
        <f>""</f>
        <v/>
      </c>
      <c r="K2464" s="18" t="str">
        <f>"PFES1162732296_0001"</f>
        <v>PFES1162732296_0001</v>
      </c>
      <c r="L2464" s="18">
        <v>1</v>
      </c>
      <c r="M2464" s="18">
        <v>2</v>
      </c>
    </row>
    <row r="2465" spans="1:13">
      <c r="A2465" s="6">
        <v>43852</v>
      </c>
      <c r="B2465" s="7">
        <v>0.53680555555555554</v>
      </c>
      <c r="C2465" s="18" t="str">
        <f>"FES1162732231"</f>
        <v>FES1162732231</v>
      </c>
      <c r="D2465" s="18" t="s">
        <v>19</v>
      </c>
      <c r="E2465" s="18" t="s">
        <v>751</v>
      </c>
      <c r="F2465" s="18" t="str">
        <f>"2170724806 "</f>
        <v xml:space="preserve">2170724806 </v>
      </c>
      <c r="G2465" s="18" t="str">
        <f t="shared" si="71"/>
        <v>ON1</v>
      </c>
      <c r="H2465" s="18" t="s">
        <v>21</v>
      </c>
      <c r="I2465" s="18" t="s">
        <v>96</v>
      </c>
      <c r="J2465" s="18" t="str">
        <f>""</f>
        <v/>
      </c>
      <c r="K2465" s="18" t="str">
        <f>"PFES1162732231_0001"</f>
        <v>PFES1162732231_0001</v>
      </c>
      <c r="L2465" s="18">
        <v>1</v>
      </c>
      <c r="M2465" s="18">
        <v>2</v>
      </c>
    </row>
    <row r="2466" spans="1:13">
      <c r="A2466" s="6">
        <v>43852</v>
      </c>
      <c r="B2466" s="7">
        <v>0.53611111111111109</v>
      </c>
      <c r="C2466" s="18" t="str">
        <f>"FES1162732303"</f>
        <v>FES1162732303</v>
      </c>
      <c r="D2466" s="18" t="s">
        <v>19</v>
      </c>
      <c r="E2466" s="18" t="s">
        <v>349</v>
      </c>
      <c r="F2466" s="18" t="str">
        <f>"2170724547 "</f>
        <v xml:space="preserve">2170724547 </v>
      </c>
      <c r="G2466" s="18" t="str">
        <f t="shared" si="71"/>
        <v>ON1</v>
      </c>
      <c r="H2466" s="18" t="s">
        <v>21</v>
      </c>
      <c r="I2466" s="18" t="s">
        <v>85</v>
      </c>
      <c r="J2466" s="18" t="str">
        <f>""</f>
        <v/>
      </c>
      <c r="K2466" s="18" t="str">
        <f>"PFES1162732303_0001"</f>
        <v>PFES1162732303_0001</v>
      </c>
      <c r="L2466" s="18">
        <v>1</v>
      </c>
      <c r="M2466" s="18">
        <v>1</v>
      </c>
    </row>
    <row r="2467" spans="1:13">
      <c r="A2467" s="6">
        <v>43852</v>
      </c>
      <c r="B2467" s="7">
        <v>0.53541666666666665</v>
      </c>
      <c r="C2467" s="18" t="str">
        <f>"FES1162732218"</f>
        <v>FES1162732218</v>
      </c>
      <c r="D2467" s="18" t="s">
        <v>19</v>
      </c>
      <c r="E2467" s="18" t="s">
        <v>201</v>
      </c>
      <c r="F2467" s="18" t="str">
        <f>"2170723794 "</f>
        <v xml:space="preserve">2170723794 </v>
      </c>
      <c r="G2467" s="18" t="str">
        <f t="shared" si="71"/>
        <v>ON1</v>
      </c>
      <c r="H2467" s="18" t="s">
        <v>21</v>
      </c>
      <c r="I2467" s="18" t="s">
        <v>202</v>
      </c>
      <c r="J2467" s="18" t="str">
        <f>""</f>
        <v/>
      </c>
      <c r="K2467" s="18" t="str">
        <f>"PFES1162732218_0001"</f>
        <v>PFES1162732218_0001</v>
      </c>
      <c r="L2467" s="18">
        <v>1</v>
      </c>
      <c r="M2467" s="18">
        <v>2</v>
      </c>
    </row>
    <row r="2468" spans="1:13">
      <c r="A2468" s="6">
        <v>43852</v>
      </c>
      <c r="B2468" s="7">
        <v>0.53541666666666665</v>
      </c>
      <c r="C2468" s="18" t="str">
        <f>"FES1162732283"</f>
        <v>FES1162732283</v>
      </c>
      <c r="D2468" s="18" t="s">
        <v>19</v>
      </c>
      <c r="E2468" s="18" t="s">
        <v>259</v>
      </c>
      <c r="F2468" s="18" t="str">
        <f>"2170724864 "</f>
        <v xml:space="preserve">2170724864 </v>
      </c>
      <c r="G2468" s="18" t="str">
        <f t="shared" si="71"/>
        <v>ON1</v>
      </c>
      <c r="H2468" s="18" t="s">
        <v>21</v>
      </c>
      <c r="I2468" s="18" t="s">
        <v>260</v>
      </c>
      <c r="J2468" s="18" t="str">
        <f>""</f>
        <v/>
      </c>
      <c r="K2468" s="18" t="str">
        <f>"PFES1162732283_0001"</f>
        <v>PFES1162732283_0001</v>
      </c>
      <c r="L2468" s="18">
        <v>1</v>
      </c>
      <c r="M2468" s="18">
        <v>1</v>
      </c>
    </row>
    <row r="2469" spans="1:13">
      <c r="A2469" s="6">
        <v>43852</v>
      </c>
      <c r="B2469" s="7">
        <v>0.53472222222222221</v>
      </c>
      <c r="C2469" s="18" t="str">
        <f>"FES1162732360"</f>
        <v>FES1162732360</v>
      </c>
      <c r="D2469" s="18" t="s">
        <v>19</v>
      </c>
      <c r="E2469" s="18" t="s">
        <v>312</v>
      </c>
      <c r="F2469" s="18" t="str">
        <f>"2170723325 "</f>
        <v xml:space="preserve">2170723325 </v>
      </c>
      <c r="G2469" s="18" t="str">
        <f t="shared" si="71"/>
        <v>ON1</v>
      </c>
      <c r="H2469" s="18" t="s">
        <v>21</v>
      </c>
      <c r="I2469" s="18" t="s">
        <v>313</v>
      </c>
      <c r="J2469" s="18" t="str">
        <f>""</f>
        <v/>
      </c>
      <c r="K2469" s="18" t="str">
        <f>"PFES1162732360_0001"</f>
        <v>PFES1162732360_0001</v>
      </c>
      <c r="L2469" s="18">
        <v>1</v>
      </c>
      <c r="M2469" s="18">
        <v>1</v>
      </c>
    </row>
    <row r="2470" spans="1:13">
      <c r="A2470" s="6">
        <v>43852</v>
      </c>
      <c r="B2470" s="7">
        <v>0.53472222222222221</v>
      </c>
      <c r="C2470" s="18" t="str">
        <f>"FES1162732250"</f>
        <v>FES1162732250</v>
      </c>
      <c r="D2470" s="18" t="s">
        <v>19</v>
      </c>
      <c r="E2470" s="18" t="s">
        <v>501</v>
      </c>
      <c r="F2470" s="18" t="str">
        <f>"2170724824 "</f>
        <v xml:space="preserve">2170724824 </v>
      </c>
      <c r="G2470" s="18" t="str">
        <f t="shared" si="71"/>
        <v>ON1</v>
      </c>
      <c r="H2470" s="18" t="s">
        <v>21</v>
      </c>
      <c r="I2470" s="18" t="s">
        <v>403</v>
      </c>
      <c r="J2470" s="18" t="str">
        <f>""</f>
        <v/>
      </c>
      <c r="K2470" s="18" t="str">
        <f>"PFES1162732250_0001"</f>
        <v>PFES1162732250_0001</v>
      </c>
      <c r="L2470" s="18">
        <v>1</v>
      </c>
      <c r="M2470" s="18">
        <v>4</v>
      </c>
    </row>
    <row r="2471" spans="1:13">
      <c r="A2471" s="6">
        <v>43852</v>
      </c>
      <c r="B2471" s="7">
        <v>0.53333333333333333</v>
      </c>
      <c r="C2471" s="18" t="str">
        <f>"FES1162732346"</f>
        <v>FES1162732346</v>
      </c>
      <c r="D2471" s="18" t="s">
        <v>19</v>
      </c>
      <c r="E2471" s="18" t="s">
        <v>683</v>
      </c>
      <c r="F2471" s="18" t="str">
        <f>"2170723017 "</f>
        <v xml:space="preserve">2170723017 </v>
      </c>
      <c r="G2471" s="18" t="str">
        <f t="shared" si="71"/>
        <v>ON1</v>
      </c>
      <c r="H2471" s="18" t="s">
        <v>21</v>
      </c>
      <c r="I2471" s="18" t="s">
        <v>31</v>
      </c>
      <c r="J2471" s="18" t="str">
        <f>""</f>
        <v/>
      </c>
      <c r="K2471" s="18" t="str">
        <f>"PFES1162732346_0001"</f>
        <v>PFES1162732346_0001</v>
      </c>
      <c r="L2471" s="18">
        <v>1</v>
      </c>
      <c r="M2471" s="18">
        <v>13</v>
      </c>
    </row>
    <row r="2472" spans="1:13">
      <c r="A2472" s="6">
        <v>43852</v>
      </c>
      <c r="B2472" s="7">
        <v>0.53055555555555556</v>
      </c>
      <c r="C2472" s="18" t="str">
        <f>"FES1162732382"</f>
        <v>FES1162732382</v>
      </c>
      <c r="D2472" s="18" t="s">
        <v>19</v>
      </c>
      <c r="E2472" s="18" t="s">
        <v>168</v>
      </c>
      <c r="F2472" s="18" t="str">
        <f>"2170724916 "</f>
        <v xml:space="preserve">2170724916 </v>
      </c>
      <c r="G2472" s="18" t="str">
        <f t="shared" si="71"/>
        <v>ON1</v>
      </c>
      <c r="H2472" s="18" t="s">
        <v>21</v>
      </c>
      <c r="I2472" s="18" t="s">
        <v>169</v>
      </c>
      <c r="J2472" s="18" t="str">
        <f>""</f>
        <v/>
      </c>
      <c r="K2472" s="18" t="str">
        <f>"PFES1162732382_0001"</f>
        <v>PFES1162732382_0001</v>
      </c>
      <c r="L2472" s="18">
        <v>1</v>
      </c>
      <c r="M2472" s="18">
        <v>1</v>
      </c>
    </row>
    <row r="2473" spans="1:13">
      <c r="A2473" s="6">
        <v>43852</v>
      </c>
      <c r="B2473" s="7">
        <v>0.52986111111111112</v>
      </c>
      <c r="C2473" s="18" t="str">
        <f>"FES1162732304"</f>
        <v>FES1162732304</v>
      </c>
      <c r="D2473" s="18" t="s">
        <v>19</v>
      </c>
      <c r="E2473" s="18" t="s">
        <v>304</v>
      </c>
      <c r="F2473" s="18" t="str">
        <f>"2170724643 "</f>
        <v xml:space="preserve">2170724643 </v>
      </c>
      <c r="G2473" s="18" t="str">
        <f t="shared" si="71"/>
        <v>ON1</v>
      </c>
      <c r="H2473" s="18" t="s">
        <v>21</v>
      </c>
      <c r="I2473" s="18" t="s">
        <v>305</v>
      </c>
      <c r="J2473" s="18" t="str">
        <f>""</f>
        <v/>
      </c>
      <c r="K2473" s="18" t="str">
        <f>"PFES1162732304_0001"</f>
        <v>PFES1162732304_0001</v>
      </c>
      <c r="L2473" s="18">
        <v>1</v>
      </c>
      <c r="M2473" s="18">
        <v>1</v>
      </c>
    </row>
    <row r="2474" spans="1:13">
      <c r="A2474" s="6">
        <v>43852</v>
      </c>
      <c r="B2474" s="7">
        <v>0.52708333333333335</v>
      </c>
      <c r="C2474" s="18" t="str">
        <f>"FES1162732327"</f>
        <v>FES1162732327</v>
      </c>
      <c r="D2474" s="18" t="s">
        <v>19</v>
      </c>
      <c r="E2474" s="18" t="s">
        <v>945</v>
      </c>
      <c r="F2474" s="18" t="str">
        <f>"2170724897 "</f>
        <v xml:space="preserve">2170724897 </v>
      </c>
      <c r="G2474" s="18" t="str">
        <f t="shared" si="71"/>
        <v>ON1</v>
      </c>
      <c r="H2474" s="18" t="s">
        <v>21</v>
      </c>
      <c r="I2474" s="18" t="s">
        <v>795</v>
      </c>
      <c r="J2474" s="18" t="str">
        <f>""</f>
        <v/>
      </c>
      <c r="K2474" s="18" t="str">
        <f>"PFES1162732327_0001"</f>
        <v>PFES1162732327_0001</v>
      </c>
      <c r="L2474" s="18">
        <v>1</v>
      </c>
      <c r="M2474" s="18">
        <v>2</v>
      </c>
    </row>
    <row r="2475" spans="1:13">
      <c r="A2475" s="6">
        <v>43852</v>
      </c>
      <c r="B2475" s="7">
        <v>0.52708333333333335</v>
      </c>
      <c r="C2475" s="18" t="str">
        <f>"FES1162732399"</f>
        <v>FES1162732399</v>
      </c>
      <c r="D2475" s="18" t="s">
        <v>19</v>
      </c>
      <c r="E2475" s="18" t="s">
        <v>563</v>
      </c>
      <c r="F2475" s="18" t="str">
        <f>"2170723319 "</f>
        <v xml:space="preserve">2170723319 </v>
      </c>
      <c r="G2475" s="18" t="str">
        <f t="shared" si="71"/>
        <v>ON1</v>
      </c>
      <c r="H2475" s="18" t="s">
        <v>21</v>
      </c>
      <c r="I2475" s="18" t="s">
        <v>564</v>
      </c>
      <c r="J2475" s="18" t="str">
        <f>""</f>
        <v/>
      </c>
      <c r="K2475" s="18" t="str">
        <f>"PFES1162732399_0001"</f>
        <v>PFES1162732399_0001</v>
      </c>
      <c r="L2475" s="18">
        <v>1</v>
      </c>
      <c r="M2475" s="18">
        <v>1</v>
      </c>
    </row>
    <row r="2476" spans="1:13">
      <c r="A2476" s="6">
        <v>43852</v>
      </c>
      <c r="B2476" s="7">
        <v>0.52569444444444446</v>
      </c>
      <c r="C2476" s="18" t="str">
        <f>"FES1162732404"</f>
        <v>FES1162732404</v>
      </c>
      <c r="D2476" s="18" t="s">
        <v>19</v>
      </c>
      <c r="E2476" s="18" t="s">
        <v>946</v>
      </c>
      <c r="F2476" s="18" t="str">
        <f>"2170724948 "</f>
        <v xml:space="preserve">2170724948 </v>
      </c>
      <c r="G2476" s="18" t="str">
        <f t="shared" si="71"/>
        <v>ON1</v>
      </c>
      <c r="H2476" s="18" t="s">
        <v>21</v>
      </c>
      <c r="I2476" s="18" t="s">
        <v>947</v>
      </c>
      <c r="J2476" s="18" t="str">
        <f>""</f>
        <v/>
      </c>
      <c r="K2476" s="18" t="str">
        <f>"PFES1162732404_0001"</f>
        <v>PFES1162732404_0001</v>
      </c>
      <c r="L2476" s="18">
        <v>1</v>
      </c>
      <c r="M2476" s="18">
        <v>1</v>
      </c>
    </row>
    <row r="2477" spans="1:13">
      <c r="A2477" s="6">
        <v>43852</v>
      </c>
      <c r="B2477" s="7">
        <v>0.52569444444444446</v>
      </c>
      <c r="C2477" s="18" t="str">
        <f>"FES1162732342"</f>
        <v>FES1162732342</v>
      </c>
      <c r="D2477" s="18" t="s">
        <v>19</v>
      </c>
      <c r="E2477" s="18" t="s">
        <v>174</v>
      </c>
      <c r="F2477" s="18" t="str">
        <f>"2170722974 "</f>
        <v xml:space="preserve">2170722974 </v>
      </c>
      <c r="G2477" s="18" t="str">
        <f t="shared" si="71"/>
        <v>ON1</v>
      </c>
      <c r="H2477" s="18" t="s">
        <v>21</v>
      </c>
      <c r="I2477" s="18" t="s">
        <v>175</v>
      </c>
      <c r="J2477" s="18" t="str">
        <f>""</f>
        <v/>
      </c>
      <c r="K2477" s="18" t="str">
        <f>"PFES1162732342_0001"</f>
        <v>PFES1162732342_0001</v>
      </c>
      <c r="L2477" s="18">
        <v>1</v>
      </c>
      <c r="M2477" s="18">
        <v>1</v>
      </c>
    </row>
    <row r="2478" spans="1:13">
      <c r="A2478" s="6">
        <v>43852</v>
      </c>
      <c r="B2478" s="7">
        <v>0.52430555555555558</v>
      </c>
      <c r="C2478" s="18" t="str">
        <f>"FES1162732430"</f>
        <v>FES1162732430</v>
      </c>
      <c r="D2478" s="18" t="s">
        <v>19</v>
      </c>
      <c r="E2478" s="18" t="s">
        <v>136</v>
      </c>
      <c r="F2478" s="18" t="str">
        <f>"2170724947 "</f>
        <v xml:space="preserve">2170724947 </v>
      </c>
      <c r="G2478" s="18" t="str">
        <f t="shared" si="71"/>
        <v>ON1</v>
      </c>
      <c r="H2478" s="18" t="s">
        <v>21</v>
      </c>
      <c r="I2478" s="18" t="s">
        <v>137</v>
      </c>
      <c r="J2478" s="18" t="str">
        <f>""</f>
        <v/>
      </c>
      <c r="K2478" s="18" t="str">
        <f>"PFES1162732430_0001"</f>
        <v>PFES1162732430_0001</v>
      </c>
      <c r="L2478" s="18">
        <v>1</v>
      </c>
      <c r="M2478" s="18">
        <v>1</v>
      </c>
    </row>
    <row r="2479" spans="1:13">
      <c r="A2479" s="6">
        <v>43852</v>
      </c>
      <c r="B2479" s="7">
        <v>0.52430555555555558</v>
      </c>
      <c r="C2479" s="18" t="str">
        <f>"FES1162732394"</f>
        <v>FES1162732394</v>
      </c>
      <c r="D2479" s="18" t="s">
        <v>19</v>
      </c>
      <c r="E2479" s="18" t="s">
        <v>948</v>
      </c>
      <c r="F2479" s="18" t="str">
        <f>"2170724934 "</f>
        <v xml:space="preserve">2170724934 </v>
      </c>
      <c r="G2479" s="18" t="str">
        <f t="shared" si="71"/>
        <v>ON1</v>
      </c>
      <c r="H2479" s="18" t="s">
        <v>21</v>
      </c>
      <c r="I2479" s="18" t="s">
        <v>488</v>
      </c>
      <c r="J2479" s="18" t="str">
        <f>""</f>
        <v/>
      </c>
      <c r="K2479" s="18" t="str">
        <f>"PFES1162732394_0001"</f>
        <v>PFES1162732394_0001</v>
      </c>
      <c r="L2479" s="18">
        <v>1</v>
      </c>
      <c r="M2479" s="18">
        <v>4</v>
      </c>
    </row>
    <row r="2480" spans="1:13">
      <c r="A2480" s="6">
        <v>43852</v>
      </c>
      <c r="B2480" s="7">
        <v>0.52361111111111114</v>
      </c>
      <c r="C2480" s="18" t="str">
        <f>"FES1162732330"</f>
        <v>FES1162732330</v>
      </c>
      <c r="D2480" s="18" t="s">
        <v>19</v>
      </c>
      <c r="E2480" s="18" t="s">
        <v>268</v>
      </c>
      <c r="F2480" s="18" t="str">
        <f>"2170721708 "</f>
        <v xml:space="preserve">2170721708 </v>
      </c>
      <c r="G2480" s="18" t="str">
        <f t="shared" si="71"/>
        <v>ON1</v>
      </c>
      <c r="H2480" s="18" t="s">
        <v>21</v>
      </c>
      <c r="I2480" s="18" t="s">
        <v>230</v>
      </c>
      <c r="J2480" s="18" t="str">
        <f>""</f>
        <v/>
      </c>
      <c r="K2480" s="18" t="str">
        <f>"PFES1162732330_0001"</f>
        <v>PFES1162732330_0001</v>
      </c>
      <c r="L2480" s="18">
        <v>1</v>
      </c>
      <c r="M2480" s="18">
        <v>1</v>
      </c>
    </row>
    <row r="2481" spans="1:13">
      <c r="A2481" s="6">
        <v>43852</v>
      </c>
      <c r="B2481" s="7">
        <v>0.5229166666666667</v>
      </c>
      <c r="C2481" s="18" t="str">
        <f>"FES1162732354"</f>
        <v>FES1162732354</v>
      </c>
      <c r="D2481" s="18" t="s">
        <v>19</v>
      </c>
      <c r="E2481" s="18" t="s">
        <v>218</v>
      </c>
      <c r="F2481" s="18" t="str">
        <f>"2170723157 "</f>
        <v xml:space="preserve">2170723157 </v>
      </c>
      <c r="G2481" s="18" t="str">
        <f t="shared" si="71"/>
        <v>ON1</v>
      </c>
      <c r="H2481" s="18" t="s">
        <v>21</v>
      </c>
      <c r="I2481" s="18" t="s">
        <v>49</v>
      </c>
      <c r="J2481" s="18" t="str">
        <f>""</f>
        <v/>
      </c>
      <c r="K2481" s="18" t="str">
        <f>"PFES1162732354_0001"</f>
        <v>PFES1162732354_0001</v>
      </c>
      <c r="L2481" s="18">
        <v>1</v>
      </c>
      <c r="M2481" s="18">
        <v>15</v>
      </c>
    </row>
    <row r="2482" spans="1:13">
      <c r="A2482" s="6">
        <v>43852</v>
      </c>
      <c r="B2482" s="7">
        <v>0.5229166666666667</v>
      </c>
      <c r="C2482" s="18" t="str">
        <f>"FES1162732289"</f>
        <v>FES1162732289</v>
      </c>
      <c r="D2482" s="18" t="s">
        <v>19</v>
      </c>
      <c r="E2482" s="18" t="s">
        <v>268</v>
      </c>
      <c r="F2482" s="18" t="str">
        <f>"2170721708 "</f>
        <v xml:space="preserve">2170721708 </v>
      </c>
      <c r="G2482" s="18" t="str">
        <f t="shared" ref="G2482:G2496" si="72">"ON1"</f>
        <v>ON1</v>
      </c>
      <c r="H2482" s="18" t="s">
        <v>21</v>
      </c>
      <c r="I2482" s="18" t="s">
        <v>230</v>
      </c>
      <c r="J2482" s="18" t="str">
        <f>""</f>
        <v/>
      </c>
      <c r="K2482" s="18" t="str">
        <f>"PFES1162732289_0001"</f>
        <v>PFES1162732289_0001</v>
      </c>
      <c r="L2482" s="18">
        <v>1</v>
      </c>
      <c r="M2482" s="18">
        <v>1</v>
      </c>
    </row>
    <row r="2483" spans="1:13">
      <c r="A2483" s="6">
        <v>43852</v>
      </c>
      <c r="B2483" s="7">
        <v>0.52222222222222225</v>
      </c>
      <c r="C2483" s="18" t="str">
        <f>"FES1162732409"</f>
        <v>FES1162732409</v>
      </c>
      <c r="D2483" s="18" t="s">
        <v>19</v>
      </c>
      <c r="E2483" s="18" t="s">
        <v>44</v>
      </c>
      <c r="F2483" s="18" t="str">
        <f>"2170724958 "</f>
        <v xml:space="preserve">2170724958 </v>
      </c>
      <c r="G2483" s="18" t="str">
        <f t="shared" si="72"/>
        <v>ON1</v>
      </c>
      <c r="H2483" s="18" t="s">
        <v>21</v>
      </c>
      <c r="I2483" s="18" t="s">
        <v>45</v>
      </c>
      <c r="J2483" s="18" t="str">
        <f>""</f>
        <v/>
      </c>
      <c r="K2483" s="18" t="str">
        <f>"PFES1162732409_0001"</f>
        <v>PFES1162732409_0001</v>
      </c>
      <c r="L2483" s="18">
        <v>1</v>
      </c>
      <c r="M2483" s="18">
        <v>1</v>
      </c>
    </row>
    <row r="2484" spans="1:13">
      <c r="A2484" s="6">
        <v>43852</v>
      </c>
      <c r="B2484" s="7">
        <v>0.52152777777777781</v>
      </c>
      <c r="C2484" s="18" t="str">
        <f>"FES1162732313"</f>
        <v>FES1162732313</v>
      </c>
      <c r="D2484" s="18" t="s">
        <v>19</v>
      </c>
      <c r="E2484" s="18" t="s">
        <v>70</v>
      </c>
      <c r="F2484" s="18" t="str">
        <f>"2170724865 "</f>
        <v xml:space="preserve">2170724865 </v>
      </c>
      <c r="G2484" s="18" t="str">
        <f t="shared" si="72"/>
        <v>ON1</v>
      </c>
      <c r="H2484" s="18" t="s">
        <v>21</v>
      </c>
      <c r="I2484" s="18" t="s">
        <v>71</v>
      </c>
      <c r="J2484" s="18" t="str">
        <f>""</f>
        <v/>
      </c>
      <c r="K2484" s="18" t="str">
        <f>"PFES1162732313_0001"</f>
        <v>PFES1162732313_0001</v>
      </c>
      <c r="L2484" s="18">
        <v>1</v>
      </c>
      <c r="M2484" s="18">
        <v>3</v>
      </c>
    </row>
    <row r="2485" spans="1:13">
      <c r="A2485" s="6">
        <v>43852</v>
      </c>
      <c r="B2485" s="7">
        <v>0.52152777777777781</v>
      </c>
      <c r="C2485" s="18" t="str">
        <f>"FES1162732332"</f>
        <v>FES1162732332</v>
      </c>
      <c r="D2485" s="18" t="s">
        <v>19</v>
      </c>
      <c r="E2485" s="18" t="s">
        <v>300</v>
      </c>
      <c r="F2485" s="18" t="str">
        <f>"2170722289 "</f>
        <v xml:space="preserve">2170722289 </v>
      </c>
      <c r="G2485" s="18" t="str">
        <f t="shared" si="72"/>
        <v>ON1</v>
      </c>
      <c r="H2485" s="18" t="s">
        <v>21</v>
      </c>
      <c r="I2485" s="18" t="s">
        <v>301</v>
      </c>
      <c r="J2485" s="18" t="str">
        <f>""</f>
        <v/>
      </c>
      <c r="K2485" s="18" t="str">
        <f>"PFES1162732332_0001"</f>
        <v>PFES1162732332_0001</v>
      </c>
      <c r="L2485" s="18">
        <v>1</v>
      </c>
      <c r="M2485" s="18">
        <v>1</v>
      </c>
    </row>
    <row r="2486" spans="1:13">
      <c r="A2486" s="6">
        <v>43852</v>
      </c>
      <c r="B2486" s="7">
        <v>0.52083333333333337</v>
      </c>
      <c r="C2486" s="18" t="str">
        <f>"FES1162732274"</f>
        <v>FES1162732274</v>
      </c>
      <c r="D2486" s="18" t="s">
        <v>19</v>
      </c>
      <c r="E2486" s="18" t="s">
        <v>259</v>
      </c>
      <c r="F2486" s="18" t="str">
        <f>"2170724858 "</f>
        <v xml:space="preserve">2170724858 </v>
      </c>
      <c r="G2486" s="18" t="str">
        <f t="shared" si="72"/>
        <v>ON1</v>
      </c>
      <c r="H2486" s="18" t="s">
        <v>21</v>
      </c>
      <c r="I2486" s="18" t="s">
        <v>260</v>
      </c>
      <c r="J2486" s="18" t="str">
        <f>""</f>
        <v/>
      </c>
      <c r="K2486" s="18" t="str">
        <f>"PFES1162732274_0001"</f>
        <v>PFES1162732274_0001</v>
      </c>
      <c r="L2486" s="18">
        <v>1</v>
      </c>
      <c r="M2486" s="18">
        <v>6</v>
      </c>
    </row>
    <row r="2487" spans="1:13">
      <c r="A2487" s="6">
        <v>43852</v>
      </c>
      <c r="B2487" s="7">
        <v>0.52013888888888882</v>
      </c>
      <c r="C2487" s="18" t="str">
        <f>"FES1162732403"</f>
        <v>FES1162732403</v>
      </c>
      <c r="D2487" s="18" t="s">
        <v>19</v>
      </c>
      <c r="E2487" s="18" t="s">
        <v>180</v>
      </c>
      <c r="F2487" s="18" t="str">
        <f>"2170724946 "</f>
        <v xml:space="preserve">2170724946 </v>
      </c>
      <c r="G2487" s="18" t="str">
        <f t="shared" si="72"/>
        <v>ON1</v>
      </c>
      <c r="H2487" s="18" t="s">
        <v>21</v>
      </c>
      <c r="I2487" s="18" t="s">
        <v>28</v>
      </c>
      <c r="J2487" s="18" t="str">
        <f>""</f>
        <v/>
      </c>
      <c r="K2487" s="18" t="str">
        <f>"PFES1162732403_0001"</f>
        <v>PFES1162732403_0001</v>
      </c>
      <c r="L2487" s="18">
        <v>1</v>
      </c>
      <c r="M2487" s="18">
        <v>1</v>
      </c>
    </row>
    <row r="2488" spans="1:13">
      <c r="A2488" s="6">
        <v>43852</v>
      </c>
      <c r="B2488" s="7">
        <v>0.51944444444444449</v>
      </c>
      <c r="C2488" s="18" t="str">
        <f>"FES1162732376"</f>
        <v>FES1162732376</v>
      </c>
      <c r="D2488" s="18" t="s">
        <v>19</v>
      </c>
      <c r="E2488" s="18" t="s">
        <v>949</v>
      </c>
      <c r="F2488" s="18" t="str">
        <f>"2170724907 "</f>
        <v xml:space="preserve">2170724907 </v>
      </c>
      <c r="G2488" s="18" t="str">
        <f t="shared" si="72"/>
        <v>ON1</v>
      </c>
      <c r="H2488" s="18" t="s">
        <v>21</v>
      </c>
      <c r="I2488" s="18" t="s">
        <v>146</v>
      </c>
      <c r="J2488" s="18" t="str">
        <f>""</f>
        <v/>
      </c>
      <c r="K2488" s="18" t="str">
        <f>"PFES1162732376_0001"</f>
        <v>PFES1162732376_0001</v>
      </c>
      <c r="L2488" s="18">
        <v>1</v>
      </c>
      <c r="M2488" s="18">
        <v>2</v>
      </c>
    </row>
    <row r="2489" spans="1:13">
      <c r="A2489" s="6">
        <v>43852</v>
      </c>
      <c r="B2489" s="7">
        <v>0.51874999999999993</v>
      </c>
      <c r="C2489" s="18" t="str">
        <f>"FES1162732387"</f>
        <v>FES1162732387</v>
      </c>
      <c r="D2489" s="18" t="s">
        <v>19</v>
      </c>
      <c r="E2489" s="18" t="s">
        <v>950</v>
      </c>
      <c r="F2489" s="18" t="str">
        <f>"2170724928 "</f>
        <v xml:space="preserve">2170724928 </v>
      </c>
      <c r="G2489" s="18" t="str">
        <f t="shared" si="72"/>
        <v>ON1</v>
      </c>
      <c r="H2489" s="18" t="s">
        <v>21</v>
      </c>
      <c r="I2489" s="18" t="s">
        <v>951</v>
      </c>
      <c r="J2489" s="18" t="str">
        <f>""</f>
        <v/>
      </c>
      <c r="K2489" s="18" t="str">
        <f>"PFES1162732387_0001"</f>
        <v>PFES1162732387_0001</v>
      </c>
      <c r="L2489" s="18">
        <v>1</v>
      </c>
      <c r="M2489" s="18">
        <v>1</v>
      </c>
    </row>
    <row r="2490" spans="1:13">
      <c r="A2490" s="6">
        <v>43852</v>
      </c>
      <c r="B2490" s="7">
        <v>0.51874999999999993</v>
      </c>
      <c r="C2490" s="18" t="str">
        <f>"FES1162732379"</f>
        <v>FES1162732379</v>
      </c>
      <c r="D2490" s="18" t="s">
        <v>19</v>
      </c>
      <c r="E2490" s="18" t="s">
        <v>534</v>
      </c>
      <c r="F2490" s="18" t="str">
        <f>"2170724911 "</f>
        <v xml:space="preserve">2170724911 </v>
      </c>
      <c r="G2490" s="18" t="str">
        <f t="shared" si="72"/>
        <v>ON1</v>
      </c>
      <c r="H2490" s="18" t="s">
        <v>21</v>
      </c>
      <c r="I2490" s="18" t="s">
        <v>135</v>
      </c>
      <c r="J2490" s="18" t="str">
        <f>""</f>
        <v/>
      </c>
      <c r="K2490" s="18" t="str">
        <f>"PFES1162732379_0001"</f>
        <v>PFES1162732379_0001</v>
      </c>
      <c r="L2490" s="18">
        <v>1</v>
      </c>
      <c r="M2490" s="18">
        <v>2</v>
      </c>
    </row>
    <row r="2491" spans="1:13">
      <c r="A2491" s="6">
        <v>43852</v>
      </c>
      <c r="B2491" s="7">
        <v>0.51736111111111105</v>
      </c>
      <c r="C2491" s="18" t="str">
        <f>"FES1162732336"</f>
        <v>FES1162732336</v>
      </c>
      <c r="D2491" s="18" t="s">
        <v>19</v>
      </c>
      <c r="E2491" s="18" t="s">
        <v>147</v>
      </c>
      <c r="F2491" s="18" t="str">
        <f>"2170722629 "</f>
        <v xml:space="preserve">2170722629 </v>
      </c>
      <c r="G2491" s="18" t="str">
        <f t="shared" si="72"/>
        <v>ON1</v>
      </c>
      <c r="H2491" s="18" t="s">
        <v>21</v>
      </c>
      <c r="I2491" s="18" t="s">
        <v>148</v>
      </c>
      <c r="J2491" s="18" t="str">
        <f>""</f>
        <v/>
      </c>
      <c r="K2491" s="18" t="str">
        <f>"PFES1162732336_0001"</f>
        <v>PFES1162732336_0001</v>
      </c>
      <c r="L2491" s="18">
        <v>1</v>
      </c>
      <c r="M2491" s="18">
        <v>1</v>
      </c>
    </row>
    <row r="2492" spans="1:13">
      <c r="A2492" s="6">
        <v>43852</v>
      </c>
      <c r="B2492" s="7">
        <v>0.51597222222222217</v>
      </c>
      <c r="C2492" s="18" t="str">
        <f>"FES1162732286"</f>
        <v>FES1162732286</v>
      </c>
      <c r="D2492" s="18" t="s">
        <v>19</v>
      </c>
      <c r="E2492" s="18" t="s">
        <v>523</v>
      </c>
      <c r="F2492" s="18" t="str">
        <f>"2170724870 "</f>
        <v xml:space="preserve">2170724870 </v>
      </c>
      <c r="G2492" s="18" t="str">
        <f t="shared" si="72"/>
        <v>ON1</v>
      </c>
      <c r="H2492" s="18" t="s">
        <v>21</v>
      </c>
      <c r="I2492" s="18" t="s">
        <v>98</v>
      </c>
      <c r="J2492" s="18" t="str">
        <f>""</f>
        <v/>
      </c>
      <c r="K2492" s="18" t="str">
        <f>"PFES1162732286_0001"</f>
        <v>PFES1162732286_0001</v>
      </c>
      <c r="L2492" s="18">
        <v>1</v>
      </c>
      <c r="M2492" s="18">
        <v>3</v>
      </c>
    </row>
    <row r="2493" spans="1:13">
      <c r="A2493" s="6">
        <v>43852</v>
      </c>
      <c r="B2493" s="7">
        <v>0.51458333333333328</v>
      </c>
      <c r="C2493" s="18" t="str">
        <f>"FES1162732285"</f>
        <v>FES1162732285</v>
      </c>
      <c r="D2493" s="18" t="s">
        <v>19</v>
      </c>
      <c r="E2493" s="18" t="s">
        <v>42</v>
      </c>
      <c r="F2493" s="18" t="str">
        <f>"2170724867 "</f>
        <v xml:space="preserve">2170724867 </v>
      </c>
      <c r="G2493" s="18" t="str">
        <f t="shared" si="72"/>
        <v>ON1</v>
      </c>
      <c r="H2493" s="18" t="s">
        <v>21</v>
      </c>
      <c r="I2493" s="18" t="s">
        <v>43</v>
      </c>
      <c r="J2493" s="18" t="str">
        <f>""</f>
        <v/>
      </c>
      <c r="K2493" s="18" t="str">
        <f>"PFES1162732285_0001"</f>
        <v>PFES1162732285_0001</v>
      </c>
      <c r="L2493" s="18">
        <v>1</v>
      </c>
      <c r="M2493" s="18">
        <v>1</v>
      </c>
    </row>
    <row r="2494" spans="1:13">
      <c r="A2494" s="6">
        <v>43852</v>
      </c>
      <c r="B2494" s="7">
        <v>0.51458333333333328</v>
      </c>
      <c r="C2494" s="18" t="str">
        <f>"FES1162732253"</f>
        <v>FES1162732253</v>
      </c>
      <c r="D2494" s="18" t="s">
        <v>19</v>
      </c>
      <c r="E2494" s="18" t="s">
        <v>952</v>
      </c>
      <c r="F2494" s="18" t="str">
        <f>"2170724828 "</f>
        <v xml:space="preserve">2170724828 </v>
      </c>
      <c r="G2494" s="18" t="str">
        <f t="shared" si="72"/>
        <v>ON1</v>
      </c>
      <c r="H2494" s="18" t="s">
        <v>21</v>
      </c>
      <c r="I2494" s="18" t="s">
        <v>379</v>
      </c>
      <c r="J2494" s="18" t="str">
        <f>""</f>
        <v/>
      </c>
      <c r="K2494" s="18" t="str">
        <f>"PFES1162732253_0001"</f>
        <v>PFES1162732253_0001</v>
      </c>
      <c r="L2494" s="18">
        <v>1</v>
      </c>
      <c r="M2494" s="18">
        <v>2</v>
      </c>
    </row>
    <row r="2495" spans="1:13">
      <c r="A2495" s="6">
        <v>43852</v>
      </c>
      <c r="B2495" s="7">
        <v>0.51250000000000007</v>
      </c>
      <c r="C2495" s="18" t="str">
        <f>"FES1162732406"</f>
        <v>FES1162732406</v>
      </c>
      <c r="D2495" s="18" t="s">
        <v>19</v>
      </c>
      <c r="E2495" s="18" t="s">
        <v>222</v>
      </c>
      <c r="F2495" s="18" t="str">
        <f>"2170724954 "</f>
        <v xml:space="preserve">2170724954 </v>
      </c>
      <c r="G2495" s="18" t="str">
        <f t="shared" si="72"/>
        <v>ON1</v>
      </c>
      <c r="H2495" s="18" t="s">
        <v>21</v>
      </c>
      <c r="I2495" s="18" t="s">
        <v>28</v>
      </c>
      <c r="J2495" s="18" t="str">
        <f>""</f>
        <v/>
      </c>
      <c r="K2495" s="18" t="str">
        <f>"PFES1162732406_0001"</f>
        <v>PFES1162732406_0001</v>
      </c>
      <c r="L2495" s="18">
        <v>1</v>
      </c>
      <c r="M2495" s="18">
        <v>1</v>
      </c>
    </row>
    <row r="2496" spans="1:13">
      <c r="A2496" s="6">
        <v>43852</v>
      </c>
      <c r="B2496" s="7">
        <v>0.51250000000000007</v>
      </c>
      <c r="C2496" s="18" t="str">
        <f>"FES1162732241"</f>
        <v>FES1162732241</v>
      </c>
      <c r="D2496" s="18" t="s">
        <v>19</v>
      </c>
      <c r="E2496" s="18" t="s">
        <v>953</v>
      </c>
      <c r="F2496" s="18" t="str">
        <f>"2170724818 "</f>
        <v xml:space="preserve">2170724818 </v>
      </c>
      <c r="G2496" s="18" t="str">
        <f t="shared" si="72"/>
        <v>ON1</v>
      </c>
      <c r="H2496" s="18" t="s">
        <v>21</v>
      </c>
      <c r="I2496" s="18" t="s">
        <v>954</v>
      </c>
      <c r="J2496" s="18" t="str">
        <f>""</f>
        <v/>
      </c>
      <c r="K2496" s="18" t="str">
        <f>"PFES1162732241_0001"</f>
        <v>PFES1162732241_0001</v>
      </c>
      <c r="L2496" s="18">
        <v>1</v>
      </c>
      <c r="M2496" s="18">
        <v>5</v>
      </c>
    </row>
    <row r="2497" spans="1:13">
      <c r="A2497" s="6">
        <v>43852</v>
      </c>
      <c r="B2497" s="7">
        <v>0.44444444444444442</v>
      </c>
      <c r="C2497" s="18" t="str">
        <f>"FES1162732375"</f>
        <v>FES1162732375</v>
      </c>
      <c r="D2497" s="18" t="s">
        <v>19</v>
      </c>
      <c r="E2497" s="18" t="s">
        <v>955</v>
      </c>
      <c r="F2497" s="18" t="str">
        <f>"2170724906 "</f>
        <v xml:space="preserve">2170724906 </v>
      </c>
      <c r="G2497" s="18" t="str">
        <f>"SDX"</f>
        <v>SDX</v>
      </c>
      <c r="H2497" s="18" t="s">
        <v>21</v>
      </c>
      <c r="I2497" s="18" t="s">
        <v>699</v>
      </c>
      <c r="J2497" s="18" t="str">
        <f>"SDX"</f>
        <v>SDX</v>
      </c>
      <c r="K2497" s="18" t="str">
        <f>"PFES1162732375_0001"</f>
        <v>PFES1162732375_0001</v>
      </c>
      <c r="L2497" s="18">
        <v>1</v>
      </c>
      <c r="M2497" s="18">
        <v>2</v>
      </c>
    </row>
    <row r="2498" spans="1:13">
      <c r="A2498" s="6">
        <v>43854</v>
      </c>
      <c r="B2498" s="7">
        <v>0.60069444444444442</v>
      </c>
      <c r="C2498" s="19" t="str">
        <f>"FES1162733005"</f>
        <v>FES1162733005</v>
      </c>
      <c r="D2498" s="19" t="s">
        <v>19</v>
      </c>
      <c r="E2498" s="19" t="s">
        <v>262</v>
      </c>
      <c r="F2498" s="19" t="str">
        <f>"2170725486 "</f>
        <v xml:space="preserve">2170725486 </v>
      </c>
      <c r="G2498" s="19" t="str">
        <f t="shared" ref="G2498:G2535" si="73">"ON1"</f>
        <v>ON1</v>
      </c>
      <c r="H2498" s="19" t="s">
        <v>21</v>
      </c>
      <c r="I2498" s="19" t="s">
        <v>114</v>
      </c>
      <c r="J2498" s="19" t="str">
        <f>""</f>
        <v/>
      </c>
      <c r="K2498" s="19" t="str">
        <f>"PFES1162733005_0001"</f>
        <v>PFES1162733005_0001</v>
      </c>
      <c r="L2498" s="19">
        <v>1</v>
      </c>
      <c r="M2498" s="19">
        <v>1</v>
      </c>
    </row>
    <row r="2499" spans="1:13">
      <c r="A2499" s="6">
        <v>43854</v>
      </c>
      <c r="B2499" s="7">
        <v>0.60069444444444442</v>
      </c>
      <c r="C2499" s="19" t="str">
        <f>"FES1162732906"</f>
        <v>FES1162732906</v>
      </c>
      <c r="D2499" s="19" t="s">
        <v>19</v>
      </c>
      <c r="E2499" s="19" t="s">
        <v>33</v>
      </c>
      <c r="F2499" s="19" t="str">
        <f>"2170722262 "</f>
        <v xml:space="preserve">2170722262 </v>
      </c>
      <c r="G2499" s="19" t="str">
        <f t="shared" si="73"/>
        <v>ON1</v>
      </c>
      <c r="H2499" s="19" t="s">
        <v>21</v>
      </c>
      <c r="I2499" s="19" t="s">
        <v>34</v>
      </c>
      <c r="J2499" s="19" t="str">
        <f>""</f>
        <v/>
      </c>
      <c r="K2499" s="19" t="str">
        <f>"PFES1162732906_0001"</f>
        <v>PFES1162732906_0001</v>
      </c>
      <c r="L2499" s="19">
        <v>1</v>
      </c>
      <c r="M2499" s="19">
        <v>2</v>
      </c>
    </row>
    <row r="2500" spans="1:13">
      <c r="A2500" s="6">
        <v>43854</v>
      </c>
      <c r="B2500" s="7">
        <v>0.60069444444444442</v>
      </c>
      <c r="C2500" s="19" t="str">
        <f>"FES1162732905"</f>
        <v>FES1162732905</v>
      </c>
      <c r="D2500" s="19" t="s">
        <v>19</v>
      </c>
      <c r="E2500" s="19" t="s">
        <v>33</v>
      </c>
      <c r="F2500" s="19" t="str">
        <f>"2170722260 "</f>
        <v xml:space="preserve">2170722260 </v>
      </c>
      <c r="G2500" s="19" t="str">
        <f t="shared" si="73"/>
        <v>ON1</v>
      </c>
      <c r="H2500" s="19" t="s">
        <v>21</v>
      </c>
      <c r="I2500" s="19" t="s">
        <v>34</v>
      </c>
      <c r="J2500" s="19" t="str">
        <f>""</f>
        <v/>
      </c>
      <c r="K2500" s="19" t="str">
        <f>"PFES1162732905_0001"</f>
        <v>PFES1162732905_0001</v>
      </c>
      <c r="L2500" s="19">
        <v>1</v>
      </c>
      <c r="M2500" s="19">
        <v>2</v>
      </c>
    </row>
    <row r="2501" spans="1:13">
      <c r="A2501" s="6">
        <v>43854</v>
      </c>
      <c r="B2501" s="7">
        <v>0.6</v>
      </c>
      <c r="C2501" s="19" t="str">
        <f>"FES1162733015"</f>
        <v>FES1162733015</v>
      </c>
      <c r="D2501" s="19" t="s">
        <v>19</v>
      </c>
      <c r="E2501" s="19" t="s">
        <v>59</v>
      </c>
      <c r="F2501" s="19" t="str">
        <f>"2170725008 "</f>
        <v xml:space="preserve">2170725008 </v>
      </c>
      <c r="G2501" s="19" t="str">
        <f t="shared" si="73"/>
        <v>ON1</v>
      </c>
      <c r="H2501" s="19" t="s">
        <v>21</v>
      </c>
      <c r="I2501" s="19" t="s">
        <v>60</v>
      </c>
      <c r="J2501" s="19" t="str">
        <f>""</f>
        <v/>
      </c>
      <c r="K2501" s="19" t="str">
        <f>"PFES1162733015_0001"</f>
        <v>PFES1162733015_0001</v>
      </c>
      <c r="L2501" s="19">
        <v>1</v>
      </c>
      <c r="M2501" s="19">
        <v>2</v>
      </c>
    </row>
    <row r="2502" spans="1:13">
      <c r="A2502" s="6">
        <v>43854</v>
      </c>
      <c r="B2502" s="7">
        <v>0.6</v>
      </c>
      <c r="C2502" s="19" t="str">
        <f>"FES1162733014"</f>
        <v>FES1162733014</v>
      </c>
      <c r="D2502" s="19" t="s">
        <v>19</v>
      </c>
      <c r="E2502" s="19" t="s">
        <v>208</v>
      </c>
      <c r="F2502" s="19" t="str">
        <f>"2170724746 "</f>
        <v xml:space="preserve">2170724746 </v>
      </c>
      <c r="G2502" s="19" t="str">
        <f t="shared" si="73"/>
        <v>ON1</v>
      </c>
      <c r="H2502" s="19" t="s">
        <v>21</v>
      </c>
      <c r="I2502" s="19" t="s">
        <v>209</v>
      </c>
      <c r="J2502" s="19" t="str">
        <f>""</f>
        <v/>
      </c>
      <c r="K2502" s="19" t="str">
        <f>"PFES1162733014_0001"</f>
        <v>PFES1162733014_0001</v>
      </c>
      <c r="L2502" s="19">
        <v>1</v>
      </c>
      <c r="M2502" s="19">
        <v>2</v>
      </c>
    </row>
    <row r="2503" spans="1:13">
      <c r="A2503" s="6">
        <v>43854</v>
      </c>
      <c r="B2503" s="7">
        <v>0.59930555555555554</v>
      </c>
      <c r="C2503" s="19" t="str">
        <f>"FES1162733000"</f>
        <v>FES1162733000</v>
      </c>
      <c r="D2503" s="19" t="s">
        <v>19</v>
      </c>
      <c r="E2503" s="19" t="s">
        <v>178</v>
      </c>
      <c r="F2503" s="19" t="str">
        <f>"2170725483 "</f>
        <v xml:space="preserve">2170725483 </v>
      </c>
      <c r="G2503" s="19" t="str">
        <f t="shared" si="73"/>
        <v>ON1</v>
      </c>
      <c r="H2503" s="19" t="s">
        <v>21</v>
      </c>
      <c r="I2503" s="19" t="s">
        <v>179</v>
      </c>
      <c r="J2503" s="19" t="str">
        <f>""</f>
        <v/>
      </c>
      <c r="K2503" s="19" t="str">
        <f>"PFES1162733000_0001"</f>
        <v>PFES1162733000_0001</v>
      </c>
      <c r="L2503" s="19">
        <v>1</v>
      </c>
      <c r="M2503" s="19">
        <v>11</v>
      </c>
    </row>
    <row r="2504" spans="1:13">
      <c r="A2504" s="6">
        <v>43854</v>
      </c>
      <c r="B2504" s="7">
        <v>0.59930555555555554</v>
      </c>
      <c r="C2504" s="19" t="str">
        <f>"FES1162732950"</f>
        <v>FES1162732950</v>
      </c>
      <c r="D2504" s="19" t="s">
        <v>19</v>
      </c>
      <c r="E2504" s="19" t="s">
        <v>59</v>
      </c>
      <c r="F2504" s="19" t="str">
        <f>"2170725183 "</f>
        <v xml:space="preserve">2170725183 </v>
      </c>
      <c r="G2504" s="19" t="str">
        <f t="shared" si="73"/>
        <v>ON1</v>
      </c>
      <c r="H2504" s="19" t="s">
        <v>21</v>
      </c>
      <c r="I2504" s="19" t="s">
        <v>60</v>
      </c>
      <c r="J2504" s="19" t="str">
        <f>""</f>
        <v/>
      </c>
      <c r="K2504" s="19" t="str">
        <f>"PFES1162732950_0001"</f>
        <v>PFES1162732950_0001</v>
      </c>
      <c r="L2504" s="19">
        <v>1</v>
      </c>
      <c r="M2504" s="19">
        <v>8</v>
      </c>
    </row>
    <row r="2505" spans="1:13">
      <c r="A2505" s="6">
        <v>43854</v>
      </c>
      <c r="B2505" s="7">
        <v>0.59861111111111109</v>
      </c>
      <c r="C2505" s="19" t="str">
        <f>"FES1162733007"</f>
        <v>FES1162733007</v>
      </c>
      <c r="D2505" s="19" t="s">
        <v>19</v>
      </c>
      <c r="E2505" s="19" t="s">
        <v>492</v>
      </c>
      <c r="F2505" s="19" t="str">
        <f>"2170725491 "</f>
        <v xml:space="preserve">2170725491 </v>
      </c>
      <c r="G2505" s="19" t="str">
        <f t="shared" si="73"/>
        <v>ON1</v>
      </c>
      <c r="H2505" s="19" t="s">
        <v>21</v>
      </c>
      <c r="I2505" s="19" t="s">
        <v>253</v>
      </c>
      <c r="J2505" s="19" t="str">
        <f>""</f>
        <v/>
      </c>
      <c r="K2505" s="19" t="str">
        <f>"PFES1162733007_0001"</f>
        <v>PFES1162733007_0001</v>
      </c>
      <c r="L2505" s="19">
        <v>1</v>
      </c>
      <c r="M2505" s="19">
        <v>1</v>
      </c>
    </row>
    <row r="2506" spans="1:13">
      <c r="A2506" s="6">
        <v>43854</v>
      </c>
      <c r="B2506" s="7">
        <v>0.59861111111111109</v>
      </c>
      <c r="C2506" s="19" t="str">
        <f>"FES1162733011"</f>
        <v>FES1162733011</v>
      </c>
      <c r="D2506" s="19" t="s">
        <v>19</v>
      </c>
      <c r="E2506" s="19" t="s">
        <v>343</v>
      </c>
      <c r="F2506" s="19" t="str">
        <f>"2170725493 "</f>
        <v xml:space="preserve">2170725493 </v>
      </c>
      <c r="G2506" s="19" t="str">
        <f t="shared" si="73"/>
        <v>ON1</v>
      </c>
      <c r="H2506" s="19" t="s">
        <v>21</v>
      </c>
      <c r="I2506" s="19" t="s">
        <v>344</v>
      </c>
      <c r="J2506" s="19" t="str">
        <f>""</f>
        <v/>
      </c>
      <c r="K2506" s="19" t="str">
        <f>"PFES1162733011_0001"</f>
        <v>PFES1162733011_0001</v>
      </c>
      <c r="L2506" s="19">
        <v>1</v>
      </c>
      <c r="M2506" s="19">
        <v>1</v>
      </c>
    </row>
    <row r="2507" spans="1:13">
      <c r="A2507" s="6">
        <v>43854</v>
      </c>
      <c r="B2507" s="7">
        <v>0.59791666666666665</v>
      </c>
      <c r="C2507" s="19" t="str">
        <f>"FES1162733003"</f>
        <v>FES1162733003</v>
      </c>
      <c r="D2507" s="19" t="s">
        <v>19</v>
      </c>
      <c r="E2507" s="19" t="s">
        <v>259</v>
      </c>
      <c r="F2507" s="19" t="str">
        <f>"2170725484 "</f>
        <v xml:space="preserve">2170725484 </v>
      </c>
      <c r="G2507" s="19" t="str">
        <f t="shared" si="73"/>
        <v>ON1</v>
      </c>
      <c r="H2507" s="19" t="s">
        <v>21</v>
      </c>
      <c r="I2507" s="19" t="s">
        <v>260</v>
      </c>
      <c r="J2507" s="19" t="str">
        <f>""</f>
        <v/>
      </c>
      <c r="K2507" s="19" t="str">
        <f>"PFES1162733003_0001"</f>
        <v>PFES1162733003_0001</v>
      </c>
      <c r="L2507" s="19">
        <v>1</v>
      </c>
      <c r="M2507" s="19">
        <v>1</v>
      </c>
    </row>
    <row r="2508" spans="1:13">
      <c r="A2508" s="6">
        <v>43854</v>
      </c>
      <c r="B2508" s="7">
        <v>0.59791666666666665</v>
      </c>
      <c r="C2508" s="19" t="str">
        <f>"FES1162732998"</f>
        <v>FES1162732998</v>
      </c>
      <c r="D2508" s="19" t="s">
        <v>19</v>
      </c>
      <c r="E2508" s="19" t="s">
        <v>956</v>
      </c>
      <c r="F2508" s="19" t="str">
        <f>"2170725478 "</f>
        <v xml:space="preserve">2170725478 </v>
      </c>
      <c r="G2508" s="19" t="str">
        <f t="shared" si="73"/>
        <v>ON1</v>
      </c>
      <c r="H2508" s="19" t="s">
        <v>21</v>
      </c>
      <c r="I2508" s="19" t="s">
        <v>614</v>
      </c>
      <c r="J2508" s="19" t="str">
        <f>""</f>
        <v/>
      </c>
      <c r="K2508" s="19" t="str">
        <f>"PFES1162732998_0001"</f>
        <v>PFES1162732998_0001</v>
      </c>
      <c r="L2508" s="19">
        <v>1</v>
      </c>
      <c r="M2508" s="19">
        <v>1</v>
      </c>
    </row>
    <row r="2509" spans="1:13">
      <c r="A2509" s="6">
        <v>43854</v>
      </c>
      <c r="B2509" s="7">
        <v>0.59791666666666665</v>
      </c>
      <c r="C2509" s="19" t="str">
        <f>"FES1162732987"</f>
        <v>FES1162732987</v>
      </c>
      <c r="D2509" s="19" t="s">
        <v>19</v>
      </c>
      <c r="E2509" s="19" t="s">
        <v>957</v>
      </c>
      <c r="F2509" s="19" t="str">
        <f>"2170725462 "</f>
        <v xml:space="preserve">2170725462 </v>
      </c>
      <c r="G2509" s="19" t="str">
        <f t="shared" si="73"/>
        <v>ON1</v>
      </c>
      <c r="H2509" s="19" t="s">
        <v>21</v>
      </c>
      <c r="I2509" s="19" t="s">
        <v>517</v>
      </c>
      <c r="J2509" s="19" t="str">
        <f>""</f>
        <v/>
      </c>
      <c r="K2509" s="19" t="str">
        <f>"PFES1162732987_0001"</f>
        <v>PFES1162732987_0001</v>
      </c>
      <c r="L2509" s="19">
        <v>1</v>
      </c>
      <c r="M2509" s="19">
        <v>1</v>
      </c>
    </row>
    <row r="2510" spans="1:13">
      <c r="A2510" s="6">
        <v>43854</v>
      </c>
      <c r="B2510" s="7">
        <v>0.59791666666666665</v>
      </c>
      <c r="C2510" s="19" t="str">
        <f>"FES1162732999"</f>
        <v>FES1162732999</v>
      </c>
      <c r="D2510" s="19" t="s">
        <v>19</v>
      </c>
      <c r="E2510" s="19" t="s">
        <v>151</v>
      </c>
      <c r="F2510" s="19" t="str">
        <f>"2170725479 "</f>
        <v xml:space="preserve">2170725479 </v>
      </c>
      <c r="G2510" s="19" t="str">
        <f t="shared" si="73"/>
        <v>ON1</v>
      </c>
      <c r="H2510" s="19" t="s">
        <v>21</v>
      </c>
      <c r="I2510" s="19" t="s">
        <v>152</v>
      </c>
      <c r="J2510" s="19" t="str">
        <f>""</f>
        <v/>
      </c>
      <c r="K2510" s="19" t="str">
        <f>"PFES1162732999_0001"</f>
        <v>PFES1162732999_0001</v>
      </c>
      <c r="L2510" s="19">
        <v>1</v>
      </c>
      <c r="M2510" s="19">
        <v>1</v>
      </c>
    </row>
    <row r="2511" spans="1:13">
      <c r="A2511" s="6">
        <v>43854</v>
      </c>
      <c r="B2511" s="7">
        <v>0.59722222222222221</v>
      </c>
      <c r="C2511" s="19" t="str">
        <f>"FES1162732986"</f>
        <v>FES1162732986</v>
      </c>
      <c r="D2511" s="19" t="s">
        <v>19</v>
      </c>
      <c r="E2511" s="19" t="s">
        <v>222</v>
      </c>
      <c r="F2511" s="19" t="str">
        <f>"2170724230 "</f>
        <v xml:space="preserve">2170724230 </v>
      </c>
      <c r="G2511" s="19" t="str">
        <f t="shared" si="73"/>
        <v>ON1</v>
      </c>
      <c r="H2511" s="19" t="s">
        <v>21</v>
      </c>
      <c r="I2511" s="19" t="s">
        <v>28</v>
      </c>
      <c r="J2511" s="19" t="str">
        <f>""</f>
        <v/>
      </c>
      <c r="K2511" s="19" t="str">
        <f>"PFES1162732986_0001"</f>
        <v>PFES1162732986_0001</v>
      </c>
      <c r="L2511" s="19">
        <v>1</v>
      </c>
      <c r="M2511" s="19">
        <v>1</v>
      </c>
    </row>
    <row r="2512" spans="1:13">
      <c r="A2512" s="6">
        <v>43854</v>
      </c>
      <c r="B2512" s="7">
        <v>0.59722222222222221</v>
      </c>
      <c r="C2512" s="19" t="str">
        <f>"FES1162733013"</f>
        <v>FES1162733013</v>
      </c>
      <c r="D2512" s="19" t="s">
        <v>19</v>
      </c>
      <c r="E2512" s="19" t="s">
        <v>316</v>
      </c>
      <c r="F2512" s="19" t="str">
        <f>"2170724438 "</f>
        <v xml:space="preserve">2170724438 </v>
      </c>
      <c r="G2512" s="19" t="str">
        <f t="shared" si="73"/>
        <v>ON1</v>
      </c>
      <c r="H2512" s="19" t="s">
        <v>21</v>
      </c>
      <c r="I2512" s="19" t="s">
        <v>119</v>
      </c>
      <c r="J2512" s="19" t="str">
        <f>""</f>
        <v/>
      </c>
      <c r="K2512" s="19" t="str">
        <f>"PFES1162733013_0001"</f>
        <v>PFES1162733013_0001</v>
      </c>
      <c r="L2512" s="19">
        <v>1</v>
      </c>
      <c r="M2512" s="19">
        <v>1</v>
      </c>
    </row>
    <row r="2513" spans="1:13">
      <c r="A2513" s="6">
        <v>43854</v>
      </c>
      <c r="B2513" s="7">
        <v>0.59722222222222221</v>
      </c>
      <c r="C2513" s="19" t="str">
        <f>"FES1162732997"</f>
        <v>FES1162732997</v>
      </c>
      <c r="D2513" s="19" t="s">
        <v>19</v>
      </c>
      <c r="E2513" s="19" t="s">
        <v>656</v>
      </c>
      <c r="F2513" s="19" t="str">
        <f>"2170725477 "</f>
        <v xml:space="preserve">2170725477 </v>
      </c>
      <c r="G2513" s="19" t="str">
        <f t="shared" si="73"/>
        <v>ON1</v>
      </c>
      <c r="H2513" s="19" t="s">
        <v>21</v>
      </c>
      <c r="I2513" s="19" t="s">
        <v>657</v>
      </c>
      <c r="J2513" s="19" t="str">
        <f>""</f>
        <v/>
      </c>
      <c r="K2513" s="19" t="str">
        <f>"PFES1162732997_0001"</f>
        <v>PFES1162732997_0001</v>
      </c>
      <c r="L2513" s="19">
        <v>1</v>
      </c>
      <c r="M2513" s="19">
        <v>1</v>
      </c>
    </row>
    <row r="2514" spans="1:13">
      <c r="A2514" s="6">
        <v>43854</v>
      </c>
      <c r="B2514" s="7">
        <v>0.59652777777777777</v>
      </c>
      <c r="C2514" s="19" t="str">
        <f>"FES1162731442"</f>
        <v>FES1162731442</v>
      </c>
      <c r="D2514" s="19" t="s">
        <v>19</v>
      </c>
      <c r="E2514" s="19" t="s">
        <v>101</v>
      </c>
      <c r="F2514" s="19" t="str">
        <f>"2170722460 "</f>
        <v xml:space="preserve">2170722460 </v>
      </c>
      <c r="G2514" s="19" t="str">
        <f t="shared" si="73"/>
        <v>ON1</v>
      </c>
      <c r="H2514" s="19" t="s">
        <v>21</v>
      </c>
      <c r="I2514" s="19" t="s">
        <v>102</v>
      </c>
      <c r="J2514" s="19" t="str">
        <f>""</f>
        <v/>
      </c>
      <c r="K2514" s="19" t="str">
        <f>"PFES1162731442_0001"</f>
        <v>PFES1162731442_0001</v>
      </c>
      <c r="L2514" s="19">
        <v>1</v>
      </c>
      <c r="M2514" s="19">
        <v>1</v>
      </c>
    </row>
    <row r="2515" spans="1:13">
      <c r="A2515" s="6">
        <v>43854</v>
      </c>
      <c r="B2515" s="7">
        <v>0.59652777777777777</v>
      </c>
      <c r="C2515" s="19" t="str">
        <f>"FES1162732982"</f>
        <v>FES1162732982</v>
      </c>
      <c r="D2515" s="19" t="s">
        <v>19</v>
      </c>
      <c r="E2515" s="19" t="s">
        <v>737</v>
      </c>
      <c r="F2515" s="19" t="str">
        <f>"2170725464 "</f>
        <v xml:space="preserve">2170725464 </v>
      </c>
      <c r="G2515" s="19" t="str">
        <f t="shared" si="73"/>
        <v>ON1</v>
      </c>
      <c r="H2515" s="19" t="s">
        <v>21</v>
      </c>
      <c r="I2515" s="19" t="s">
        <v>139</v>
      </c>
      <c r="J2515" s="19" t="str">
        <f>""</f>
        <v/>
      </c>
      <c r="K2515" s="19" t="str">
        <f>"PFES1162732982_0001"</f>
        <v>PFES1162732982_0001</v>
      </c>
      <c r="L2515" s="19">
        <v>1</v>
      </c>
      <c r="M2515" s="19">
        <v>1</v>
      </c>
    </row>
    <row r="2516" spans="1:13">
      <c r="A2516" s="6">
        <v>43854</v>
      </c>
      <c r="B2516" s="7">
        <v>0.59652777777777777</v>
      </c>
      <c r="C2516" s="19" t="str">
        <f>"FES1162732995"</f>
        <v>FES1162732995</v>
      </c>
      <c r="D2516" s="19" t="s">
        <v>19</v>
      </c>
      <c r="E2516" s="19" t="s">
        <v>142</v>
      </c>
      <c r="F2516" s="19" t="str">
        <f>"2170725475 "</f>
        <v xml:space="preserve">2170725475 </v>
      </c>
      <c r="G2516" s="19" t="str">
        <f t="shared" si="73"/>
        <v>ON1</v>
      </c>
      <c r="H2516" s="19" t="s">
        <v>21</v>
      </c>
      <c r="I2516" s="19" t="s">
        <v>123</v>
      </c>
      <c r="J2516" s="19" t="str">
        <f>""</f>
        <v/>
      </c>
      <c r="K2516" s="19" t="str">
        <f>"PFES1162732995_0001"</f>
        <v>PFES1162732995_0001</v>
      </c>
      <c r="L2516" s="19">
        <v>1</v>
      </c>
      <c r="M2516" s="19">
        <v>1</v>
      </c>
    </row>
    <row r="2517" spans="1:13">
      <c r="A2517" s="6">
        <v>43854</v>
      </c>
      <c r="B2517" s="7">
        <v>0.58888888888888891</v>
      </c>
      <c r="C2517" s="19" t="str">
        <f>"FES1162732936"</f>
        <v>FES1162732936</v>
      </c>
      <c r="D2517" s="19" t="s">
        <v>19</v>
      </c>
      <c r="E2517" s="19" t="s">
        <v>120</v>
      </c>
      <c r="F2517" s="19" t="str">
        <f>"2170725409 "</f>
        <v xml:space="preserve">2170725409 </v>
      </c>
      <c r="G2517" s="19" t="str">
        <f t="shared" si="73"/>
        <v>ON1</v>
      </c>
      <c r="H2517" s="19" t="s">
        <v>21</v>
      </c>
      <c r="I2517" s="19" t="s">
        <v>121</v>
      </c>
      <c r="J2517" s="19" t="str">
        <f>""</f>
        <v/>
      </c>
      <c r="K2517" s="19" t="str">
        <f>"PFES1162732936_0001"</f>
        <v>PFES1162732936_0001</v>
      </c>
      <c r="L2517" s="19">
        <v>1</v>
      </c>
      <c r="M2517" s="19">
        <v>1</v>
      </c>
    </row>
    <row r="2518" spans="1:13">
      <c r="A2518" s="6">
        <v>43854</v>
      </c>
      <c r="B2518" s="7">
        <v>0.58819444444444446</v>
      </c>
      <c r="C2518" s="19" t="str">
        <f>"FES1162732941"</f>
        <v>FES1162732941</v>
      </c>
      <c r="D2518" s="19" t="s">
        <v>19</v>
      </c>
      <c r="E2518" s="19" t="s">
        <v>37</v>
      </c>
      <c r="F2518" s="19" t="str">
        <f>"2170725416 "</f>
        <v xml:space="preserve">2170725416 </v>
      </c>
      <c r="G2518" s="19" t="str">
        <f t="shared" si="73"/>
        <v>ON1</v>
      </c>
      <c r="H2518" s="19" t="s">
        <v>21</v>
      </c>
      <c r="I2518" s="19" t="s">
        <v>38</v>
      </c>
      <c r="J2518" s="19" t="str">
        <f>""</f>
        <v/>
      </c>
      <c r="K2518" s="19" t="str">
        <f>"PFES1162732941_0001"</f>
        <v>PFES1162732941_0001</v>
      </c>
      <c r="L2518" s="19">
        <v>1</v>
      </c>
      <c r="M2518" s="19">
        <v>1</v>
      </c>
    </row>
    <row r="2519" spans="1:13">
      <c r="A2519" s="6">
        <v>43854</v>
      </c>
      <c r="B2519" s="7">
        <v>0.58750000000000002</v>
      </c>
      <c r="C2519" s="19" t="str">
        <f>"FES1162732931"</f>
        <v>FES1162732931</v>
      </c>
      <c r="D2519" s="19" t="s">
        <v>19</v>
      </c>
      <c r="E2519" s="19" t="s">
        <v>491</v>
      </c>
      <c r="F2519" s="19" t="str">
        <f>"2170725402 "</f>
        <v xml:space="preserve">2170725402 </v>
      </c>
      <c r="G2519" s="19" t="str">
        <f t="shared" si="73"/>
        <v>ON1</v>
      </c>
      <c r="H2519" s="19" t="s">
        <v>21</v>
      </c>
      <c r="I2519" s="19" t="s">
        <v>47</v>
      </c>
      <c r="J2519" s="19" t="str">
        <f>""</f>
        <v/>
      </c>
      <c r="K2519" s="19" t="str">
        <f>"PFES1162732931_0001"</f>
        <v>PFES1162732931_0001</v>
      </c>
      <c r="L2519" s="19">
        <v>1</v>
      </c>
      <c r="M2519" s="19">
        <v>1</v>
      </c>
    </row>
    <row r="2520" spans="1:13">
      <c r="A2520" s="6">
        <v>43854</v>
      </c>
      <c r="B2520" s="7">
        <v>0.58680555555555558</v>
      </c>
      <c r="C2520" s="19" t="str">
        <f>"FES1162732948"</f>
        <v>FES1162732948</v>
      </c>
      <c r="D2520" s="19" t="s">
        <v>19</v>
      </c>
      <c r="E2520" s="19" t="s">
        <v>958</v>
      </c>
      <c r="F2520" s="19" t="str">
        <f>"2170725424 "</f>
        <v xml:space="preserve">2170725424 </v>
      </c>
      <c r="G2520" s="19" t="str">
        <f t="shared" si="73"/>
        <v>ON1</v>
      </c>
      <c r="H2520" s="19" t="s">
        <v>21</v>
      </c>
      <c r="I2520" s="19" t="s">
        <v>71</v>
      </c>
      <c r="J2520" s="19" t="str">
        <f>""</f>
        <v/>
      </c>
      <c r="K2520" s="19" t="str">
        <f>"PFES1162732948_0001"</f>
        <v>PFES1162732948_0001</v>
      </c>
      <c r="L2520" s="19">
        <v>1</v>
      </c>
      <c r="M2520" s="19">
        <v>1</v>
      </c>
    </row>
    <row r="2521" spans="1:13">
      <c r="A2521" s="6">
        <v>43854</v>
      </c>
      <c r="B2521" s="7">
        <v>0.58611111111111114</v>
      </c>
      <c r="C2521" s="19" t="str">
        <f>"FES1162732965"</f>
        <v>FES1162732965</v>
      </c>
      <c r="D2521" s="19" t="s">
        <v>19</v>
      </c>
      <c r="E2521" s="19" t="s">
        <v>959</v>
      </c>
      <c r="F2521" s="19" t="str">
        <f>"2170725442 "</f>
        <v xml:space="preserve">2170725442 </v>
      </c>
      <c r="G2521" s="19" t="str">
        <f t="shared" si="73"/>
        <v>ON1</v>
      </c>
      <c r="H2521" s="19" t="s">
        <v>21</v>
      </c>
      <c r="I2521" s="19" t="s">
        <v>288</v>
      </c>
      <c r="J2521" s="19" t="str">
        <f>""</f>
        <v/>
      </c>
      <c r="K2521" s="19" t="str">
        <f>"PFES1162732965_0001"</f>
        <v>PFES1162732965_0001</v>
      </c>
      <c r="L2521" s="19">
        <v>1</v>
      </c>
      <c r="M2521" s="19">
        <v>1</v>
      </c>
    </row>
    <row r="2522" spans="1:13">
      <c r="A2522" s="6">
        <v>43854</v>
      </c>
      <c r="B2522" s="7">
        <v>0.58472222222222225</v>
      </c>
      <c r="C2522" s="19" t="str">
        <f>"FES1162732976"</f>
        <v>FES1162732976</v>
      </c>
      <c r="D2522" s="19" t="s">
        <v>19</v>
      </c>
      <c r="E2522" s="19" t="s">
        <v>101</v>
      </c>
      <c r="F2522" s="19" t="str">
        <f>"2170725455 "</f>
        <v xml:space="preserve">2170725455 </v>
      </c>
      <c r="G2522" s="19" t="str">
        <f t="shared" si="73"/>
        <v>ON1</v>
      </c>
      <c r="H2522" s="19" t="s">
        <v>21</v>
      </c>
      <c r="I2522" s="19" t="s">
        <v>102</v>
      </c>
      <c r="J2522" s="19" t="str">
        <f>""</f>
        <v/>
      </c>
      <c r="K2522" s="19" t="str">
        <f>"PFES1162732976_0001"</f>
        <v>PFES1162732976_0001</v>
      </c>
      <c r="L2522" s="19">
        <v>1</v>
      </c>
      <c r="M2522" s="19">
        <v>1</v>
      </c>
    </row>
    <row r="2523" spans="1:13">
      <c r="A2523" s="6">
        <v>43854</v>
      </c>
      <c r="B2523" s="7">
        <v>0.58333333333333337</v>
      </c>
      <c r="C2523" s="19" t="str">
        <f>"FES1162732981"</f>
        <v>FES1162732981</v>
      </c>
      <c r="D2523" s="19" t="s">
        <v>19</v>
      </c>
      <c r="E2523" s="19" t="s">
        <v>87</v>
      </c>
      <c r="F2523" s="19" t="str">
        <f>"2170725461 "</f>
        <v xml:space="preserve">2170725461 </v>
      </c>
      <c r="G2523" s="19" t="str">
        <f t="shared" si="73"/>
        <v>ON1</v>
      </c>
      <c r="H2523" s="19" t="s">
        <v>21</v>
      </c>
      <c r="I2523" s="19" t="s">
        <v>88</v>
      </c>
      <c r="J2523" s="19" t="str">
        <f>""</f>
        <v/>
      </c>
      <c r="K2523" s="19" t="str">
        <f>"PFES1162732981_0001"</f>
        <v>PFES1162732981_0001</v>
      </c>
      <c r="L2523" s="19">
        <v>1</v>
      </c>
      <c r="M2523" s="19">
        <v>1</v>
      </c>
    </row>
    <row r="2524" spans="1:13">
      <c r="A2524" s="6">
        <v>43854</v>
      </c>
      <c r="B2524" s="7">
        <v>0.58263888888888882</v>
      </c>
      <c r="C2524" s="19" t="str">
        <f>"FES1162732974"</f>
        <v>FES1162732974</v>
      </c>
      <c r="D2524" s="19" t="s">
        <v>19</v>
      </c>
      <c r="E2524" s="19" t="s">
        <v>101</v>
      </c>
      <c r="F2524" s="19" t="str">
        <f>"2170725453 "</f>
        <v xml:space="preserve">2170725453 </v>
      </c>
      <c r="G2524" s="19" t="str">
        <f t="shared" si="73"/>
        <v>ON1</v>
      </c>
      <c r="H2524" s="19" t="s">
        <v>21</v>
      </c>
      <c r="I2524" s="19" t="s">
        <v>102</v>
      </c>
      <c r="J2524" s="19" t="str">
        <f>""</f>
        <v/>
      </c>
      <c r="K2524" s="19" t="str">
        <f>"PFES1162732974_0001"</f>
        <v>PFES1162732974_0001</v>
      </c>
      <c r="L2524" s="19">
        <v>1</v>
      </c>
      <c r="M2524" s="19">
        <v>1</v>
      </c>
    </row>
    <row r="2525" spans="1:13">
      <c r="A2525" s="6">
        <v>43854</v>
      </c>
      <c r="B2525" s="7">
        <v>0.58194444444444449</v>
      </c>
      <c r="C2525" s="19" t="str">
        <f>"FES1162732939"</f>
        <v>FES1162732939</v>
      </c>
      <c r="D2525" s="19" t="s">
        <v>19</v>
      </c>
      <c r="E2525" s="19" t="s">
        <v>923</v>
      </c>
      <c r="F2525" s="19" t="str">
        <f>"2170725412 "</f>
        <v xml:space="preserve">2170725412 </v>
      </c>
      <c r="G2525" s="19" t="str">
        <f t="shared" si="73"/>
        <v>ON1</v>
      </c>
      <c r="H2525" s="19" t="s">
        <v>21</v>
      </c>
      <c r="I2525" s="19" t="s">
        <v>416</v>
      </c>
      <c r="J2525" s="19" t="str">
        <f>""</f>
        <v/>
      </c>
      <c r="K2525" s="19" t="str">
        <f>"PFES1162732939_0001"</f>
        <v>PFES1162732939_0001</v>
      </c>
      <c r="L2525" s="19">
        <v>1</v>
      </c>
      <c r="M2525" s="19">
        <v>1</v>
      </c>
    </row>
    <row r="2526" spans="1:13">
      <c r="A2526" s="6">
        <v>43854</v>
      </c>
      <c r="B2526" s="7">
        <v>0.58124999999999993</v>
      </c>
      <c r="C2526" s="19" t="str">
        <f>"FES1162732969"</f>
        <v>FES1162732969</v>
      </c>
      <c r="D2526" s="19" t="s">
        <v>19</v>
      </c>
      <c r="E2526" s="19" t="s">
        <v>199</v>
      </c>
      <c r="F2526" s="19" t="str">
        <f>"2170725447 "</f>
        <v xml:space="preserve">2170725447 </v>
      </c>
      <c r="G2526" s="19" t="str">
        <f t="shared" si="73"/>
        <v>ON1</v>
      </c>
      <c r="H2526" s="19" t="s">
        <v>21</v>
      </c>
      <c r="I2526" s="19" t="s">
        <v>200</v>
      </c>
      <c r="J2526" s="19" t="str">
        <f>""</f>
        <v/>
      </c>
      <c r="K2526" s="19" t="str">
        <f>"PFES1162732969_0001"</f>
        <v>PFES1162732969_0001</v>
      </c>
      <c r="L2526" s="19">
        <v>1</v>
      </c>
      <c r="M2526" s="19">
        <v>1</v>
      </c>
    </row>
    <row r="2527" spans="1:13">
      <c r="A2527" s="6">
        <v>43854</v>
      </c>
      <c r="B2527" s="7">
        <v>0.56666666666666665</v>
      </c>
      <c r="C2527" s="19" t="str">
        <f>"FES1162732927"</f>
        <v>FES1162732927</v>
      </c>
      <c r="D2527" s="19" t="s">
        <v>19</v>
      </c>
      <c r="E2527" s="19" t="s">
        <v>74</v>
      </c>
      <c r="F2527" s="19" t="str">
        <f>"2170725399 "</f>
        <v xml:space="preserve">2170725399 </v>
      </c>
      <c r="G2527" s="19" t="str">
        <f t="shared" si="73"/>
        <v>ON1</v>
      </c>
      <c r="H2527" s="19" t="s">
        <v>21</v>
      </c>
      <c r="I2527" s="19" t="s">
        <v>49</v>
      </c>
      <c r="J2527" s="19" t="str">
        <f>""</f>
        <v/>
      </c>
      <c r="K2527" s="19" t="str">
        <f>"PFES1162732927_0001"</f>
        <v>PFES1162732927_0001</v>
      </c>
      <c r="L2527" s="19">
        <v>1</v>
      </c>
      <c r="M2527" s="19">
        <v>15</v>
      </c>
    </row>
    <row r="2528" spans="1:13">
      <c r="A2528" s="6">
        <v>43854</v>
      </c>
      <c r="B2528" s="7">
        <v>0.56597222222222221</v>
      </c>
      <c r="C2528" s="19" t="str">
        <f>"FES1162732949"</f>
        <v>FES1162732949</v>
      </c>
      <c r="D2528" s="19" t="s">
        <v>19</v>
      </c>
      <c r="E2528" s="19" t="s">
        <v>59</v>
      </c>
      <c r="F2528" s="19" t="str">
        <f>"2170725008 "</f>
        <v xml:space="preserve">2170725008 </v>
      </c>
      <c r="G2528" s="19" t="str">
        <f t="shared" si="73"/>
        <v>ON1</v>
      </c>
      <c r="H2528" s="19" t="s">
        <v>21</v>
      </c>
      <c r="I2528" s="19" t="s">
        <v>60</v>
      </c>
      <c r="J2528" s="19" t="str">
        <f>""</f>
        <v/>
      </c>
      <c r="K2528" s="19" t="str">
        <f>"PFES1162732949_0001"</f>
        <v>PFES1162732949_0001</v>
      </c>
      <c r="L2528" s="19">
        <v>1</v>
      </c>
      <c r="M2528" s="19">
        <v>2</v>
      </c>
    </row>
    <row r="2529" spans="1:13">
      <c r="A2529" s="6">
        <v>43854</v>
      </c>
      <c r="B2529" s="7">
        <v>0.56458333333333333</v>
      </c>
      <c r="C2529" s="19" t="str">
        <f>"FES1162732975"</f>
        <v>FES1162732975</v>
      </c>
      <c r="D2529" s="19" t="s">
        <v>19</v>
      </c>
      <c r="E2529" s="19" t="s">
        <v>101</v>
      </c>
      <c r="F2529" s="19" t="str">
        <f>"2170725454 "</f>
        <v xml:space="preserve">2170725454 </v>
      </c>
      <c r="G2529" s="19" t="str">
        <f t="shared" si="73"/>
        <v>ON1</v>
      </c>
      <c r="H2529" s="19" t="s">
        <v>21</v>
      </c>
      <c r="I2529" s="19" t="s">
        <v>102</v>
      </c>
      <c r="J2529" s="19" t="str">
        <f>""</f>
        <v/>
      </c>
      <c r="K2529" s="19" t="str">
        <f>"PFES1162732975_0001"</f>
        <v>PFES1162732975_0001</v>
      </c>
      <c r="L2529" s="19">
        <v>1</v>
      </c>
      <c r="M2529" s="19">
        <v>3</v>
      </c>
    </row>
    <row r="2530" spans="1:13">
      <c r="A2530" s="6">
        <v>43854</v>
      </c>
      <c r="B2530" s="7">
        <v>0.56319444444444444</v>
      </c>
      <c r="C2530" s="19" t="str">
        <f>"FES1162732957"</f>
        <v>FES1162732957</v>
      </c>
      <c r="D2530" s="19" t="s">
        <v>19</v>
      </c>
      <c r="E2530" s="19" t="s">
        <v>120</v>
      </c>
      <c r="F2530" s="19" t="str">
        <f>"2170724005 "</f>
        <v xml:space="preserve">2170724005 </v>
      </c>
      <c r="G2530" s="19" t="str">
        <f t="shared" si="73"/>
        <v>ON1</v>
      </c>
      <c r="H2530" s="19" t="s">
        <v>21</v>
      </c>
      <c r="I2530" s="19" t="s">
        <v>121</v>
      </c>
      <c r="J2530" s="19" t="str">
        <f>""</f>
        <v/>
      </c>
      <c r="K2530" s="19" t="str">
        <f>"PFES1162732957_0001"</f>
        <v>PFES1162732957_0001</v>
      </c>
      <c r="L2530" s="19">
        <v>1</v>
      </c>
      <c r="M2530" s="19">
        <v>1</v>
      </c>
    </row>
    <row r="2531" spans="1:13">
      <c r="A2531" s="6">
        <v>43854</v>
      </c>
      <c r="B2531" s="7">
        <v>0.56180555555555556</v>
      </c>
      <c r="C2531" s="19" t="str">
        <f>"FES1162732959"</f>
        <v>FES1162732959</v>
      </c>
      <c r="D2531" s="19" t="s">
        <v>19</v>
      </c>
      <c r="E2531" s="19" t="s">
        <v>960</v>
      </c>
      <c r="F2531" s="19" t="str">
        <f>"2170725433 "</f>
        <v xml:space="preserve">2170725433 </v>
      </c>
      <c r="G2531" s="19" t="str">
        <f t="shared" si="73"/>
        <v>ON1</v>
      </c>
      <c r="H2531" s="19" t="s">
        <v>21</v>
      </c>
      <c r="I2531" s="19" t="s">
        <v>88</v>
      </c>
      <c r="J2531" s="19" t="str">
        <f>""</f>
        <v/>
      </c>
      <c r="K2531" s="19" t="str">
        <f>"PFES1162732959_0001"</f>
        <v>PFES1162732959_0001</v>
      </c>
      <c r="L2531" s="19">
        <v>1</v>
      </c>
      <c r="M2531" s="19">
        <v>4</v>
      </c>
    </row>
    <row r="2532" spans="1:13">
      <c r="A2532" s="6">
        <v>43854</v>
      </c>
      <c r="B2532" s="7">
        <v>0.55972222222222223</v>
      </c>
      <c r="C2532" s="19" t="str">
        <f>"FES1162732994"</f>
        <v>FES1162732994</v>
      </c>
      <c r="D2532" s="19" t="s">
        <v>19</v>
      </c>
      <c r="E2532" s="19" t="s">
        <v>101</v>
      </c>
      <c r="F2532" s="19" t="str">
        <f>"2170725472 "</f>
        <v xml:space="preserve">2170725472 </v>
      </c>
      <c r="G2532" s="19" t="str">
        <f t="shared" si="73"/>
        <v>ON1</v>
      </c>
      <c r="H2532" s="19" t="s">
        <v>21</v>
      </c>
      <c r="I2532" s="19" t="s">
        <v>102</v>
      </c>
      <c r="J2532" s="19" t="str">
        <f>""</f>
        <v/>
      </c>
      <c r="K2532" s="19" t="str">
        <f>"PFES1162732994_0001"</f>
        <v>PFES1162732994_0001</v>
      </c>
      <c r="L2532" s="19">
        <v>1</v>
      </c>
      <c r="M2532" s="19">
        <v>1</v>
      </c>
    </row>
    <row r="2533" spans="1:13">
      <c r="A2533" s="6">
        <v>43854</v>
      </c>
      <c r="B2533" s="7">
        <v>0.55902777777777779</v>
      </c>
      <c r="C2533" s="19" t="str">
        <f>"FES2170725472"</f>
        <v>FES2170725472</v>
      </c>
      <c r="D2533" s="19" t="s">
        <v>19</v>
      </c>
      <c r="E2533" s="19" t="s">
        <v>101</v>
      </c>
      <c r="F2533" s="19" t="str">
        <f>"1162732994 "</f>
        <v xml:space="preserve">1162732994 </v>
      </c>
      <c r="G2533" s="19" t="str">
        <f t="shared" si="73"/>
        <v>ON1</v>
      </c>
      <c r="H2533" s="19" t="s">
        <v>21</v>
      </c>
      <c r="I2533" s="19" t="s">
        <v>102</v>
      </c>
      <c r="J2533" s="19" t="str">
        <f>""</f>
        <v/>
      </c>
      <c r="K2533" s="19" t="str">
        <f>"PFES2170725472_0001"</f>
        <v>PFES2170725472_0001</v>
      </c>
      <c r="L2533" s="19">
        <v>1</v>
      </c>
      <c r="M2533" s="19">
        <v>1</v>
      </c>
    </row>
    <row r="2534" spans="1:13">
      <c r="A2534" s="6">
        <v>43854</v>
      </c>
      <c r="B2534" s="7">
        <v>0.5395833333333333</v>
      </c>
      <c r="C2534" s="19" t="str">
        <f>"FES1162732964"</f>
        <v>FES1162732964</v>
      </c>
      <c r="D2534" s="19" t="s">
        <v>19</v>
      </c>
      <c r="E2534" s="19" t="s">
        <v>739</v>
      </c>
      <c r="F2534" s="19" t="str">
        <f>"2170725441 "</f>
        <v xml:space="preserve">2170725441 </v>
      </c>
      <c r="G2534" s="19" t="str">
        <f t="shared" si="73"/>
        <v>ON1</v>
      </c>
      <c r="H2534" s="19" t="s">
        <v>21</v>
      </c>
      <c r="I2534" s="19" t="s">
        <v>740</v>
      </c>
      <c r="J2534" s="19" t="str">
        <f>""</f>
        <v/>
      </c>
      <c r="K2534" s="19" t="str">
        <f>"PFES1162732964_0001"</f>
        <v>PFES1162732964_0001</v>
      </c>
      <c r="L2534" s="19">
        <v>1</v>
      </c>
      <c r="M2534" s="19">
        <v>5</v>
      </c>
    </row>
    <row r="2535" spans="1:13">
      <c r="A2535" s="6">
        <v>43854</v>
      </c>
      <c r="B2535" s="7">
        <v>0.53888888888888886</v>
      </c>
      <c r="C2535" s="19" t="str">
        <f>"FES1162732960"</f>
        <v>FES1162732960</v>
      </c>
      <c r="D2535" s="19" t="s">
        <v>19</v>
      </c>
      <c r="E2535" s="19" t="s">
        <v>465</v>
      </c>
      <c r="F2535" s="19" t="str">
        <f>"2170725435 "</f>
        <v xml:space="preserve">2170725435 </v>
      </c>
      <c r="G2535" s="19" t="str">
        <f t="shared" si="73"/>
        <v>ON1</v>
      </c>
      <c r="H2535" s="19" t="s">
        <v>21</v>
      </c>
      <c r="I2535" s="19" t="s">
        <v>466</v>
      </c>
      <c r="J2535" s="19" t="str">
        <f>""</f>
        <v/>
      </c>
      <c r="K2535" s="19" t="str">
        <f>"PFES1162732960_0001"</f>
        <v>PFES1162732960_0001</v>
      </c>
      <c r="L2535" s="19">
        <v>1</v>
      </c>
      <c r="M2535" s="19">
        <v>8</v>
      </c>
    </row>
    <row r="2536" spans="1:13">
      <c r="A2536" s="6">
        <v>43854</v>
      </c>
      <c r="B2536" s="7">
        <v>0.53819444444444442</v>
      </c>
      <c r="C2536" s="19" t="str">
        <f>"FES1162732962"</f>
        <v>FES1162732962</v>
      </c>
      <c r="D2536" s="19" t="s">
        <v>19</v>
      </c>
      <c r="E2536" s="19" t="s">
        <v>465</v>
      </c>
      <c r="F2536" s="19" t="str">
        <f>"2170725437 "</f>
        <v xml:space="preserve">2170725437 </v>
      </c>
      <c r="G2536" s="19" t="str">
        <f>"DBC"</f>
        <v>DBC</v>
      </c>
      <c r="H2536" s="19" t="s">
        <v>21</v>
      </c>
      <c r="I2536" s="19" t="s">
        <v>466</v>
      </c>
      <c r="J2536" s="19" t="str">
        <f>"OIL"</f>
        <v>OIL</v>
      </c>
      <c r="K2536" s="19" t="str">
        <f>"PFES1162732962_0001"</f>
        <v>PFES1162732962_0001</v>
      </c>
      <c r="L2536" s="19">
        <v>1</v>
      </c>
      <c r="M2536" s="19">
        <v>4</v>
      </c>
    </row>
    <row r="2537" spans="1:13">
      <c r="A2537" s="6">
        <v>43854</v>
      </c>
      <c r="B2537" s="7">
        <v>0.53749999999999998</v>
      </c>
      <c r="C2537" s="19" t="str">
        <f>"FES1162732937"</f>
        <v>FES1162732937</v>
      </c>
      <c r="D2537" s="19" t="s">
        <v>19</v>
      </c>
      <c r="E2537" s="19" t="s">
        <v>961</v>
      </c>
      <c r="F2537" s="19" t="str">
        <f>"2170725384 "</f>
        <v xml:space="preserve">2170725384 </v>
      </c>
      <c r="G2537" s="19" t="str">
        <f t="shared" ref="G2537:G2561" si="74">"ON1"</f>
        <v>ON1</v>
      </c>
      <c r="H2537" s="19" t="s">
        <v>21</v>
      </c>
      <c r="I2537" s="19" t="s">
        <v>294</v>
      </c>
      <c r="J2537" s="19" t="str">
        <f>""</f>
        <v/>
      </c>
      <c r="K2537" s="19" t="str">
        <f>"PFES1162732937_0001"</f>
        <v>PFES1162732937_0001</v>
      </c>
      <c r="L2537" s="19">
        <v>1</v>
      </c>
      <c r="M2537" s="19">
        <v>6</v>
      </c>
    </row>
    <row r="2538" spans="1:13">
      <c r="A2538" s="6">
        <v>43854</v>
      </c>
      <c r="B2538" s="7">
        <v>0.53680555555555554</v>
      </c>
      <c r="C2538" s="19" t="str">
        <f>"FES1162732946"</f>
        <v>FES1162732946</v>
      </c>
      <c r="D2538" s="19" t="s">
        <v>19</v>
      </c>
      <c r="E2538" s="19" t="s">
        <v>240</v>
      </c>
      <c r="F2538" s="19" t="str">
        <f>"2170725422 "</f>
        <v xml:space="preserve">2170725422 </v>
      </c>
      <c r="G2538" s="19" t="str">
        <f t="shared" si="74"/>
        <v>ON1</v>
      </c>
      <c r="H2538" s="19" t="s">
        <v>21</v>
      </c>
      <c r="I2538" s="19" t="s">
        <v>241</v>
      </c>
      <c r="J2538" s="19" t="str">
        <f>""</f>
        <v/>
      </c>
      <c r="K2538" s="19" t="str">
        <f>"PFES1162732946_0001"</f>
        <v>PFES1162732946_0001</v>
      </c>
      <c r="L2538" s="19">
        <v>1</v>
      </c>
      <c r="M2538" s="19">
        <v>8</v>
      </c>
    </row>
    <row r="2539" spans="1:13">
      <c r="A2539" s="6">
        <v>43854</v>
      </c>
      <c r="B2539" s="7">
        <v>0.53680555555555554</v>
      </c>
      <c r="C2539" s="19" t="str">
        <f>"FES1162732933"</f>
        <v>FES1162732933</v>
      </c>
      <c r="D2539" s="19" t="s">
        <v>19</v>
      </c>
      <c r="E2539" s="19" t="s">
        <v>597</v>
      </c>
      <c r="F2539" s="19" t="str">
        <f>"2170725404 "</f>
        <v xml:space="preserve">2170725404 </v>
      </c>
      <c r="G2539" s="19" t="str">
        <f t="shared" si="74"/>
        <v>ON1</v>
      </c>
      <c r="H2539" s="19" t="s">
        <v>21</v>
      </c>
      <c r="I2539" s="19" t="s">
        <v>119</v>
      </c>
      <c r="J2539" s="19" t="str">
        <f>""</f>
        <v/>
      </c>
      <c r="K2539" s="19" t="str">
        <f>"PFES1162732933_0001"</f>
        <v>PFES1162732933_0001</v>
      </c>
      <c r="L2539" s="19">
        <v>1</v>
      </c>
      <c r="M2539" s="19">
        <v>4</v>
      </c>
    </row>
    <row r="2540" spans="1:13">
      <c r="A2540" s="6">
        <v>43854</v>
      </c>
      <c r="B2540" s="7">
        <v>0.53541666666666665</v>
      </c>
      <c r="C2540" s="19" t="str">
        <f>"FES1162732945"</f>
        <v>FES1162732945</v>
      </c>
      <c r="D2540" s="19" t="s">
        <v>19</v>
      </c>
      <c r="E2540" s="19" t="s">
        <v>760</v>
      </c>
      <c r="F2540" s="19" t="str">
        <f>"2170725421 "</f>
        <v xml:space="preserve">2170725421 </v>
      </c>
      <c r="G2540" s="19" t="str">
        <f t="shared" si="74"/>
        <v>ON1</v>
      </c>
      <c r="H2540" s="19" t="s">
        <v>21</v>
      </c>
      <c r="I2540" s="19" t="s">
        <v>165</v>
      </c>
      <c r="J2540" s="19" t="str">
        <f>""</f>
        <v/>
      </c>
      <c r="K2540" s="19" t="str">
        <f>"PFES1162732945_0001"</f>
        <v>PFES1162732945_0001</v>
      </c>
      <c r="L2540" s="19">
        <v>1</v>
      </c>
      <c r="M2540" s="19">
        <v>1</v>
      </c>
    </row>
    <row r="2541" spans="1:13">
      <c r="A2541" s="6">
        <v>43854</v>
      </c>
      <c r="B2541" s="7">
        <v>0.53541666666666665</v>
      </c>
      <c r="C2541" s="19" t="str">
        <f>"FES1162732951"</f>
        <v>FES1162732951</v>
      </c>
      <c r="D2541" s="19" t="s">
        <v>19</v>
      </c>
      <c r="E2541" s="19" t="s">
        <v>331</v>
      </c>
      <c r="F2541" s="19" t="str">
        <f>"2170725426 "</f>
        <v xml:space="preserve">2170725426 </v>
      </c>
      <c r="G2541" s="19" t="str">
        <f t="shared" si="74"/>
        <v>ON1</v>
      </c>
      <c r="H2541" s="19" t="s">
        <v>21</v>
      </c>
      <c r="I2541" s="19" t="s">
        <v>303</v>
      </c>
      <c r="J2541" s="19" t="str">
        <f>""</f>
        <v/>
      </c>
      <c r="K2541" s="19" t="str">
        <f>"PFES1162732951_0001"</f>
        <v>PFES1162732951_0001</v>
      </c>
      <c r="L2541" s="19">
        <v>1</v>
      </c>
      <c r="M2541" s="19">
        <v>1</v>
      </c>
    </row>
    <row r="2542" spans="1:13">
      <c r="A2542" s="6">
        <v>43854</v>
      </c>
      <c r="B2542" s="7">
        <v>0.53541666666666665</v>
      </c>
      <c r="C2542" s="19" t="str">
        <f>"FES1162732942"</f>
        <v>FES1162732942</v>
      </c>
      <c r="D2542" s="19" t="s">
        <v>19</v>
      </c>
      <c r="E2542" s="19" t="s">
        <v>844</v>
      </c>
      <c r="F2542" s="19" t="str">
        <f>"2170725417 "</f>
        <v xml:space="preserve">2170725417 </v>
      </c>
      <c r="G2542" s="19" t="str">
        <f t="shared" si="74"/>
        <v>ON1</v>
      </c>
      <c r="H2542" s="19" t="s">
        <v>21</v>
      </c>
      <c r="I2542" s="19" t="s">
        <v>303</v>
      </c>
      <c r="J2542" s="19" t="str">
        <f>""</f>
        <v/>
      </c>
      <c r="K2542" s="19" t="str">
        <f>"PFES1162732942_0001"</f>
        <v>PFES1162732942_0001</v>
      </c>
      <c r="L2542" s="19">
        <v>1</v>
      </c>
      <c r="M2542" s="19">
        <v>5</v>
      </c>
    </row>
    <row r="2543" spans="1:13">
      <c r="A2543" s="6">
        <v>43854</v>
      </c>
      <c r="B2543" s="7">
        <v>0.53472222222222221</v>
      </c>
      <c r="C2543" s="19" t="str">
        <f>"FES1162732869"</f>
        <v>FES1162732869</v>
      </c>
      <c r="D2543" s="19" t="s">
        <v>19</v>
      </c>
      <c r="E2543" s="19" t="s">
        <v>413</v>
      </c>
      <c r="F2543" s="19" t="str">
        <f>"2170725341 "</f>
        <v xml:space="preserve">2170725341 </v>
      </c>
      <c r="G2543" s="19" t="str">
        <f t="shared" si="74"/>
        <v>ON1</v>
      </c>
      <c r="H2543" s="19" t="s">
        <v>21</v>
      </c>
      <c r="I2543" s="19" t="s">
        <v>414</v>
      </c>
      <c r="J2543" s="19" t="str">
        <f>""</f>
        <v/>
      </c>
      <c r="K2543" s="19" t="str">
        <f>"PFES1162732869_0001"</f>
        <v>PFES1162732869_0001</v>
      </c>
      <c r="L2543" s="19">
        <v>1</v>
      </c>
      <c r="M2543" s="19">
        <v>8</v>
      </c>
    </row>
    <row r="2544" spans="1:13">
      <c r="A2544" s="6">
        <v>43854</v>
      </c>
      <c r="B2544" s="7">
        <v>0.53472222222222221</v>
      </c>
      <c r="C2544" s="19" t="str">
        <f>"FES1162732776"</f>
        <v>FES1162732776</v>
      </c>
      <c r="D2544" s="19" t="s">
        <v>19</v>
      </c>
      <c r="E2544" s="19" t="s">
        <v>932</v>
      </c>
      <c r="F2544" s="19" t="str">
        <f>"2170725247 "</f>
        <v xml:space="preserve">2170725247 </v>
      </c>
      <c r="G2544" s="19" t="str">
        <f t="shared" si="74"/>
        <v>ON1</v>
      </c>
      <c r="H2544" s="19" t="s">
        <v>21</v>
      </c>
      <c r="I2544" s="19" t="s">
        <v>933</v>
      </c>
      <c r="J2544" s="19" t="str">
        <f>""</f>
        <v/>
      </c>
      <c r="K2544" s="19" t="str">
        <f>"PFES1162732776_0001"</f>
        <v>PFES1162732776_0001</v>
      </c>
      <c r="L2544" s="19">
        <v>1</v>
      </c>
      <c r="M2544" s="19">
        <v>2</v>
      </c>
    </row>
    <row r="2545" spans="1:13">
      <c r="A2545" s="6">
        <v>43854</v>
      </c>
      <c r="B2545" s="7">
        <v>0.53472222222222221</v>
      </c>
      <c r="C2545" s="19" t="str">
        <f>"FES1162732846"</f>
        <v>FES1162732846</v>
      </c>
      <c r="D2545" s="19" t="s">
        <v>19</v>
      </c>
      <c r="E2545" s="19" t="s">
        <v>606</v>
      </c>
      <c r="F2545" s="19" t="str">
        <f>"2170723241 "</f>
        <v xml:space="preserve">2170723241 </v>
      </c>
      <c r="G2545" s="19" t="str">
        <f t="shared" si="74"/>
        <v>ON1</v>
      </c>
      <c r="H2545" s="19" t="s">
        <v>21</v>
      </c>
      <c r="I2545" s="19" t="s">
        <v>235</v>
      </c>
      <c r="J2545" s="19" t="str">
        <f>""</f>
        <v/>
      </c>
      <c r="K2545" s="19" t="str">
        <f>"PFES1162732846_0001"</f>
        <v>PFES1162732846_0001</v>
      </c>
      <c r="L2545" s="19">
        <v>1</v>
      </c>
      <c r="M2545" s="19">
        <v>5</v>
      </c>
    </row>
    <row r="2546" spans="1:13">
      <c r="A2546" s="6">
        <v>43854</v>
      </c>
      <c r="B2546" s="7">
        <v>0.53402777777777777</v>
      </c>
      <c r="C2546" s="19" t="str">
        <f>"FES1162732852"</f>
        <v>FES1162732852</v>
      </c>
      <c r="D2546" s="19" t="s">
        <v>19</v>
      </c>
      <c r="E2546" s="19" t="s">
        <v>293</v>
      </c>
      <c r="F2546" s="19" t="str">
        <f>"217075331 "</f>
        <v xml:space="preserve">217075331 </v>
      </c>
      <c r="G2546" s="19" t="str">
        <f t="shared" si="74"/>
        <v>ON1</v>
      </c>
      <c r="H2546" s="19" t="s">
        <v>21</v>
      </c>
      <c r="I2546" s="19" t="s">
        <v>294</v>
      </c>
      <c r="J2546" s="19" t="str">
        <f>""</f>
        <v/>
      </c>
      <c r="K2546" s="19" t="str">
        <f>"PFES1162732852_0001"</f>
        <v>PFES1162732852_0001</v>
      </c>
      <c r="L2546" s="19">
        <v>2</v>
      </c>
      <c r="M2546" s="19">
        <v>5</v>
      </c>
    </row>
    <row r="2547" spans="1:13">
      <c r="A2547" s="6">
        <v>43496</v>
      </c>
      <c r="B2547" s="7">
        <v>0.62777777777777777</v>
      </c>
      <c r="C2547" s="19" t="str">
        <f>"FES1162732852"</f>
        <v>FES1162732852</v>
      </c>
      <c r="D2547" s="19" t="s">
        <v>19</v>
      </c>
      <c r="E2547" s="19" t="s">
        <v>86</v>
      </c>
      <c r="F2547" s="19" t="str">
        <f>"2170672020 "</f>
        <v xml:space="preserve">2170672020 </v>
      </c>
      <c r="G2547" s="19" t="str">
        <f t="shared" si="74"/>
        <v>ON1</v>
      </c>
      <c r="H2547" s="19" t="s">
        <v>21</v>
      </c>
      <c r="I2547" s="19" t="s">
        <v>63</v>
      </c>
      <c r="J2547" s="19" t="str">
        <f>""</f>
        <v/>
      </c>
      <c r="K2547" s="19" t="str">
        <f>"PFES1162732852_0002"</f>
        <v>PFES1162732852_0002</v>
      </c>
      <c r="L2547" s="19">
        <v>1</v>
      </c>
      <c r="M2547" s="19">
        <v>1</v>
      </c>
    </row>
    <row r="2548" spans="1:13">
      <c r="A2548" s="6">
        <v>43854</v>
      </c>
      <c r="B2548" s="7">
        <v>0.53402777777777777</v>
      </c>
      <c r="C2548" s="19" t="str">
        <f>"FES1162732862"</f>
        <v>FES1162732862</v>
      </c>
      <c r="D2548" s="19" t="s">
        <v>19</v>
      </c>
      <c r="E2548" s="19" t="s">
        <v>962</v>
      </c>
      <c r="F2548" s="19" t="str">
        <f>"2170725343 "</f>
        <v xml:space="preserve">2170725343 </v>
      </c>
      <c r="G2548" s="19" t="str">
        <f t="shared" si="74"/>
        <v>ON1</v>
      </c>
      <c r="H2548" s="19" t="s">
        <v>21</v>
      </c>
      <c r="I2548" s="19" t="s">
        <v>96</v>
      </c>
      <c r="J2548" s="19" t="str">
        <f>""</f>
        <v/>
      </c>
      <c r="K2548" s="19" t="str">
        <f>"PFES1162732862_0001"</f>
        <v>PFES1162732862_0001</v>
      </c>
      <c r="L2548" s="19">
        <v>1</v>
      </c>
      <c r="M2548" s="19">
        <v>6</v>
      </c>
    </row>
    <row r="2549" spans="1:13">
      <c r="A2549" s="6">
        <v>43854</v>
      </c>
      <c r="B2549" s="7">
        <v>0.53263888888888888</v>
      </c>
      <c r="C2549" s="19" t="str">
        <f>"FES1162732877"</f>
        <v>FES1162732877</v>
      </c>
      <c r="D2549" s="19" t="s">
        <v>19</v>
      </c>
      <c r="E2549" s="19" t="s">
        <v>55</v>
      </c>
      <c r="F2549" s="19" t="str">
        <f>"2170725356 "</f>
        <v xml:space="preserve">2170725356 </v>
      </c>
      <c r="G2549" s="19" t="str">
        <f t="shared" si="74"/>
        <v>ON1</v>
      </c>
      <c r="H2549" s="19" t="s">
        <v>21</v>
      </c>
      <c r="I2549" s="19" t="s">
        <v>56</v>
      </c>
      <c r="J2549" s="19" t="str">
        <f>""</f>
        <v/>
      </c>
      <c r="K2549" s="19" t="str">
        <f>"PFES1162732877_0001"</f>
        <v>PFES1162732877_0001</v>
      </c>
      <c r="L2549" s="19">
        <v>1</v>
      </c>
      <c r="M2549" s="19">
        <v>2</v>
      </c>
    </row>
    <row r="2550" spans="1:13">
      <c r="A2550" s="6">
        <v>43854</v>
      </c>
      <c r="B2550" s="7">
        <v>0.62013888888888891</v>
      </c>
      <c r="C2550" s="19" t="str">
        <f>"009935723051"</f>
        <v>009935723051</v>
      </c>
      <c r="D2550" s="19" t="s">
        <v>19</v>
      </c>
      <c r="E2550" s="19" t="s">
        <v>157</v>
      </c>
      <c r="F2550" s="19" t="str">
        <f>"EMMANUEL "</f>
        <v xml:space="preserve">EMMANUEL </v>
      </c>
      <c r="G2550" s="19" t="str">
        <f t="shared" si="74"/>
        <v>ON1</v>
      </c>
      <c r="H2550" s="19" t="s">
        <v>21</v>
      </c>
      <c r="I2550" s="19" t="s">
        <v>158</v>
      </c>
      <c r="J2550" s="19" t="str">
        <f>""</f>
        <v/>
      </c>
      <c r="K2550" s="19" t="str">
        <f>"P009935723051_0001"</f>
        <v>P009935723051_0001</v>
      </c>
      <c r="L2550" s="19">
        <v>1</v>
      </c>
      <c r="M2550" s="19">
        <v>1</v>
      </c>
    </row>
    <row r="2551" spans="1:13">
      <c r="A2551" s="6">
        <v>43854</v>
      </c>
      <c r="B2551" s="7">
        <v>0.62013888888888891</v>
      </c>
      <c r="C2551" s="19" t="str">
        <f>"FES1162732985"</f>
        <v>FES1162732985</v>
      </c>
      <c r="D2551" s="19" t="s">
        <v>19</v>
      </c>
      <c r="E2551" s="19" t="s">
        <v>132</v>
      </c>
      <c r="F2551" s="19" t="str">
        <f>"2170722813 "</f>
        <v xml:space="preserve">2170722813 </v>
      </c>
      <c r="G2551" s="19" t="str">
        <f t="shared" si="74"/>
        <v>ON1</v>
      </c>
      <c r="H2551" s="19" t="s">
        <v>21</v>
      </c>
      <c r="I2551" s="19" t="s">
        <v>133</v>
      </c>
      <c r="J2551" s="19" t="str">
        <f>""</f>
        <v/>
      </c>
      <c r="K2551" s="19" t="str">
        <f>"PFES1162732985_0001"</f>
        <v>PFES1162732985_0001</v>
      </c>
      <c r="L2551" s="19">
        <v>1</v>
      </c>
      <c r="M2551" s="19">
        <v>13</v>
      </c>
    </row>
    <row r="2552" spans="1:13">
      <c r="A2552" s="6">
        <v>43854</v>
      </c>
      <c r="B2552" s="7">
        <v>0.61875000000000002</v>
      </c>
      <c r="C2552" s="19" t="str">
        <f>"FES1162732915"</f>
        <v>FES1162732915</v>
      </c>
      <c r="D2552" s="19" t="s">
        <v>19</v>
      </c>
      <c r="E2552" s="19" t="s">
        <v>144</v>
      </c>
      <c r="F2552" s="19" t="str">
        <f>"2170725379 "</f>
        <v xml:space="preserve">2170725379 </v>
      </c>
      <c r="G2552" s="19" t="str">
        <f t="shared" si="74"/>
        <v>ON1</v>
      </c>
      <c r="H2552" s="19" t="s">
        <v>21</v>
      </c>
      <c r="I2552" s="19" t="s">
        <v>34</v>
      </c>
      <c r="J2552" s="19" t="str">
        <f>""</f>
        <v/>
      </c>
      <c r="K2552" s="19" t="str">
        <f>"PFES1162732915_0001"</f>
        <v>PFES1162732915_0001</v>
      </c>
      <c r="L2552" s="19">
        <v>1</v>
      </c>
      <c r="M2552" s="19">
        <v>1</v>
      </c>
    </row>
    <row r="2553" spans="1:13">
      <c r="A2553" s="6">
        <v>43854</v>
      </c>
      <c r="B2553" s="7">
        <v>0.61875000000000002</v>
      </c>
      <c r="C2553" s="19" t="str">
        <f>"FES1162732932"</f>
        <v>FES1162732932</v>
      </c>
      <c r="D2553" s="19" t="s">
        <v>19</v>
      </c>
      <c r="E2553" s="19" t="s">
        <v>605</v>
      </c>
      <c r="F2553" s="19" t="str">
        <f>"2170725403 "</f>
        <v xml:space="preserve">2170725403 </v>
      </c>
      <c r="G2553" s="19" t="str">
        <f t="shared" si="74"/>
        <v>ON1</v>
      </c>
      <c r="H2553" s="19" t="s">
        <v>21</v>
      </c>
      <c r="I2553" s="19" t="s">
        <v>85</v>
      </c>
      <c r="J2553" s="19" t="str">
        <f>""</f>
        <v/>
      </c>
      <c r="K2553" s="19" t="str">
        <f>"PFES1162732932_0001"</f>
        <v>PFES1162732932_0001</v>
      </c>
      <c r="L2553" s="19">
        <v>1</v>
      </c>
      <c r="M2553" s="19">
        <v>1</v>
      </c>
    </row>
    <row r="2554" spans="1:13">
      <c r="A2554" s="6">
        <v>43854</v>
      </c>
      <c r="B2554" s="7">
        <v>0.61805555555555558</v>
      </c>
      <c r="C2554" s="19" t="str">
        <f>"FES1162732918"</f>
        <v>FES1162732918</v>
      </c>
      <c r="D2554" s="19" t="s">
        <v>19</v>
      </c>
      <c r="E2554" s="19" t="s">
        <v>188</v>
      </c>
      <c r="F2554" s="19" t="str">
        <f>"2170725388 "</f>
        <v xml:space="preserve">2170725388 </v>
      </c>
      <c r="G2554" s="19" t="str">
        <f t="shared" si="74"/>
        <v>ON1</v>
      </c>
      <c r="H2554" s="19" t="s">
        <v>21</v>
      </c>
      <c r="I2554" s="19" t="s">
        <v>189</v>
      </c>
      <c r="J2554" s="19" t="str">
        <f>""</f>
        <v/>
      </c>
      <c r="K2554" s="19" t="str">
        <f>"PFES1162732918_0001"</f>
        <v>PFES1162732918_0001</v>
      </c>
      <c r="L2554" s="19">
        <v>1</v>
      </c>
      <c r="M2554" s="19">
        <v>1</v>
      </c>
    </row>
    <row r="2555" spans="1:13">
      <c r="A2555" s="6">
        <v>43854</v>
      </c>
      <c r="B2555" s="7">
        <v>0.61736111111111114</v>
      </c>
      <c r="C2555" s="19" t="str">
        <f>"FES1162732930"</f>
        <v>FES1162732930</v>
      </c>
      <c r="D2555" s="19" t="s">
        <v>19</v>
      </c>
      <c r="E2555" s="19" t="s">
        <v>474</v>
      </c>
      <c r="F2555" s="19" t="str">
        <f>"2170725401 "</f>
        <v xml:space="preserve">2170725401 </v>
      </c>
      <c r="G2555" s="19" t="str">
        <f t="shared" si="74"/>
        <v>ON1</v>
      </c>
      <c r="H2555" s="19" t="s">
        <v>21</v>
      </c>
      <c r="I2555" s="19" t="s">
        <v>85</v>
      </c>
      <c r="J2555" s="19" t="str">
        <f>""</f>
        <v/>
      </c>
      <c r="K2555" s="19" t="str">
        <f>"PFES1162732930_0001"</f>
        <v>PFES1162732930_0001</v>
      </c>
      <c r="L2555" s="19">
        <v>1</v>
      </c>
      <c r="M2555" s="19">
        <v>1</v>
      </c>
    </row>
    <row r="2556" spans="1:13">
      <c r="A2556" s="6">
        <v>43854</v>
      </c>
      <c r="B2556" s="7">
        <v>0.6118055555555556</v>
      </c>
      <c r="C2556" s="19" t="str">
        <f>"FES1162732907"</f>
        <v>FES1162732907</v>
      </c>
      <c r="D2556" s="19" t="s">
        <v>19</v>
      </c>
      <c r="E2556" s="19" t="s">
        <v>629</v>
      </c>
      <c r="F2556" s="19" t="str">
        <f>"2170725376 "</f>
        <v xml:space="preserve">2170725376 </v>
      </c>
      <c r="G2556" s="19" t="str">
        <f t="shared" si="74"/>
        <v>ON1</v>
      </c>
      <c r="H2556" s="19" t="s">
        <v>21</v>
      </c>
      <c r="I2556" s="19" t="s">
        <v>85</v>
      </c>
      <c r="J2556" s="19" t="str">
        <f>""</f>
        <v/>
      </c>
      <c r="K2556" s="19" t="str">
        <f>"PFES1162732907_0001"</f>
        <v>PFES1162732907_0001</v>
      </c>
      <c r="L2556" s="19">
        <v>1</v>
      </c>
      <c r="M2556" s="19">
        <v>6</v>
      </c>
    </row>
    <row r="2557" spans="1:13">
      <c r="A2557" s="6">
        <v>43854</v>
      </c>
      <c r="B2557" s="7">
        <v>0.6118055555555556</v>
      </c>
      <c r="C2557" s="19" t="str">
        <f>"FES1162732989"</f>
        <v>FES1162732989</v>
      </c>
      <c r="D2557" s="19" t="s">
        <v>19</v>
      </c>
      <c r="E2557" s="19" t="s">
        <v>33</v>
      </c>
      <c r="F2557" s="19" t="str">
        <f>"2170725465 "</f>
        <v xml:space="preserve">2170725465 </v>
      </c>
      <c r="G2557" s="19" t="str">
        <f t="shared" si="74"/>
        <v>ON1</v>
      </c>
      <c r="H2557" s="19" t="s">
        <v>21</v>
      </c>
      <c r="I2557" s="19" t="s">
        <v>34</v>
      </c>
      <c r="J2557" s="19" t="str">
        <f>""</f>
        <v/>
      </c>
      <c r="K2557" s="19" t="str">
        <f>"PFES1162732989_0001"</f>
        <v>PFES1162732989_0001</v>
      </c>
      <c r="L2557" s="19">
        <v>1</v>
      </c>
      <c r="M2557" s="19">
        <v>1</v>
      </c>
    </row>
    <row r="2558" spans="1:13">
      <c r="A2558" s="6">
        <v>43854</v>
      </c>
      <c r="B2558" s="7">
        <v>0.61041666666666672</v>
      </c>
      <c r="C2558" s="19" t="str">
        <f>"FES1162733010"</f>
        <v>FES1162733010</v>
      </c>
      <c r="D2558" s="19" t="s">
        <v>19</v>
      </c>
      <c r="E2558" s="19" t="s">
        <v>600</v>
      </c>
      <c r="F2558" s="19" t="str">
        <f>"2170725488 "</f>
        <v xml:space="preserve">2170725488 </v>
      </c>
      <c r="G2558" s="19" t="str">
        <f t="shared" si="74"/>
        <v>ON1</v>
      </c>
      <c r="H2558" s="19" t="s">
        <v>21</v>
      </c>
      <c r="I2558" s="19" t="s">
        <v>601</v>
      </c>
      <c r="J2558" s="19" t="str">
        <f>""</f>
        <v/>
      </c>
      <c r="K2558" s="19" t="str">
        <f>"PFES1162733010_0001"</f>
        <v>PFES1162733010_0001</v>
      </c>
      <c r="L2558" s="19">
        <v>1</v>
      </c>
      <c r="M2558" s="19">
        <v>4</v>
      </c>
    </row>
    <row r="2559" spans="1:13">
      <c r="A2559" s="6">
        <v>43854</v>
      </c>
      <c r="B2559" s="7">
        <v>0.60972222222222217</v>
      </c>
      <c r="C2559" s="19" t="str">
        <f>"FES1162733022"</f>
        <v>FES1162733022</v>
      </c>
      <c r="D2559" s="19" t="s">
        <v>19</v>
      </c>
      <c r="E2559" s="19" t="s">
        <v>963</v>
      </c>
      <c r="F2559" s="19" t="str">
        <f>"2170725504 "</f>
        <v xml:space="preserve">2170725504 </v>
      </c>
      <c r="G2559" s="19" t="str">
        <f t="shared" si="74"/>
        <v>ON1</v>
      </c>
      <c r="H2559" s="19" t="s">
        <v>21</v>
      </c>
      <c r="I2559" s="19" t="s">
        <v>69</v>
      </c>
      <c r="J2559" s="19" t="str">
        <f>""</f>
        <v/>
      </c>
      <c r="K2559" s="19" t="str">
        <f>"PFES1162733022_0001"</f>
        <v>PFES1162733022_0001</v>
      </c>
      <c r="L2559" s="19">
        <v>1</v>
      </c>
      <c r="M2559" s="19">
        <v>3</v>
      </c>
    </row>
    <row r="2560" spans="1:13">
      <c r="A2560" s="6">
        <v>43854</v>
      </c>
      <c r="B2560" s="7">
        <v>0.60972222222222217</v>
      </c>
      <c r="C2560" s="19" t="str">
        <f>"FES1162733027"</f>
        <v>FES1162733027</v>
      </c>
      <c r="D2560" s="19" t="s">
        <v>19</v>
      </c>
      <c r="E2560" s="19" t="s">
        <v>118</v>
      </c>
      <c r="F2560" s="19" t="str">
        <f>"2170725511 "</f>
        <v xml:space="preserve">2170725511 </v>
      </c>
      <c r="G2560" s="19" t="str">
        <f t="shared" si="74"/>
        <v>ON1</v>
      </c>
      <c r="H2560" s="19" t="s">
        <v>21</v>
      </c>
      <c r="I2560" s="19" t="s">
        <v>119</v>
      </c>
      <c r="J2560" s="19" t="str">
        <f>""</f>
        <v/>
      </c>
      <c r="K2560" s="19" t="str">
        <f>"PFES1162733027_0001"</f>
        <v>PFES1162733027_0001</v>
      </c>
      <c r="L2560" s="19">
        <v>1</v>
      </c>
      <c r="M2560" s="19">
        <v>6</v>
      </c>
    </row>
    <row r="2561" spans="1:13">
      <c r="A2561" s="6">
        <v>43854</v>
      </c>
      <c r="B2561" s="7">
        <v>0.60902777777777783</v>
      </c>
      <c r="C2561" s="19" t="str">
        <f>"FES1162733024"</f>
        <v>FES1162733024</v>
      </c>
      <c r="D2561" s="19" t="s">
        <v>19</v>
      </c>
      <c r="E2561" s="19" t="s">
        <v>964</v>
      </c>
      <c r="F2561" s="19" t="str">
        <f>"2170725506 "</f>
        <v xml:space="preserve">2170725506 </v>
      </c>
      <c r="G2561" s="19" t="str">
        <f t="shared" si="74"/>
        <v>ON1</v>
      </c>
      <c r="H2561" s="19" t="s">
        <v>21</v>
      </c>
      <c r="I2561" s="19" t="s">
        <v>965</v>
      </c>
      <c r="J2561" s="19" t="str">
        <f>""</f>
        <v/>
      </c>
      <c r="K2561" s="19" t="str">
        <f>"PFES1162733024_0001"</f>
        <v>PFES1162733024_0001</v>
      </c>
      <c r="L2561" s="19">
        <v>1</v>
      </c>
      <c r="M2561" s="19">
        <v>1</v>
      </c>
    </row>
    <row r="2562" spans="1:13">
      <c r="A2562" s="6">
        <v>43854</v>
      </c>
      <c r="B2562" s="7">
        <v>0.60763888888888895</v>
      </c>
      <c r="C2562" s="19" t="str">
        <f>"FES1162733029"</f>
        <v>FES1162733029</v>
      </c>
      <c r="D2562" s="19" t="s">
        <v>19</v>
      </c>
      <c r="E2562" s="19" t="s">
        <v>86</v>
      </c>
      <c r="F2562" s="19" t="str">
        <f>"2170725235 "</f>
        <v xml:space="preserve">2170725235 </v>
      </c>
      <c r="G2562" s="19" t="str">
        <f>"SAT"</f>
        <v>SAT</v>
      </c>
      <c r="H2562" s="19" t="s">
        <v>21</v>
      </c>
      <c r="I2562" s="19" t="s">
        <v>63</v>
      </c>
      <c r="J2562" s="19" t="str">
        <f>"SATURDAY DELIVERY"</f>
        <v>SATURDAY DELIVERY</v>
      </c>
      <c r="K2562" s="19" t="str">
        <f>"PFES1162733029_0001"</f>
        <v>PFES1162733029_0001</v>
      </c>
      <c r="L2562" s="19">
        <v>1</v>
      </c>
      <c r="M2562" s="19">
        <v>4</v>
      </c>
    </row>
    <row r="2563" spans="1:13">
      <c r="A2563" s="6">
        <v>43854</v>
      </c>
      <c r="B2563" s="7">
        <v>0.60277777777777775</v>
      </c>
      <c r="C2563" s="19" t="str">
        <f>"FES1162733012"</f>
        <v>FES1162733012</v>
      </c>
      <c r="D2563" s="19" t="s">
        <v>19</v>
      </c>
      <c r="E2563" s="19" t="s">
        <v>147</v>
      </c>
      <c r="F2563" s="19" t="str">
        <f>"2170722431 "</f>
        <v xml:space="preserve">2170722431 </v>
      </c>
      <c r="G2563" s="19" t="str">
        <f t="shared" ref="G2563:G2585" si="75">"ON1"</f>
        <v>ON1</v>
      </c>
      <c r="H2563" s="19" t="s">
        <v>21</v>
      </c>
      <c r="I2563" s="19" t="s">
        <v>148</v>
      </c>
      <c r="J2563" s="19" t="str">
        <f>""</f>
        <v/>
      </c>
      <c r="K2563" s="19" t="str">
        <f>"PFES1162733012_0001"</f>
        <v>PFES1162733012_0001</v>
      </c>
      <c r="L2563" s="19">
        <v>1</v>
      </c>
      <c r="M2563" s="19">
        <v>2</v>
      </c>
    </row>
    <row r="2564" spans="1:13">
      <c r="A2564" s="6">
        <v>43854</v>
      </c>
      <c r="B2564" s="7">
        <v>0.60277777777777775</v>
      </c>
      <c r="C2564" s="19" t="str">
        <f>"FES1162732901"</f>
        <v>FES1162732901</v>
      </c>
      <c r="D2564" s="19" t="s">
        <v>19</v>
      </c>
      <c r="E2564" s="19" t="s">
        <v>322</v>
      </c>
      <c r="F2564" s="19" t="str">
        <f>"2170722229 "</f>
        <v xml:space="preserve">2170722229 </v>
      </c>
      <c r="G2564" s="19" t="str">
        <f t="shared" si="75"/>
        <v>ON1</v>
      </c>
      <c r="H2564" s="19" t="s">
        <v>21</v>
      </c>
      <c r="I2564" s="19" t="s">
        <v>323</v>
      </c>
      <c r="J2564" s="19" t="str">
        <f>""</f>
        <v/>
      </c>
      <c r="K2564" s="19" t="str">
        <f>"PFES1162732901_0001"</f>
        <v>PFES1162732901_0001</v>
      </c>
      <c r="L2564" s="19">
        <v>1</v>
      </c>
      <c r="M2564" s="19">
        <v>8</v>
      </c>
    </row>
    <row r="2565" spans="1:13">
      <c r="A2565" s="6">
        <v>43854</v>
      </c>
      <c r="B2565" s="7">
        <v>0.60277777777777775</v>
      </c>
      <c r="C2565" s="19" t="str">
        <f>"FES1162732904"</f>
        <v>FES1162732904</v>
      </c>
      <c r="D2565" s="19" t="s">
        <v>19</v>
      </c>
      <c r="E2565" s="19" t="s">
        <v>322</v>
      </c>
      <c r="F2565" s="19" t="str">
        <f>"2170722252 "</f>
        <v xml:space="preserve">2170722252 </v>
      </c>
      <c r="G2565" s="19" t="str">
        <f t="shared" si="75"/>
        <v>ON1</v>
      </c>
      <c r="H2565" s="19" t="s">
        <v>21</v>
      </c>
      <c r="I2565" s="19" t="s">
        <v>323</v>
      </c>
      <c r="J2565" s="19" t="str">
        <f>""</f>
        <v/>
      </c>
      <c r="K2565" s="19" t="str">
        <f>"PFES1162732904_0001"</f>
        <v>PFES1162732904_0001</v>
      </c>
      <c r="L2565" s="19">
        <v>1</v>
      </c>
      <c r="M2565" s="19">
        <v>3</v>
      </c>
    </row>
    <row r="2566" spans="1:13">
      <c r="A2566" s="6">
        <v>43854</v>
      </c>
      <c r="B2566" s="7">
        <v>0.6020833333333333</v>
      </c>
      <c r="C2566" s="19" t="str">
        <f>"FES1162733023"</f>
        <v>FES1162733023</v>
      </c>
      <c r="D2566" s="19" t="s">
        <v>19</v>
      </c>
      <c r="E2566" s="19" t="s">
        <v>218</v>
      </c>
      <c r="F2566" s="19" t="str">
        <f>"2170725507 "</f>
        <v xml:space="preserve">2170725507 </v>
      </c>
      <c r="G2566" s="19" t="str">
        <f t="shared" si="75"/>
        <v>ON1</v>
      </c>
      <c r="H2566" s="19" t="s">
        <v>21</v>
      </c>
      <c r="I2566" s="19" t="s">
        <v>49</v>
      </c>
      <c r="J2566" s="19" t="str">
        <f>""</f>
        <v/>
      </c>
      <c r="K2566" s="19" t="str">
        <f>"PFES1162733023_0001"</f>
        <v>PFES1162733023_0001</v>
      </c>
      <c r="L2566" s="19">
        <v>1</v>
      </c>
      <c r="M2566" s="19">
        <v>1</v>
      </c>
    </row>
    <row r="2567" spans="1:13">
      <c r="A2567" s="6">
        <v>43854</v>
      </c>
      <c r="B2567" s="7">
        <v>0.6020833333333333</v>
      </c>
      <c r="C2567" s="19" t="str">
        <f>"FES1162732970"</f>
        <v>FES1162732970</v>
      </c>
      <c r="D2567" s="19" t="s">
        <v>19</v>
      </c>
      <c r="E2567" s="19" t="s">
        <v>151</v>
      </c>
      <c r="F2567" s="19" t="str">
        <f>"2170725448 "</f>
        <v xml:space="preserve">2170725448 </v>
      </c>
      <c r="G2567" s="19" t="str">
        <f t="shared" si="75"/>
        <v>ON1</v>
      </c>
      <c r="H2567" s="19" t="s">
        <v>21</v>
      </c>
      <c r="I2567" s="19" t="s">
        <v>152</v>
      </c>
      <c r="J2567" s="19" t="str">
        <f>""</f>
        <v/>
      </c>
      <c r="K2567" s="19" t="str">
        <f>"PFES1162732970_0001"</f>
        <v>PFES1162732970_0001</v>
      </c>
      <c r="L2567" s="19">
        <v>1</v>
      </c>
      <c r="M2567" s="19">
        <v>2</v>
      </c>
    </row>
    <row r="2568" spans="1:13">
      <c r="A2568" s="6">
        <v>43854</v>
      </c>
      <c r="B2568" s="7">
        <v>0.60138888888888886</v>
      </c>
      <c r="C2568" s="19" t="str">
        <f>"FES1162732897"</f>
        <v>FES1162732897</v>
      </c>
      <c r="D2568" s="19" t="s">
        <v>19</v>
      </c>
      <c r="E2568" s="19" t="s">
        <v>322</v>
      </c>
      <c r="F2568" s="19" t="str">
        <f>"21707222218 "</f>
        <v xml:space="preserve">21707222218 </v>
      </c>
      <c r="G2568" s="19" t="str">
        <f t="shared" si="75"/>
        <v>ON1</v>
      </c>
      <c r="H2568" s="19" t="s">
        <v>21</v>
      </c>
      <c r="I2568" s="19" t="s">
        <v>323</v>
      </c>
      <c r="J2568" s="19" t="str">
        <f>""</f>
        <v/>
      </c>
      <c r="K2568" s="19" t="str">
        <f>"PFES1162732897_0001"</f>
        <v>PFES1162732897_0001</v>
      </c>
      <c r="L2568" s="19">
        <v>1</v>
      </c>
      <c r="M2568" s="19">
        <v>2</v>
      </c>
    </row>
    <row r="2569" spans="1:13">
      <c r="A2569" s="6">
        <v>43854</v>
      </c>
      <c r="B2569" s="7">
        <v>0.60138888888888886</v>
      </c>
      <c r="C2569" s="19" t="str">
        <f>"FES1162732902"</f>
        <v>FES1162732902</v>
      </c>
      <c r="D2569" s="19" t="s">
        <v>19</v>
      </c>
      <c r="E2569" s="19" t="s">
        <v>322</v>
      </c>
      <c r="F2569" s="19" t="str">
        <f>"2170722232 "</f>
        <v xml:space="preserve">2170722232 </v>
      </c>
      <c r="G2569" s="19" t="str">
        <f t="shared" si="75"/>
        <v>ON1</v>
      </c>
      <c r="H2569" s="19" t="s">
        <v>21</v>
      </c>
      <c r="I2569" s="19" t="s">
        <v>323</v>
      </c>
      <c r="J2569" s="19" t="str">
        <f>""</f>
        <v/>
      </c>
      <c r="K2569" s="19" t="str">
        <f>"PFES1162732902_0001"</f>
        <v>PFES1162732902_0001</v>
      </c>
      <c r="L2569" s="19">
        <v>1</v>
      </c>
      <c r="M2569" s="19">
        <v>2</v>
      </c>
    </row>
    <row r="2570" spans="1:13">
      <c r="A2570" s="6">
        <v>43854</v>
      </c>
      <c r="B2570" s="7">
        <v>0.60138888888888886</v>
      </c>
      <c r="C2570" s="19" t="str">
        <f>"FES1162732903"</f>
        <v>FES1162732903</v>
      </c>
      <c r="D2570" s="19" t="s">
        <v>19</v>
      </c>
      <c r="E2570" s="19" t="s">
        <v>322</v>
      </c>
      <c r="F2570" s="19" t="str">
        <f>"2170722237 "</f>
        <v xml:space="preserve">2170722237 </v>
      </c>
      <c r="G2570" s="19" t="str">
        <f t="shared" si="75"/>
        <v>ON1</v>
      </c>
      <c r="H2570" s="19" t="s">
        <v>21</v>
      </c>
      <c r="I2570" s="19" t="s">
        <v>323</v>
      </c>
      <c r="J2570" s="19" t="str">
        <f>""</f>
        <v/>
      </c>
      <c r="K2570" s="19" t="str">
        <f>"PFES1162732903_0001"</f>
        <v>PFES1162732903_0001</v>
      </c>
      <c r="L2570" s="19">
        <v>1</v>
      </c>
      <c r="M2570" s="19">
        <v>2</v>
      </c>
    </row>
    <row r="2571" spans="1:13">
      <c r="A2571" s="6">
        <v>43854</v>
      </c>
      <c r="B2571" s="7">
        <v>0.53194444444444444</v>
      </c>
      <c r="C2571" s="19" t="str">
        <f>"FES1162732854"</f>
        <v>FES1162732854</v>
      </c>
      <c r="D2571" s="19" t="s">
        <v>19</v>
      </c>
      <c r="E2571" s="19" t="s">
        <v>439</v>
      </c>
      <c r="F2571" s="19" t="str">
        <f>"217072509 "</f>
        <v xml:space="preserve">217072509 </v>
      </c>
      <c r="G2571" s="19" t="str">
        <f t="shared" si="75"/>
        <v>ON1</v>
      </c>
      <c r="H2571" s="19" t="s">
        <v>21</v>
      </c>
      <c r="I2571" s="19" t="s">
        <v>440</v>
      </c>
      <c r="J2571" s="19" t="str">
        <f>""</f>
        <v/>
      </c>
      <c r="K2571" s="19" t="str">
        <f>"PFES1162732854_0001"</f>
        <v>PFES1162732854_0001</v>
      </c>
      <c r="L2571" s="19">
        <v>1</v>
      </c>
      <c r="M2571" s="19">
        <v>3</v>
      </c>
    </row>
    <row r="2572" spans="1:13">
      <c r="A2572" s="6">
        <v>43854</v>
      </c>
      <c r="B2572" s="7">
        <v>0.53055555555555556</v>
      </c>
      <c r="C2572" s="19" t="str">
        <f>"FES1162732220"</f>
        <v>FES1162732220</v>
      </c>
      <c r="D2572" s="19" t="s">
        <v>19</v>
      </c>
      <c r="E2572" s="19" t="s">
        <v>966</v>
      </c>
      <c r="F2572" s="19" t="str">
        <f>"2170724788 "</f>
        <v xml:space="preserve">2170724788 </v>
      </c>
      <c r="G2572" s="19" t="str">
        <f t="shared" si="75"/>
        <v>ON1</v>
      </c>
      <c r="H2572" s="19" t="s">
        <v>21</v>
      </c>
      <c r="I2572" s="19" t="s">
        <v>247</v>
      </c>
      <c r="J2572" s="19" t="str">
        <f>""</f>
        <v/>
      </c>
      <c r="K2572" s="19" t="str">
        <f>"PFES1162732220_0001"</f>
        <v>PFES1162732220_0001</v>
      </c>
      <c r="L2572" s="19">
        <v>1</v>
      </c>
      <c r="M2572" s="19">
        <v>4</v>
      </c>
    </row>
    <row r="2573" spans="1:13">
      <c r="A2573" s="6">
        <v>43854</v>
      </c>
      <c r="B2573" s="7">
        <v>0.52986111111111112</v>
      </c>
      <c r="C2573" s="19" t="str">
        <f>"FES1162732857"</f>
        <v>FES1162732857</v>
      </c>
      <c r="D2573" s="19" t="s">
        <v>19</v>
      </c>
      <c r="E2573" s="19" t="s">
        <v>878</v>
      </c>
      <c r="F2573" s="19" t="str">
        <f>"2170725330 "</f>
        <v xml:space="preserve">2170725330 </v>
      </c>
      <c r="G2573" s="19" t="str">
        <f t="shared" si="75"/>
        <v>ON1</v>
      </c>
      <c r="H2573" s="19" t="s">
        <v>21</v>
      </c>
      <c r="I2573" s="19" t="s">
        <v>76</v>
      </c>
      <c r="J2573" s="19" t="str">
        <f>""</f>
        <v/>
      </c>
      <c r="K2573" s="19" t="str">
        <f>"PFES1162732857_0001"</f>
        <v>PFES1162732857_0001</v>
      </c>
      <c r="L2573" s="19">
        <v>1</v>
      </c>
      <c r="M2573" s="19">
        <v>5</v>
      </c>
    </row>
    <row r="2574" spans="1:13">
      <c r="A2574" s="6">
        <v>43854</v>
      </c>
      <c r="B2574" s="7">
        <v>0.52986111111111112</v>
      </c>
      <c r="C2574" s="19" t="str">
        <f>"FES1162732861"</f>
        <v>FES1162732861</v>
      </c>
      <c r="D2574" s="19" t="s">
        <v>19</v>
      </c>
      <c r="E2574" s="19" t="s">
        <v>101</v>
      </c>
      <c r="F2574" s="19" t="str">
        <f>"2170725340 "</f>
        <v xml:space="preserve">2170725340 </v>
      </c>
      <c r="G2574" s="19" t="str">
        <f t="shared" si="75"/>
        <v>ON1</v>
      </c>
      <c r="H2574" s="19" t="s">
        <v>21</v>
      </c>
      <c r="I2574" s="19" t="s">
        <v>102</v>
      </c>
      <c r="J2574" s="19" t="str">
        <f>""</f>
        <v/>
      </c>
      <c r="K2574" s="19" t="str">
        <f>"PFES1162732861_0001"</f>
        <v>PFES1162732861_0001</v>
      </c>
      <c r="L2574" s="19">
        <v>1</v>
      </c>
      <c r="M2574" s="19">
        <v>1</v>
      </c>
    </row>
    <row r="2575" spans="1:13">
      <c r="A2575" s="6">
        <v>43854</v>
      </c>
      <c r="B2575" s="7">
        <v>0.52986111111111112</v>
      </c>
      <c r="C2575" s="19" t="str">
        <f>"FES1162732875"</f>
        <v>FES1162732875</v>
      </c>
      <c r="D2575" s="19" t="s">
        <v>19</v>
      </c>
      <c r="E2575" s="19" t="s">
        <v>445</v>
      </c>
      <c r="F2575" s="19" t="str">
        <f>"2170725352 "</f>
        <v xml:space="preserve">2170725352 </v>
      </c>
      <c r="G2575" s="19" t="str">
        <f t="shared" si="75"/>
        <v>ON1</v>
      </c>
      <c r="H2575" s="19" t="s">
        <v>21</v>
      </c>
      <c r="I2575" s="19" t="s">
        <v>277</v>
      </c>
      <c r="J2575" s="19" t="str">
        <f>""</f>
        <v/>
      </c>
      <c r="K2575" s="19" t="str">
        <f>"PFES1162732875_0001"</f>
        <v>PFES1162732875_0001</v>
      </c>
      <c r="L2575" s="19">
        <v>1</v>
      </c>
      <c r="M2575" s="19">
        <v>3</v>
      </c>
    </row>
    <row r="2576" spans="1:13">
      <c r="A2576" s="6">
        <v>43854</v>
      </c>
      <c r="B2576" s="7">
        <v>0.52916666666666667</v>
      </c>
      <c r="C2576" s="19" t="str">
        <f>"FES1162732895"</f>
        <v>FES1162732895</v>
      </c>
      <c r="D2576" s="19" t="s">
        <v>19</v>
      </c>
      <c r="E2576" s="19" t="s">
        <v>153</v>
      </c>
      <c r="F2576" s="19" t="str">
        <f>"21707219000 "</f>
        <v xml:space="preserve">21707219000 </v>
      </c>
      <c r="G2576" s="19" t="str">
        <f t="shared" si="75"/>
        <v>ON1</v>
      </c>
      <c r="H2576" s="19" t="s">
        <v>21</v>
      </c>
      <c r="I2576" s="19" t="s">
        <v>146</v>
      </c>
      <c r="J2576" s="19" t="str">
        <f>""</f>
        <v/>
      </c>
      <c r="K2576" s="19" t="str">
        <f>"PFES1162732895_0001"</f>
        <v>PFES1162732895_0001</v>
      </c>
      <c r="L2576" s="19">
        <v>1</v>
      </c>
      <c r="M2576" s="19">
        <v>3</v>
      </c>
    </row>
    <row r="2577" spans="1:13">
      <c r="A2577" s="6">
        <v>43854</v>
      </c>
      <c r="B2577" s="7">
        <v>0.52916666666666667</v>
      </c>
      <c r="C2577" s="19" t="str">
        <f>"FES1162732896"</f>
        <v>FES1162732896</v>
      </c>
      <c r="D2577" s="19" t="s">
        <v>19</v>
      </c>
      <c r="E2577" s="19" t="s">
        <v>153</v>
      </c>
      <c r="F2577" s="19" t="str">
        <f>"2170723205 "</f>
        <v xml:space="preserve">2170723205 </v>
      </c>
      <c r="G2577" s="19" t="str">
        <f t="shared" si="75"/>
        <v>ON1</v>
      </c>
      <c r="H2577" s="19" t="s">
        <v>21</v>
      </c>
      <c r="I2577" s="19" t="s">
        <v>146</v>
      </c>
      <c r="J2577" s="19" t="str">
        <f>""</f>
        <v/>
      </c>
      <c r="K2577" s="19" t="str">
        <f>"PFES1162732896_0001"</f>
        <v>PFES1162732896_0001</v>
      </c>
      <c r="L2577" s="19">
        <v>1</v>
      </c>
      <c r="M2577" s="19">
        <v>1</v>
      </c>
    </row>
    <row r="2578" spans="1:13">
      <c r="A2578" s="6">
        <v>43854</v>
      </c>
      <c r="B2578" s="7">
        <v>0.52916666666666667</v>
      </c>
      <c r="C2578" s="19" t="str">
        <f>"FES1162732868"</f>
        <v>FES1162732868</v>
      </c>
      <c r="D2578" s="19" t="s">
        <v>19</v>
      </c>
      <c r="E2578" s="19" t="s">
        <v>143</v>
      </c>
      <c r="F2578" s="19" t="str">
        <f>"2170725114 "</f>
        <v xml:space="preserve">2170725114 </v>
      </c>
      <c r="G2578" s="19" t="str">
        <f t="shared" si="75"/>
        <v>ON1</v>
      </c>
      <c r="H2578" s="19" t="s">
        <v>21</v>
      </c>
      <c r="I2578" s="19" t="s">
        <v>137</v>
      </c>
      <c r="J2578" s="19" t="str">
        <f>""</f>
        <v/>
      </c>
      <c r="K2578" s="19" t="str">
        <f>"PFES1162732868_0001"</f>
        <v>PFES1162732868_0001</v>
      </c>
      <c r="L2578" s="19">
        <v>1</v>
      </c>
      <c r="M2578" s="19">
        <v>5</v>
      </c>
    </row>
    <row r="2579" spans="1:13">
      <c r="A2579" s="6">
        <v>43854</v>
      </c>
      <c r="B2579" s="7">
        <v>0.52847222222222223</v>
      </c>
      <c r="C2579" s="19" t="str">
        <f>"FES1162732870"</f>
        <v>FES1162732870</v>
      </c>
      <c r="D2579" s="19" t="s">
        <v>19</v>
      </c>
      <c r="E2579" s="19" t="s">
        <v>603</v>
      </c>
      <c r="F2579" s="19" t="str">
        <f>"2170725344 "</f>
        <v xml:space="preserve">2170725344 </v>
      </c>
      <c r="G2579" s="19" t="str">
        <f t="shared" si="75"/>
        <v>ON1</v>
      </c>
      <c r="H2579" s="19" t="s">
        <v>21</v>
      </c>
      <c r="I2579" s="19" t="s">
        <v>604</v>
      </c>
      <c r="J2579" s="19" t="str">
        <f>""</f>
        <v/>
      </c>
      <c r="K2579" s="19" t="str">
        <f>"PFES1162732870_0001"</f>
        <v>PFES1162732870_0001</v>
      </c>
      <c r="L2579" s="19">
        <v>1</v>
      </c>
      <c r="M2579" s="19">
        <v>1</v>
      </c>
    </row>
    <row r="2580" spans="1:13">
      <c r="A2580" s="6">
        <v>43854</v>
      </c>
      <c r="B2580" s="7">
        <v>0.52847222222222223</v>
      </c>
      <c r="C2580" s="19" t="str">
        <f>"FES1162732866"</f>
        <v>FES1162732866</v>
      </c>
      <c r="D2580" s="19" t="s">
        <v>19</v>
      </c>
      <c r="E2580" s="19" t="s">
        <v>29</v>
      </c>
      <c r="F2580" s="19" t="str">
        <f>"2170724782 "</f>
        <v xml:space="preserve">2170724782 </v>
      </c>
      <c r="G2580" s="19" t="str">
        <f t="shared" si="75"/>
        <v>ON1</v>
      </c>
      <c r="H2580" s="19" t="s">
        <v>21</v>
      </c>
      <c r="I2580" s="19" t="s">
        <v>22</v>
      </c>
      <c r="J2580" s="19" t="str">
        <f>""</f>
        <v/>
      </c>
      <c r="K2580" s="19" t="str">
        <f>"PFES1162732866_0001"</f>
        <v>PFES1162732866_0001</v>
      </c>
      <c r="L2580" s="19">
        <v>1</v>
      </c>
      <c r="M2580" s="19">
        <v>2</v>
      </c>
    </row>
    <row r="2581" spans="1:13">
      <c r="A2581" s="6">
        <v>43854</v>
      </c>
      <c r="B2581" s="7">
        <v>0.52847222222222223</v>
      </c>
      <c r="C2581" s="19" t="str">
        <f>"FES1162732881"</f>
        <v>FES1162732881</v>
      </c>
      <c r="D2581" s="19" t="s">
        <v>19</v>
      </c>
      <c r="E2581" s="19" t="s">
        <v>593</v>
      </c>
      <c r="F2581" s="19" t="str">
        <f>"2170725361 "</f>
        <v xml:space="preserve">2170725361 </v>
      </c>
      <c r="G2581" s="19" t="str">
        <f t="shared" si="75"/>
        <v>ON1</v>
      </c>
      <c r="H2581" s="19" t="s">
        <v>21</v>
      </c>
      <c r="I2581" s="19" t="s">
        <v>179</v>
      </c>
      <c r="J2581" s="19" t="str">
        <f>""</f>
        <v/>
      </c>
      <c r="K2581" s="19" t="str">
        <f>"PFES1162732881_0001"</f>
        <v>PFES1162732881_0001</v>
      </c>
      <c r="L2581" s="19">
        <v>1</v>
      </c>
      <c r="M2581" s="19">
        <v>2</v>
      </c>
    </row>
    <row r="2582" spans="1:13">
      <c r="A2582" s="6">
        <v>43854</v>
      </c>
      <c r="B2582" s="7">
        <v>0.52777777777777779</v>
      </c>
      <c r="C2582" s="19" t="str">
        <f>"FES1162732892"</f>
        <v>FES1162732892</v>
      </c>
      <c r="D2582" s="19" t="s">
        <v>19</v>
      </c>
      <c r="E2582" s="19" t="s">
        <v>967</v>
      </c>
      <c r="F2582" s="19" t="str">
        <f>"2170725369 "</f>
        <v xml:space="preserve">2170725369 </v>
      </c>
      <c r="G2582" s="19" t="str">
        <f t="shared" si="75"/>
        <v>ON1</v>
      </c>
      <c r="H2582" s="19" t="s">
        <v>21</v>
      </c>
      <c r="I2582" s="19" t="s">
        <v>968</v>
      </c>
      <c r="J2582" s="19" t="str">
        <f>""</f>
        <v/>
      </c>
      <c r="K2582" s="19" t="str">
        <f>"PFES1162732892_0001"</f>
        <v>PFES1162732892_0001</v>
      </c>
      <c r="L2582" s="19">
        <v>1</v>
      </c>
      <c r="M2582" s="19">
        <v>4</v>
      </c>
    </row>
    <row r="2583" spans="1:13">
      <c r="A2583" s="6">
        <v>43854</v>
      </c>
      <c r="B2583" s="7">
        <v>0.52777777777777779</v>
      </c>
      <c r="C2583" s="19" t="str">
        <f>"FES1162732883"</f>
        <v>FES1162732883</v>
      </c>
      <c r="D2583" s="19" t="s">
        <v>19</v>
      </c>
      <c r="E2583" s="19" t="s">
        <v>74</v>
      </c>
      <c r="F2583" s="19" t="str">
        <f>"2170722634 "</f>
        <v xml:space="preserve">2170722634 </v>
      </c>
      <c r="G2583" s="19" t="str">
        <f t="shared" si="75"/>
        <v>ON1</v>
      </c>
      <c r="H2583" s="19" t="s">
        <v>21</v>
      </c>
      <c r="I2583" s="19" t="s">
        <v>49</v>
      </c>
      <c r="J2583" s="19" t="str">
        <f>""</f>
        <v/>
      </c>
      <c r="K2583" s="19" t="str">
        <f>"PFES1162732883_0001"</f>
        <v>PFES1162732883_0001</v>
      </c>
      <c r="L2583" s="19">
        <v>1</v>
      </c>
      <c r="M2583" s="19">
        <v>15</v>
      </c>
    </row>
    <row r="2584" spans="1:13">
      <c r="A2584" s="6">
        <v>43854</v>
      </c>
      <c r="B2584" s="7">
        <v>0.52777777777777779</v>
      </c>
      <c r="C2584" s="19" t="str">
        <f>"FES1162732865"</f>
        <v>FES1162732865</v>
      </c>
      <c r="D2584" s="19" t="s">
        <v>19</v>
      </c>
      <c r="E2584" s="19" t="s">
        <v>796</v>
      </c>
      <c r="F2584" s="19" t="str">
        <f>"2170724257 "</f>
        <v xml:space="preserve">2170724257 </v>
      </c>
      <c r="G2584" s="19" t="str">
        <f t="shared" si="75"/>
        <v>ON1</v>
      </c>
      <c r="H2584" s="19" t="s">
        <v>21</v>
      </c>
      <c r="I2584" s="19" t="s">
        <v>165</v>
      </c>
      <c r="J2584" s="19" t="str">
        <f>""</f>
        <v/>
      </c>
      <c r="K2584" s="19" t="str">
        <f>"PFES1162732865_0001"</f>
        <v>PFES1162732865_0001</v>
      </c>
      <c r="L2584" s="19">
        <v>1</v>
      </c>
      <c r="M2584" s="19">
        <v>17</v>
      </c>
    </row>
    <row r="2585" spans="1:13">
      <c r="A2585" s="6">
        <v>43854</v>
      </c>
      <c r="B2585" s="7">
        <v>0.52708333333333335</v>
      </c>
      <c r="C2585" s="19" t="str">
        <f>"FES1162732885"</f>
        <v>FES1162732885</v>
      </c>
      <c r="D2585" s="19" t="s">
        <v>19</v>
      </c>
      <c r="E2585" s="19" t="s">
        <v>969</v>
      </c>
      <c r="F2585" s="19" t="str">
        <f>"2170725365 "</f>
        <v xml:space="preserve">2170725365 </v>
      </c>
      <c r="G2585" s="19" t="str">
        <f t="shared" si="75"/>
        <v>ON1</v>
      </c>
      <c r="H2585" s="19" t="s">
        <v>21</v>
      </c>
      <c r="I2585" s="19" t="s">
        <v>344</v>
      </c>
      <c r="J2585" s="19" t="str">
        <f>""</f>
        <v/>
      </c>
      <c r="K2585" s="19" t="str">
        <f>"PFES1162732885_0001"</f>
        <v>PFES1162732885_0001</v>
      </c>
      <c r="L2585" s="19">
        <v>1</v>
      </c>
      <c r="M2585" s="19">
        <v>5</v>
      </c>
    </row>
    <row r="2586" spans="1:13">
      <c r="A2586" s="6">
        <v>43854</v>
      </c>
      <c r="B2586" s="7">
        <v>0.52638888888888891</v>
      </c>
      <c r="C2586" s="19" t="str">
        <f>"FES1162732829"</f>
        <v>FES1162732829</v>
      </c>
      <c r="D2586" s="19" t="s">
        <v>19</v>
      </c>
      <c r="E2586" s="19" t="s">
        <v>970</v>
      </c>
      <c r="F2586" s="19" t="str">
        <f>"2170725056 "</f>
        <v xml:space="preserve">2170725056 </v>
      </c>
      <c r="G2586" s="19" t="str">
        <f>"DBC"</f>
        <v>DBC</v>
      </c>
      <c r="H2586" s="19" t="s">
        <v>21</v>
      </c>
      <c r="I2586" s="19" t="s">
        <v>137</v>
      </c>
      <c r="J2586" s="19" t="str">
        <f>""</f>
        <v/>
      </c>
      <c r="K2586" s="19" t="str">
        <f>"PFES1162732829_0001"</f>
        <v>PFES1162732829_0001</v>
      </c>
      <c r="L2586" s="19">
        <v>1</v>
      </c>
      <c r="M2586" s="19">
        <v>20</v>
      </c>
    </row>
    <row r="2587" spans="1:13">
      <c r="A2587" s="6">
        <v>43854</v>
      </c>
      <c r="B2587" s="7">
        <v>0.52152777777777781</v>
      </c>
      <c r="C2587" s="19" t="str">
        <f>"FES1162732978"</f>
        <v>FES1162732978</v>
      </c>
      <c r="D2587" s="19" t="s">
        <v>19</v>
      </c>
      <c r="E2587" s="19" t="s">
        <v>752</v>
      </c>
      <c r="F2587" s="19" t="str">
        <f>"2170725457 "</f>
        <v xml:space="preserve">2170725457 </v>
      </c>
      <c r="G2587" s="19" t="str">
        <f t="shared" ref="G2587:G2650" si="76">"ON1"</f>
        <v>ON1</v>
      </c>
      <c r="H2587" s="19" t="s">
        <v>21</v>
      </c>
      <c r="I2587" s="19" t="s">
        <v>31</v>
      </c>
      <c r="J2587" s="19" t="str">
        <f>""</f>
        <v/>
      </c>
      <c r="K2587" s="19" t="str">
        <f>"PFES1162732978_0001"</f>
        <v>PFES1162732978_0001</v>
      </c>
      <c r="L2587" s="19">
        <v>1</v>
      </c>
      <c r="M2587" s="19">
        <v>1</v>
      </c>
    </row>
    <row r="2588" spans="1:13">
      <c r="A2588" s="6">
        <v>43854</v>
      </c>
      <c r="B2588" s="7">
        <v>0.52013888888888882</v>
      </c>
      <c r="C2588" s="19" t="str">
        <f>"FES1162732966"</f>
        <v>FES1162732966</v>
      </c>
      <c r="D2588" s="19" t="s">
        <v>19</v>
      </c>
      <c r="E2588" s="19" t="s">
        <v>231</v>
      </c>
      <c r="F2588" s="19" t="str">
        <f>"2170725445 "</f>
        <v xml:space="preserve">2170725445 </v>
      </c>
      <c r="G2588" s="19" t="str">
        <f t="shared" si="76"/>
        <v>ON1</v>
      </c>
      <c r="H2588" s="19" t="s">
        <v>21</v>
      </c>
      <c r="I2588" s="19" t="s">
        <v>31</v>
      </c>
      <c r="J2588" s="19" t="str">
        <f>""</f>
        <v/>
      </c>
      <c r="K2588" s="19" t="str">
        <f>"PFES1162732966_0001"</f>
        <v>PFES1162732966_0001</v>
      </c>
      <c r="L2588" s="19">
        <v>1</v>
      </c>
      <c r="M2588" s="19">
        <v>1</v>
      </c>
    </row>
    <row r="2589" spans="1:13">
      <c r="A2589" s="6">
        <v>43854</v>
      </c>
      <c r="B2589" s="7">
        <v>0.51874999999999993</v>
      </c>
      <c r="C2589" s="19" t="str">
        <f>"FES1162732935"</f>
        <v>FES1162732935</v>
      </c>
      <c r="D2589" s="19" t="s">
        <v>19</v>
      </c>
      <c r="E2589" s="19" t="s">
        <v>240</v>
      </c>
      <c r="F2589" s="19" t="str">
        <f>"2170725407 "</f>
        <v xml:space="preserve">2170725407 </v>
      </c>
      <c r="G2589" s="19" t="str">
        <f t="shared" si="76"/>
        <v>ON1</v>
      </c>
      <c r="H2589" s="19" t="s">
        <v>21</v>
      </c>
      <c r="I2589" s="19" t="s">
        <v>241</v>
      </c>
      <c r="J2589" s="19" t="str">
        <f>""</f>
        <v/>
      </c>
      <c r="K2589" s="19" t="str">
        <f>"PFES1162732935_0001"</f>
        <v>PFES1162732935_0001</v>
      </c>
      <c r="L2589" s="19">
        <v>1</v>
      </c>
      <c r="M2589" s="19">
        <v>1</v>
      </c>
    </row>
    <row r="2590" spans="1:13">
      <c r="A2590" s="6">
        <v>43854</v>
      </c>
      <c r="B2590" s="7">
        <v>0.51736111111111105</v>
      </c>
      <c r="C2590" s="19" t="str">
        <f>"FES1162732924"</f>
        <v>FES1162732924</v>
      </c>
      <c r="D2590" s="19" t="s">
        <v>19</v>
      </c>
      <c r="E2590" s="19" t="s">
        <v>876</v>
      </c>
      <c r="F2590" s="19" t="str">
        <f>"2170725396 "</f>
        <v xml:space="preserve">2170725396 </v>
      </c>
      <c r="G2590" s="19" t="str">
        <f t="shared" si="76"/>
        <v>ON1</v>
      </c>
      <c r="H2590" s="19" t="s">
        <v>21</v>
      </c>
      <c r="I2590" s="19" t="s">
        <v>877</v>
      </c>
      <c r="J2590" s="19" t="str">
        <f>""</f>
        <v/>
      </c>
      <c r="K2590" s="19" t="str">
        <f>"PFES1162732924_0001"</f>
        <v>PFES1162732924_0001</v>
      </c>
      <c r="L2590" s="19">
        <v>1</v>
      </c>
      <c r="M2590" s="19">
        <v>1</v>
      </c>
    </row>
    <row r="2591" spans="1:13">
      <c r="A2591" s="6">
        <v>43854</v>
      </c>
      <c r="B2591" s="7">
        <v>0.51527777777777783</v>
      </c>
      <c r="C2591" s="19" t="str">
        <f>"FES1162732954"</f>
        <v>FES1162732954</v>
      </c>
      <c r="D2591" s="19" t="s">
        <v>19</v>
      </c>
      <c r="E2591" s="19" t="s">
        <v>380</v>
      </c>
      <c r="F2591" s="19" t="str">
        <f>"2170725429 "</f>
        <v xml:space="preserve">2170725429 </v>
      </c>
      <c r="G2591" s="19" t="str">
        <f t="shared" si="76"/>
        <v>ON1</v>
      </c>
      <c r="H2591" s="19" t="s">
        <v>21</v>
      </c>
      <c r="I2591" s="19" t="s">
        <v>381</v>
      </c>
      <c r="J2591" s="19" t="str">
        <f>""</f>
        <v/>
      </c>
      <c r="K2591" s="19" t="str">
        <f>"PFES1162732954_0001"</f>
        <v>PFES1162732954_0001</v>
      </c>
      <c r="L2591" s="19">
        <v>1</v>
      </c>
      <c r="M2591" s="19">
        <v>1</v>
      </c>
    </row>
    <row r="2592" spans="1:13">
      <c r="A2592" s="6">
        <v>43854</v>
      </c>
      <c r="B2592" s="7">
        <v>0.51041666666666663</v>
      </c>
      <c r="C2592" s="19" t="str">
        <f>"FES1162732968"</f>
        <v>FES1162732968</v>
      </c>
      <c r="D2592" s="19" t="s">
        <v>19</v>
      </c>
      <c r="E2592" s="19" t="s">
        <v>374</v>
      </c>
      <c r="F2592" s="19" t="str">
        <f>"2170725428 "</f>
        <v xml:space="preserve">2170725428 </v>
      </c>
      <c r="G2592" s="19" t="str">
        <f t="shared" si="76"/>
        <v>ON1</v>
      </c>
      <c r="H2592" s="19" t="s">
        <v>21</v>
      </c>
      <c r="I2592" s="19" t="s">
        <v>375</v>
      </c>
      <c r="J2592" s="19" t="str">
        <f>""</f>
        <v/>
      </c>
      <c r="K2592" s="19" t="str">
        <f>"PFES1162732968_0001"</f>
        <v>PFES1162732968_0001</v>
      </c>
      <c r="L2592" s="19">
        <v>1</v>
      </c>
      <c r="M2592" s="19">
        <v>1</v>
      </c>
    </row>
    <row r="2593" spans="1:13">
      <c r="A2593" s="6">
        <v>43854</v>
      </c>
      <c r="B2593" s="7">
        <v>0.50972222222222219</v>
      </c>
      <c r="C2593" s="19" t="str">
        <f>"FES1162732940"</f>
        <v>FES1162732940</v>
      </c>
      <c r="D2593" s="19" t="s">
        <v>19</v>
      </c>
      <c r="E2593" s="19" t="s">
        <v>923</v>
      </c>
      <c r="F2593" s="19" t="str">
        <f>"2170725413 "</f>
        <v xml:space="preserve">2170725413 </v>
      </c>
      <c r="G2593" s="19" t="str">
        <f t="shared" si="76"/>
        <v>ON1</v>
      </c>
      <c r="H2593" s="19" t="s">
        <v>21</v>
      </c>
      <c r="I2593" s="19" t="s">
        <v>416</v>
      </c>
      <c r="J2593" s="19" t="str">
        <f>""</f>
        <v/>
      </c>
      <c r="K2593" s="19" t="str">
        <f>"PFES1162732940_0001"</f>
        <v>PFES1162732940_0001</v>
      </c>
      <c r="L2593" s="19">
        <v>1</v>
      </c>
      <c r="M2593" s="19">
        <v>1</v>
      </c>
    </row>
    <row r="2594" spans="1:13">
      <c r="A2594" s="6">
        <v>43854</v>
      </c>
      <c r="B2594" s="7">
        <v>0.50763888888888886</v>
      </c>
      <c r="C2594" s="19" t="str">
        <f>"FES1162732872"</f>
        <v>FES1162732872</v>
      </c>
      <c r="D2594" s="19" t="s">
        <v>19</v>
      </c>
      <c r="E2594" s="19" t="s">
        <v>352</v>
      </c>
      <c r="F2594" s="19" t="str">
        <f>"2170725348 "</f>
        <v xml:space="preserve">2170725348 </v>
      </c>
      <c r="G2594" s="19" t="str">
        <f t="shared" si="76"/>
        <v>ON1</v>
      </c>
      <c r="H2594" s="19" t="s">
        <v>21</v>
      </c>
      <c r="I2594" s="19" t="s">
        <v>114</v>
      </c>
      <c r="J2594" s="19" t="str">
        <f>""</f>
        <v/>
      </c>
      <c r="K2594" s="19" t="str">
        <f>"PFES1162732872_0001"</f>
        <v>PFES1162732872_0001</v>
      </c>
      <c r="L2594" s="19">
        <v>1</v>
      </c>
      <c r="M2594" s="19">
        <v>1</v>
      </c>
    </row>
    <row r="2595" spans="1:13">
      <c r="A2595" s="6">
        <v>43854</v>
      </c>
      <c r="B2595" s="7">
        <v>0.50694444444444442</v>
      </c>
      <c r="C2595" s="19" t="str">
        <f>"FES1162732899"</f>
        <v>FES1162732899</v>
      </c>
      <c r="D2595" s="19" t="s">
        <v>19</v>
      </c>
      <c r="E2595" s="19" t="s">
        <v>971</v>
      </c>
      <c r="F2595" s="19" t="str">
        <f>"2170725373 "</f>
        <v xml:space="preserve">2170725373 </v>
      </c>
      <c r="G2595" s="19" t="str">
        <f t="shared" si="76"/>
        <v>ON1</v>
      </c>
      <c r="H2595" s="19" t="s">
        <v>21</v>
      </c>
      <c r="I2595" s="19" t="s">
        <v>584</v>
      </c>
      <c r="J2595" s="19" t="str">
        <f>""</f>
        <v/>
      </c>
      <c r="K2595" s="19" t="str">
        <f>"PFES1162732899_0001"</f>
        <v>PFES1162732899_0001</v>
      </c>
      <c r="L2595" s="19">
        <v>1</v>
      </c>
      <c r="M2595" s="19">
        <v>1</v>
      </c>
    </row>
    <row r="2596" spans="1:13">
      <c r="A2596" s="6">
        <v>43854</v>
      </c>
      <c r="B2596" s="7">
        <v>0.49652777777777773</v>
      </c>
      <c r="C2596" s="19" t="str">
        <f>"FES1162732863"</f>
        <v>FES1162732863</v>
      </c>
      <c r="D2596" s="19" t="s">
        <v>19</v>
      </c>
      <c r="E2596" s="19" t="s">
        <v>151</v>
      </c>
      <c r="F2596" s="19" t="str">
        <f>"2170723334 "</f>
        <v xml:space="preserve">2170723334 </v>
      </c>
      <c r="G2596" s="19" t="str">
        <f t="shared" si="76"/>
        <v>ON1</v>
      </c>
      <c r="H2596" s="19" t="s">
        <v>21</v>
      </c>
      <c r="I2596" s="19" t="s">
        <v>152</v>
      </c>
      <c r="J2596" s="19" t="str">
        <f>""</f>
        <v/>
      </c>
      <c r="K2596" s="19" t="str">
        <f>"PFES1162732863_0001"</f>
        <v>PFES1162732863_0001</v>
      </c>
      <c r="L2596" s="19">
        <v>1</v>
      </c>
      <c r="M2596" s="19">
        <v>1</v>
      </c>
    </row>
    <row r="2597" spans="1:13">
      <c r="A2597" s="6">
        <v>43854</v>
      </c>
      <c r="B2597" s="7">
        <v>0.49583333333333335</v>
      </c>
      <c r="C2597" s="19" t="str">
        <f>"FES1162732876"</f>
        <v>FES1162732876</v>
      </c>
      <c r="D2597" s="19" t="s">
        <v>19</v>
      </c>
      <c r="E2597" s="19" t="s">
        <v>972</v>
      </c>
      <c r="F2597" s="19" t="str">
        <f>"2170725354 "</f>
        <v xml:space="preserve">2170725354 </v>
      </c>
      <c r="G2597" s="19" t="str">
        <f t="shared" si="76"/>
        <v>ON1</v>
      </c>
      <c r="H2597" s="19" t="s">
        <v>21</v>
      </c>
      <c r="I2597" s="19" t="s">
        <v>158</v>
      </c>
      <c r="J2597" s="19" t="str">
        <f>""</f>
        <v/>
      </c>
      <c r="K2597" s="19" t="str">
        <f>"PFES1162732876_0001"</f>
        <v>PFES1162732876_0001</v>
      </c>
      <c r="L2597" s="19">
        <v>1</v>
      </c>
      <c r="M2597" s="19">
        <v>1</v>
      </c>
    </row>
    <row r="2598" spans="1:13">
      <c r="A2598" s="6">
        <v>43854</v>
      </c>
      <c r="B2598" s="7">
        <v>0.49513888888888885</v>
      </c>
      <c r="C2598" s="19" t="str">
        <f>"FES1162732952"</f>
        <v>FES1162732952</v>
      </c>
      <c r="D2598" s="19" t="s">
        <v>19</v>
      </c>
      <c r="E2598" s="19" t="s">
        <v>142</v>
      </c>
      <c r="F2598" s="19" t="str">
        <f>"2170725427 "</f>
        <v xml:space="preserve">2170725427 </v>
      </c>
      <c r="G2598" s="19" t="str">
        <f t="shared" si="76"/>
        <v>ON1</v>
      </c>
      <c r="H2598" s="19" t="s">
        <v>21</v>
      </c>
      <c r="I2598" s="19" t="s">
        <v>123</v>
      </c>
      <c r="J2598" s="19" t="str">
        <f>""</f>
        <v/>
      </c>
      <c r="K2598" s="19" t="str">
        <f>"PFES1162732952_0001"</f>
        <v>PFES1162732952_0001</v>
      </c>
      <c r="L2598" s="19">
        <v>1</v>
      </c>
      <c r="M2598" s="19">
        <v>1</v>
      </c>
    </row>
    <row r="2599" spans="1:13">
      <c r="A2599" s="6">
        <v>43854</v>
      </c>
      <c r="B2599" s="7">
        <v>0.49305555555555558</v>
      </c>
      <c r="C2599" s="19" t="str">
        <f>"009935712118"</f>
        <v>009935712118</v>
      </c>
      <c r="D2599" s="19" t="s">
        <v>19</v>
      </c>
      <c r="E2599" s="19" t="s">
        <v>101</v>
      </c>
      <c r="F2599" s="19" t="str">
        <f>"1162729249 "</f>
        <v xml:space="preserve">1162729249 </v>
      </c>
      <c r="G2599" s="19" t="str">
        <f t="shared" si="76"/>
        <v>ON1</v>
      </c>
      <c r="H2599" s="19" t="s">
        <v>21</v>
      </c>
      <c r="I2599" s="19" t="s">
        <v>102</v>
      </c>
      <c r="J2599" s="19" t="str">
        <f>"RESEND PARCEL"</f>
        <v>RESEND PARCEL</v>
      </c>
      <c r="K2599" s="19" t="str">
        <f>"P009935712118_0001"</f>
        <v>P009935712118_0001</v>
      </c>
      <c r="L2599" s="19">
        <v>1</v>
      </c>
      <c r="M2599" s="19">
        <v>1</v>
      </c>
    </row>
    <row r="2600" spans="1:13">
      <c r="A2600" s="6">
        <v>43854</v>
      </c>
      <c r="B2600" s="7">
        <v>0.49236111111111108</v>
      </c>
      <c r="C2600" s="19" t="str">
        <f>"FES1162732873"</f>
        <v>FES1162732873</v>
      </c>
      <c r="D2600" s="19" t="s">
        <v>19</v>
      </c>
      <c r="E2600" s="19" t="s">
        <v>248</v>
      </c>
      <c r="F2600" s="19" t="str">
        <f>"2170725350 "</f>
        <v xml:space="preserve">2170725350 </v>
      </c>
      <c r="G2600" s="19" t="str">
        <f t="shared" si="76"/>
        <v>ON1</v>
      </c>
      <c r="H2600" s="19" t="s">
        <v>21</v>
      </c>
      <c r="I2600" s="19" t="s">
        <v>247</v>
      </c>
      <c r="J2600" s="19" t="str">
        <f>""</f>
        <v/>
      </c>
      <c r="K2600" s="19" t="str">
        <f>"PFES1162732873_0001"</f>
        <v>PFES1162732873_0001</v>
      </c>
      <c r="L2600" s="19">
        <v>1</v>
      </c>
      <c r="M2600" s="19">
        <v>1</v>
      </c>
    </row>
    <row r="2601" spans="1:13">
      <c r="A2601" s="6">
        <v>43854</v>
      </c>
      <c r="B2601" s="7">
        <v>0.4916666666666667</v>
      </c>
      <c r="C2601" s="19" t="str">
        <f>"FES1162732864"</f>
        <v>FES1162732864</v>
      </c>
      <c r="D2601" s="19" t="s">
        <v>19</v>
      </c>
      <c r="E2601" s="19" t="s">
        <v>208</v>
      </c>
      <c r="F2601" s="19" t="str">
        <f>"2170724008 "</f>
        <v xml:space="preserve">2170724008 </v>
      </c>
      <c r="G2601" s="19" t="str">
        <f t="shared" si="76"/>
        <v>ON1</v>
      </c>
      <c r="H2601" s="19" t="s">
        <v>21</v>
      </c>
      <c r="I2601" s="19" t="s">
        <v>209</v>
      </c>
      <c r="J2601" s="19" t="str">
        <f>""</f>
        <v/>
      </c>
      <c r="K2601" s="19" t="str">
        <f>"PFES1162732864_0001"</f>
        <v>PFES1162732864_0001</v>
      </c>
      <c r="L2601" s="19">
        <v>1</v>
      </c>
      <c r="M2601" s="19">
        <v>1</v>
      </c>
    </row>
    <row r="2602" spans="1:13">
      <c r="A2602" s="6">
        <v>43854</v>
      </c>
      <c r="B2602" s="7">
        <v>0.49027777777777781</v>
      </c>
      <c r="C2602" s="19" t="str">
        <f>"FES1162732867"</f>
        <v>FES1162732867</v>
      </c>
      <c r="D2602" s="19" t="s">
        <v>19</v>
      </c>
      <c r="E2602" s="19" t="s">
        <v>29</v>
      </c>
      <c r="F2602" s="19" t="str">
        <f>"2170724786 "</f>
        <v xml:space="preserve">2170724786 </v>
      </c>
      <c r="G2602" s="19" t="str">
        <f t="shared" si="76"/>
        <v>ON1</v>
      </c>
      <c r="H2602" s="19" t="s">
        <v>21</v>
      </c>
      <c r="I2602" s="19" t="s">
        <v>22</v>
      </c>
      <c r="J2602" s="19" t="str">
        <f>""</f>
        <v/>
      </c>
      <c r="K2602" s="19" t="str">
        <f>"PFES1162732867_0001"</f>
        <v>PFES1162732867_0001</v>
      </c>
      <c r="L2602" s="19">
        <v>1</v>
      </c>
      <c r="M2602" s="19">
        <v>1</v>
      </c>
    </row>
    <row r="2603" spans="1:13">
      <c r="A2603" s="6">
        <v>43854</v>
      </c>
      <c r="B2603" s="7">
        <v>0.48958333333333331</v>
      </c>
      <c r="C2603" s="19" t="str">
        <f>"FES1162732880"</f>
        <v>FES1162732880</v>
      </c>
      <c r="D2603" s="19" t="s">
        <v>19</v>
      </c>
      <c r="E2603" s="19" t="s">
        <v>132</v>
      </c>
      <c r="F2603" s="19" t="str">
        <f>"2170725360 "</f>
        <v xml:space="preserve">2170725360 </v>
      </c>
      <c r="G2603" s="19" t="str">
        <f t="shared" si="76"/>
        <v>ON1</v>
      </c>
      <c r="H2603" s="19" t="s">
        <v>21</v>
      </c>
      <c r="I2603" s="19" t="s">
        <v>133</v>
      </c>
      <c r="J2603" s="19" t="str">
        <f>""</f>
        <v/>
      </c>
      <c r="K2603" s="19" t="str">
        <f>"PFES1162732880_0001"</f>
        <v>PFES1162732880_0001</v>
      </c>
      <c r="L2603" s="19">
        <v>1</v>
      </c>
      <c r="M2603" s="19">
        <v>1</v>
      </c>
    </row>
    <row r="2604" spans="1:13">
      <c r="A2604" s="6">
        <v>43854</v>
      </c>
      <c r="B2604" s="7">
        <v>0.48888888888888887</v>
      </c>
      <c r="C2604" s="19" t="str">
        <f>"FES1162732860"</f>
        <v>FES1162732860</v>
      </c>
      <c r="D2604" s="19" t="s">
        <v>19</v>
      </c>
      <c r="E2604" s="19" t="s">
        <v>802</v>
      </c>
      <c r="F2604" s="19" t="str">
        <f>"2170725338 "</f>
        <v xml:space="preserve">2170725338 </v>
      </c>
      <c r="G2604" s="19" t="str">
        <f t="shared" si="76"/>
        <v>ON1</v>
      </c>
      <c r="H2604" s="19" t="s">
        <v>21</v>
      </c>
      <c r="I2604" s="19" t="s">
        <v>803</v>
      </c>
      <c r="J2604" s="19" t="str">
        <f>""</f>
        <v/>
      </c>
      <c r="K2604" s="19" t="str">
        <f>"PFES1162732860_0001"</f>
        <v>PFES1162732860_0001</v>
      </c>
      <c r="L2604" s="19">
        <v>1</v>
      </c>
      <c r="M2604" s="19">
        <v>1</v>
      </c>
    </row>
    <row r="2605" spans="1:13">
      <c r="A2605" s="6">
        <v>43854</v>
      </c>
      <c r="B2605" s="7">
        <v>0.4861111111111111</v>
      </c>
      <c r="C2605" s="19" t="str">
        <f>"FES1162732934"</f>
        <v>FES1162732934</v>
      </c>
      <c r="D2605" s="19" t="s">
        <v>19</v>
      </c>
      <c r="E2605" s="19" t="s">
        <v>157</v>
      </c>
      <c r="F2605" s="19" t="str">
        <f>"2170725406 "</f>
        <v xml:space="preserve">2170725406 </v>
      </c>
      <c r="G2605" s="19" t="str">
        <f t="shared" si="76"/>
        <v>ON1</v>
      </c>
      <c r="H2605" s="19" t="s">
        <v>21</v>
      </c>
      <c r="I2605" s="19" t="s">
        <v>158</v>
      </c>
      <c r="J2605" s="19" t="str">
        <f>""</f>
        <v/>
      </c>
      <c r="K2605" s="19" t="str">
        <f>"PFES1162732934_0001"</f>
        <v>PFES1162732934_0001</v>
      </c>
      <c r="L2605" s="19">
        <v>1</v>
      </c>
      <c r="M2605" s="19">
        <v>1</v>
      </c>
    </row>
    <row r="2606" spans="1:13">
      <c r="A2606" s="6">
        <v>43854</v>
      </c>
      <c r="B2606" s="7">
        <v>0.48541666666666666</v>
      </c>
      <c r="C2606" s="19" t="str">
        <f>"FES1162732909"</f>
        <v>FES1162732909</v>
      </c>
      <c r="D2606" s="19" t="s">
        <v>19</v>
      </c>
      <c r="E2606" s="19" t="s">
        <v>101</v>
      </c>
      <c r="F2606" s="19" t="str">
        <f>"2170725378 "</f>
        <v xml:space="preserve">2170725378 </v>
      </c>
      <c r="G2606" s="19" t="str">
        <f t="shared" si="76"/>
        <v>ON1</v>
      </c>
      <c r="H2606" s="19" t="s">
        <v>21</v>
      </c>
      <c r="I2606" s="19" t="s">
        <v>102</v>
      </c>
      <c r="J2606" s="19" t="str">
        <f>""</f>
        <v/>
      </c>
      <c r="K2606" s="19" t="str">
        <f>"PFES1162732909_0001"</f>
        <v>PFES1162732909_0001</v>
      </c>
      <c r="L2606" s="19">
        <v>1</v>
      </c>
      <c r="M2606" s="19">
        <v>1</v>
      </c>
    </row>
    <row r="2607" spans="1:13">
      <c r="A2607" s="6">
        <v>43854</v>
      </c>
      <c r="B2607" s="7">
        <v>0.48472222222222222</v>
      </c>
      <c r="C2607" s="19" t="str">
        <f>"FES1162732922"</f>
        <v>FES1162732922</v>
      </c>
      <c r="D2607" s="19" t="s">
        <v>19</v>
      </c>
      <c r="E2607" s="19" t="s">
        <v>805</v>
      </c>
      <c r="F2607" s="19" t="str">
        <f>"2170725394 "</f>
        <v xml:space="preserve">2170725394 </v>
      </c>
      <c r="G2607" s="19" t="str">
        <f t="shared" si="76"/>
        <v>ON1</v>
      </c>
      <c r="H2607" s="19" t="s">
        <v>21</v>
      </c>
      <c r="I2607" s="19" t="s">
        <v>183</v>
      </c>
      <c r="J2607" s="19" t="str">
        <f>""</f>
        <v/>
      </c>
      <c r="K2607" s="19" t="str">
        <f>"PFES1162732922_0001"</f>
        <v>PFES1162732922_0001</v>
      </c>
      <c r="L2607" s="19">
        <v>1</v>
      </c>
      <c r="M2607" s="19">
        <v>1</v>
      </c>
    </row>
    <row r="2608" spans="1:13">
      <c r="A2608" s="6">
        <v>43854</v>
      </c>
      <c r="B2608" s="7">
        <v>0.47986111111111113</v>
      </c>
      <c r="C2608" s="19" t="str">
        <f>"FES1162732914"</f>
        <v>FES1162732914</v>
      </c>
      <c r="D2608" s="19" t="s">
        <v>19</v>
      </c>
      <c r="E2608" s="19" t="s">
        <v>216</v>
      </c>
      <c r="F2608" s="19" t="str">
        <f>"2170725146 "</f>
        <v xml:space="preserve">2170725146 </v>
      </c>
      <c r="G2608" s="19" t="str">
        <f t="shared" si="76"/>
        <v>ON1</v>
      </c>
      <c r="H2608" s="19" t="s">
        <v>21</v>
      </c>
      <c r="I2608" s="19" t="s">
        <v>217</v>
      </c>
      <c r="J2608" s="19" t="str">
        <f>""</f>
        <v/>
      </c>
      <c r="K2608" s="19" t="str">
        <f>"PFES1162732914_0001"</f>
        <v>PFES1162732914_0001</v>
      </c>
      <c r="L2608" s="19">
        <v>1</v>
      </c>
      <c r="M2608" s="19">
        <v>1</v>
      </c>
    </row>
    <row r="2609" spans="1:13">
      <c r="A2609" s="6">
        <v>43854</v>
      </c>
      <c r="B2609" s="7">
        <v>0.47916666666666669</v>
      </c>
      <c r="C2609" s="19" t="str">
        <f>"FES1162732938"</f>
        <v>FES1162732938</v>
      </c>
      <c r="D2609" s="19" t="s">
        <v>19</v>
      </c>
      <c r="E2609" s="19" t="s">
        <v>180</v>
      </c>
      <c r="F2609" s="19" t="str">
        <f>"2170725411 "</f>
        <v xml:space="preserve">2170725411 </v>
      </c>
      <c r="G2609" s="19" t="str">
        <f t="shared" si="76"/>
        <v>ON1</v>
      </c>
      <c r="H2609" s="19" t="s">
        <v>21</v>
      </c>
      <c r="I2609" s="19" t="s">
        <v>28</v>
      </c>
      <c r="J2609" s="19" t="str">
        <f>""</f>
        <v/>
      </c>
      <c r="K2609" s="19" t="str">
        <f>"PFES1162732938_0001"</f>
        <v>PFES1162732938_0001</v>
      </c>
      <c r="L2609" s="19">
        <v>1</v>
      </c>
      <c r="M2609" s="19">
        <v>1</v>
      </c>
    </row>
    <row r="2610" spans="1:13">
      <c r="A2610" s="6">
        <v>43854</v>
      </c>
      <c r="B2610" s="7">
        <v>0.4777777777777778</v>
      </c>
      <c r="C2610" s="19" t="str">
        <f>"FES1162732944"</f>
        <v>FES1162732944</v>
      </c>
      <c r="D2610" s="19" t="s">
        <v>19</v>
      </c>
      <c r="E2610" s="19" t="s">
        <v>378</v>
      </c>
      <c r="F2610" s="19" t="str">
        <f>"2170725420 "</f>
        <v xml:space="preserve">2170725420 </v>
      </c>
      <c r="G2610" s="19" t="str">
        <f t="shared" si="76"/>
        <v>ON1</v>
      </c>
      <c r="H2610" s="19" t="s">
        <v>21</v>
      </c>
      <c r="I2610" s="19" t="s">
        <v>507</v>
      </c>
      <c r="J2610" s="19" t="str">
        <f>""</f>
        <v/>
      </c>
      <c r="K2610" s="19" t="str">
        <f>"PFES1162732944_0001"</f>
        <v>PFES1162732944_0001</v>
      </c>
      <c r="L2610" s="19">
        <v>1</v>
      </c>
      <c r="M2610" s="19">
        <v>1</v>
      </c>
    </row>
    <row r="2611" spans="1:13">
      <c r="A2611" s="6">
        <v>43854</v>
      </c>
      <c r="B2611" s="7">
        <v>0.47638888888888892</v>
      </c>
      <c r="C2611" s="19" t="str">
        <f>"FES1162732926"</f>
        <v>FES1162732926</v>
      </c>
      <c r="D2611" s="19" t="s">
        <v>19</v>
      </c>
      <c r="E2611" s="19" t="s">
        <v>314</v>
      </c>
      <c r="F2611" s="19" t="str">
        <f>"2170725398 "</f>
        <v xml:space="preserve">2170725398 </v>
      </c>
      <c r="G2611" s="19" t="str">
        <f t="shared" si="76"/>
        <v>ON1</v>
      </c>
      <c r="H2611" s="19" t="s">
        <v>21</v>
      </c>
      <c r="I2611" s="19" t="s">
        <v>315</v>
      </c>
      <c r="J2611" s="19" t="str">
        <f>""</f>
        <v/>
      </c>
      <c r="K2611" s="19" t="str">
        <f>"PFES1162732926_0001"</f>
        <v>PFES1162732926_0001</v>
      </c>
      <c r="L2611" s="19">
        <v>1</v>
      </c>
      <c r="M2611" s="19">
        <v>1</v>
      </c>
    </row>
    <row r="2612" spans="1:13">
      <c r="A2612" s="6">
        <v>43854</v>
      </c>
      <c r="B2612" s="7">
        <v>0.47500000000000003</v>
      </c>
      <c r="C2612" s="19" t="str">
        <f>"FES1162732947"</f>
        <v>FES1162732947</v>
      </c>
      <c r="D2612" s="19" t="s">
        <v>19</v>
      </c>
      <c r="E2612" s="19" t="s">
        <v>261</v>
      </c>
      <c r="F2612" s="19" t="str">
        <f>"2170725423 "</f>
        <v xml:space="preserve">2170725423 </v>
      </c>
      <c r="G2612" s="19" t="str">
        <f t="shared" si="76"/>
        <v>ON1</v>
      </c>
      <c r="H2612" s="19" t="s">
        <v>21</v>
      </c>
      <c r="I2612" s="19" t="s">
        <v>152</v>
      </c>
      <c r="J2612" s="19" t="str">
        <f>""</f>
        <v/>
      </c>
      <c r="K2612" s="19" t="str">
        <f>"PFES1162732947_0001"</f>
        <v>PFES1162732947_0001</v>
      </c>
      <c r="L2612" s="19">
        <v>1</v>
      </c>
      <c r="M2612" s="19">
        <v>1</v>
      </c>
    </row>
    <row r="2613" spans="1:13">
      <c r="A2613" s="6">
        <v>43857</v>
      </c>
      <c r="B2613" s="7">
        <v>0.68402777777777779</v>
      </c>
      <c r="C2613" s="20" t="str">
        <f>"FES1162733215"</f>
        <v>FES1162733215</v>
      </c>
      <c r="D2613" s="20" t="s">
        <v>19</v>
      </c>
      <c r="E2613" s="20" t="s">
        <v>973</v>
      </c>
      <c r="F2613" s="20" t="str">
        <f>"2170725737 "</f>
        <v xml:space="preserve">2170725737 </v>
      </c>
      <c r="G2613" s="20" t="str">
        <f t="shared" si="76"/>
        <v>ON1</v>
      </c>
      <c r="H2613" s="20" t="s">
        <v>21</v>
      </c>
      <c r="I2613" s="20" t="s">
        <v>135</v>
      </c>
      <c r="J2613" s="20" t="str">
        <f>""</f>
        <v/>
      </c>
      <c r="K2613" s="20" t="str">
        <f>"PFES1162733215_0001"</f>
        <v>PFES1162733215_0001</v>
      </c>
      <c r="L2613" s="20">
        <v>1</v>
      </c>
      <c r="M2613" s="20">
        <v>6</v>
      </c>
    </row>
    <row r="2614" spans="1:13">
      <c r="A2614" s="6">
        <v>43857</v>
      </c>
      <c r="B2614" s="7">
        <v>0.68194444444444446</v>
      </c>
      <c r="C2614" s="20" t="str">
        <f>"FES1162733210"</f>
        <v>FES1162733210</v>
      </c>
      <c r="D2614" s="20" t="s">
        <v>19</v>
      </c>
      <c r="E2614" s="20" t="s">
        <v>343</v>
      </c>
      <c r="F2614" s="20" t="str">
        <f>"2170725494 "</f>
        <v xml:space="preserve">2170725494 </v>
      </c>
      <c r="G2614" s="20" t="str">
        <f t="shared" si="76"/>
        <v>ON1</v>
      </c>
      <c r="H2614" s="20" t="s">
        <v>21</v>
      </c>
      <c r="I2614" s="20" t="s">
        <v>344</v>
      </c>
      <c r="J2614" s="20" t="str">
        <f>""</f>
        <v/>
      </c>
      <c r="K2614" s="20" t="str">
        <f>"PFES1162733210_0001"</f>
        <v>PFES1162733210_0001</v>
      </c>
      <c r="L2614" s="20">
        <v>1</v>
      </c>
      <c r="M2614" s="20">
        <v>1</v>
      </c>
    </row>
    <row r="2615" spans="1:13">
      <c r="A2615" s="6">
        <v>43857</v>
      </c>
      <c r="B2615" s="7">
        <v>0.68125000000000002</v>
      </c>
      <c r="C2615" s="20" t="str">
        <f>"FES1162733206"</f>
        <v>FES1162733206</v>
      </c>
      <c r="D2615" s="20" t="s">
        <v>19</v>
      </c>
      <c r="E2615" s="20" t="s">
        <v>87</v>
      </c>
      <c r="F2615" s="20" t="str">
        <f>"2170725346 "</f>
        <v xml:space="preserve">2170725346 </v>
      </c>
      <c r="G2615" s="20" t="str">
        <f t="shared" si="76"/>
        <v>ON1</v>
      </c>
      <c r="H2615" s="20" t="s">
        <v>21</v>
      </c>
      <c r="I2615" s="20" t="s">
        <v>88</v>
      </c>
      <c r="J2615" s="20" t="str">
        <f>""</f>
        <v/>
      </c>
      <c r="K2615" s="20" t="str">
        <f>"PFES1162733206_0001"</f>
        <v>PFES1162733206_0001</v>
      </c>
      <c r="L2615" s="20">
        <v>1</v>
      </c>
      <c r="M2615" s="20">
        <v>7</v>
      </c>
    </row>
    <row r="2616" spans="1:13">
      <c r="A2616" s="6">
        <v>43857</v>
      </c>
      <c r="B2616" s="7">
        <v>0.68055555555555547</v>
      </c>
      <c r="C2616" s="20" t="str">
        <f>"FES1162733209"</f>
        <v>FES1162733209</v>
      </c>
      <c r="D2616" s="20" t="s">
        <v>19</v>
      </c>
      <c r="E2616" s="20" t="s">
        <v>374</v>
      </c>
      <c r="F2616" s="20" t="str">
        <f>"2170725430 "</f>
        <v xml:space="preserve">2170725430 </v>
      </c>
      <c r="G2616" s="20" t="str">
        <f t="shared" si="76"/>
        <v>ON1</v>
      </c>
      <c r="H2616" s="20" t="s">
        <v>21</v>
      </c>
      <c r="I2616" s="20" t="s">
        <v>375</v>
      </c>
      <c r="J2616" s="20" t="str">
        <f>""</f>
        <v/>
      </c>
      <c r="K2616" s="20" t="str">
        <f>"PFES1162733209_0001"</f>
        <v>PFES1162733209_0001</v>
      </c>
      <c r="L2616" s="20">
        <v>1</v>
      </c>
      <c r="M2616" s="20">
        <v>1</v>
      </c>
    </row>
    <row r="2617" spans="1:13">
      <c r="A2617" s="6">
        <v>43857</v>
      </c>
      <c r="B2617" s="7">
        <v>0.68055555555555547</v>
      </c>
      <c r="C2617" s="20" t="str">
        <f>"FES1162733205"</f>
        <v>FES1162733205</v>
      </c>
      <c r="D2617" s="20" t="s">
        <v>19</v>
      </c>
      <c r="E2617" s="20" t="s">
        <v>59</v>
      </c>
      <c r="F2617" s="20" t="str">
        <f>"2170725008 "</f>
        <v xml:space="preserve">2170725008 </v>
      </c>
      <c r="G2617" s="20" t="str">
        <f t="shared" si="76"/>
        <v>ON1</v>
      </c>
      <c r="H2617" s="20" t="s">
        <v>21</v>
      </c>
      <c r="I2617" s="20" t="s">
        <v>60</v>
      </c>
      <c r="J2617" s="20" t="str">
        <f>""</f>
        <v/>
      </c>
      <c r="K2617" s="20" t="str">
        <f>"PFES1162733205_0001"</f>
        <v>PFES1162733205_0001</v>
      </c>
      <c r="L2617" s="20">
        <v>1</v>
      </c>
      <c r="M2617" s="20">
        <v>1</v>
      </c>
    </row>
    <row r="2618" spans="1:13">
      <c r="A2618" s="6">
        <v>43857</v>
      </c>
      <c r="B2618" s="7">
        <v>0.67638888888888893</v>
      </c>
      <c r="C2618" s="20" t="str">
        <f>"FES1162733221"</f>
        <v>FES1162733221</v>
      </c>
      <c r="D2618" s="20" t="s">
        <v>19</v>
      </c>
      <c r="E2618" s="20" t="s">
        <v>23</v>
      </c>
      <c r="F2618" s="20" t="str">
        <f>"2170725540 "</f>
        <v xml:space="preserve">2170725540 </v>
      </c>
      <c r="G2618" s="20" t="str">
        <f t="shared" si="76"/>
        <v>ON1</v>
      </c>
      <c r="H2618" s="20" t="s">
        <v>21</v>
      </c>
      <c r="I2618" s="20" t="s">
        <v>24</v>
      </c>
      <c r="J2618" s="20" t="str">
        <f>""</f>
        <v/>
      </c>
      <c r="K2618" s="20" t="str">
        <f>"PFES1162733221_0001"</f>
        <v>PFES1162733221_0001</v>
      </c>
      <c r="L2618" s="20">
        <v>1</v>
      </c>
      <c r="M2618" s="20">
        <v>1</v>
      </c>
    </row>
    <row r="2619" spans="1:13">
      <c r="A2619" s="6">
        <v>43857</v>
      </c>
      <c r="B2619" s="7">
        <v>0.66319444444444442</v>
      </c>
      <c r="C2619" s="20" t="str">
        <f>"FES1162733217"</f>
        <v>FES1162733217</v>
      </c>
      <c r="D2619" s="20" t="s">
        <v>19</v>
      </c>
      <c r="E2619" s="20" t="s">
        <v>199</v>
      </c>
      <c r="F2619" s="20" t="str">
        <f>"2170727541 "</f>
        <v xml:space="preserve">2170727541 </v>
      </c>
      <c r="G2619" s="20" t="str">
        <f t="shared" si="76"/>
        <v>ON1</v>
      </c>
      <c r="H2619" s="20" t="s">
        <v>21</v>
      </c>
      <c r="I2619" s="20" t="s">
        <v>200</v>
      </c>
      <c r="J2619" s="20" t="str">
        <f>""</f>
        <v/>
      </c>
      <c r="K2619" s="20" t="str">
        <f>"PFES1162733217_0001"</f>
        <v>PFES1162733217_0001</v>
      </c>
      <c r="L2619" s="20">
        <v>1</v>
      </c>
      <c r="M2619" s="20">
        <v>0</v>
      </c>
    </row>
    <row r="2620" spans="1:13">
      <c r="A2620" s="6">
        <v>43857</v>
      </c>
      <c r="B2620" s="7">
        <v>0.66041666666666665</v>
      </c>
      <c r="C2620" s="20" t="str">
        <f>"FES1162733214"</f>
        <v>FES1162733214</v>
      </c>
      <c r="D2620" s="20" t="s">
        <v>19</v>
      </c>
      <c r="E2620" s="20" t="s">
        <v>752</v>
      </c>
      <c r="F2620" s="20" t="str">
        <f>"2170725736 "</f>
        <v xml:space="preserve">2170725736 </v>
      </c>
      <c r="G2620" s="20" t="str">
        <f t="shared" si="76"/>
        <v>ON1</v>
      </c>
      <c r="H2620" s="20" t="s">
        <v>21</v>
      </c>
      <c r="I2620" s="20" t="s">
        <v>31</v>
      </c>
      <c r="J2620" s="20" t="str">
        <f>""</f>
        <v/>
      </c>
      <c r="K2620" s="20" t="str">
        <f>"PFES1162733214_0001"</f>
        <v>PFES1162733214_0001</v>
      </c>
      <c r="L2620" s="20">
        <v>1</v>
      </c>
      <c r="M2620" s="20">
        <v>1</v>
      </c>
    </row>
    <row r="2621" spans="1:13">
      <c r="A2621" s="6">
        <v>43857</v>
      </c>
      <c r="B2621" s="7">
        <v>0.65972222222222221</v>
      </c>
      <c r="C2621" s="20" t="str">
        <f>"FES1162733199"</f>
        <v>FES1162733199</v>
      </c>
      <c r="D2621" s="20" t="s">
        <v>19</v>
      </c>
      <c r="E2621" s="20" t="s">
        <v>101</v>
      </c>
      <c r="F2621" s="20" t="str">
        <f>"2170725720 "</f>
        <v xml:space="preserve">2170725720 </v>
      </c>
      <c r="G2621" s="20" t="str">
        <f t="shared" si="76"/>
        <v>ON1</v>
      </c>
      <c r="H2621" s="20" t="s">
        <v>21</v>
      </c>
      <c r="I2621" s="20" t="s">
        <v>102</v>
      </c>
      <c r="J2621" s="20" t="str">
        <f>""</f>
        <v/>
      </c>
      <c r="K2621" s="20" t="str">
        <f>"PFES1162733199_0001"</f>
        <v>PFES1162733199_0001</v>
      </c>
      <c r="L2621" s="20">
        <v>1</v>
      </c>
      <c r="M2621" s="20">
        <v>1</v>
      </c>
    </row>
    <row r="2622" spans="1:13">
      <c r="A2622" s="6">
        <v>43857</v>
      </c>
      <c r="B2622" s="7">
        <v>0.65902777777777777</v>
      </c>
      <c r="C2622" s="20" t="str">
        <f>"FES1162733204"</f>
        <v>FES1162733204</v>
      </c>
      <c r="D2622" s="20" t="s">
        <v>19</v>
      </c>
      <c r="E2622" s="20" t="s">
        <v>587</v>
      </c>
      <c r="F2622" s="20" t="str">
        <f>"2170725727 "</f>
        <v xml:space="preserve">2170725727 </v>
      </c>
      <c r="G2622" s="20" t="str">
        <f t="shared" si="76"/>
        <v>ON1</v>
      </c>
      <c r="H2622" s="20" t="s">
        <v>21</v>
      </c>
      <c r="I2622" s="20" t="s">
        <v>277</v>
      </c>
      <c r="J2622" s="20" t="str">
        <f>""</f>
        <v/>
      </c>
      <c r="K2622" s="20" t="str">
        <f>"PFES1162733204_0001"</f>
        <v>PFES1162733204_0001</v>
      </c>
      <c r="L2622" s="20">
        <v>1</v>
      </c>
      <c r="M2622" s="20">
        <v>1</v>
      </c>
    </row>
    <row r="2623" spans="1:13">
      <c r="A2623" s="6">
        <v>43857</v>
      </c>
      <c r="B2623" s="7">
        <v>0.65833333333333333</v>
      </c>
      <c r="C2623" s="20" t="str">
        <f>"FES1162733213"</f>
        <v>FES1162733213</v>
      </c>
      <c r="D2623" s="20" t="s">
        <v>19</v>
      </c>
      <c r="E2623" s="20" t="s">
        <v>974</v>
      </c>
      <c r="F2623" s="20" t="str">
        <f>"2170725735 "</f>
        <v xml:space="preserve">2170725735 </v>
      </c>
      <c r="G2623" s="20" t="str">
        <f t="shared" si="76"/>
        <v>ON1</v>
      </c>
      <c r="H2623" s="20" t="s">
        <v>21</v>
      </c>
      <c r="I2623" s="20" t="s">
        <v>96</v>
      </c>
      <c r="J2623" s="20" t="str">
        <f>""</f>
        <v/>
      </c>
      <c r="K2623" s="20" t="str">
        <f>"PFES1162733213_0001"</f>
        <v>PFES1162733213_0001</v>
      </c>
      <c r="L2623" s="20">
        <v>1</v>
      </c>
      <c r="M2623" s="20">
        <v>1</v>
      </c>
    </row>
    <row r="2624" spans="1:13">
      <c r="A2624" s="6">
        <v>43857</v>
      </c>
      <c r="B2624" s="7">
        <v>0.65763888888888888</v>
      </c>
      <c r="C2624" s="20" t="str">
        <f>"FES1162733211"</f>
        <v>FES1162733211</v>
      </c>
      <c r="D2624" s="20" t="s">
        <v>19</v>
      </c>
      <c r="E2624" s="20" t="s">
        <v>101</v>
      </c>
      <c r="F2624" s="20" t="str">
        <f>"2170725728 "</f>
        <v xml:space="preserve">2170725728 </v>
      </c>
      <c r="G2624" s="20" t="str">
        <f t="shared" si="76"/>
        <v>ON1</v>
      </c>
      <c r="H2624" s="20" t="s">
        <v>21</v>
      </c>
      <c r="I2624" s="20" t="s">
        <v>102</v>
      </c>
      <c r="J2624" s="20" t="str">
        <f>""</f>
        <v/>
      </c>
      <c r="K2624" s="20" t="str">
        <f>"PFES1162733211_0001"</f>
        <v>PFES1162733211_0001</v>
      </c>
      <c r="L2624" s="20">
        <v>1</v>
      </c>
      <c r="M2624" s="20">
        <v>1</v>
      </c>
    </row>
    <row r="2625" spans="1:13">
      <c r="A2625" s="6">
        <v>43857</v>
      </c>
      <c r="B2625" s="7">
        <v>0.65486111111111112</v>
      </c>
      <c r="C2625" s="20" t="str">
        <f>"FES1162733186"</f>
        <v>FES1162733186</v>
      </c>
      <c r="D2625" s="20" t="s">
        <v>19</v>
      </c>
      <c r="E2625" s="20" t="s">
        <v>975</v>
      </c>
      <c r="F2625" s="20" t="str">
        <f>"2170725704 "</f>
        <v xml:space="preserve">2170725704 </v>
      </c>
      <c r="G2625" s="20" t="str">
        <f t="shared" si="76"/>
        <v>ON1</v>
      </c>
      <c r="H2625" s="20" t="s">
        <v>21</v>
      </c>
      <c r="I2625" s="20" t="s">
        <v>78</v>
      </c>
      <c r="J2625" s="20" t="str">
        <f>""</f>
        <v/>
      </c>
      <c r="K2625" s="20" t="str">
        <f>"PFES1162733186_0001"</f>
        <v>PFES1162733186_0001</v>
      </c>
      <c r="L2625" s="20">
        <v>1</v>
      </c>
      <c r="M2625" s="20">
        <v>8</v>
      </c>
    </row>
    <row r="2626" spans="1:13">
      <c r="A2626" s="6">
        <v>43857</v>
      </c>
      <c r="B2626" s="7">
        <v>0.65416666666666667</v>
      </c>
      <c r="C2626" s="20" t="str">
        <f>"FES1162733212"</f>
        <v>FES1162733212</v>
      </c>
      <c r="D2626" s="20" t="s">
        <v>19</v>
      </c>
      <c r="E2626" s="20" t="s">
        <v>501</v>
      </c>
      <c r="F2626" s="20" t="str">
        <f>"2170725729 "</f>
        <v xml:space="preserve">2170725729 </v>
      </c>
      <c r="G2626" s="20" t="str">
        <f t="shared" si="76"/>
        <v>ON1</v>
      </c>
      <c r="H2626" s="20" t="s">
        <v>21</v>
      </c>
      <c r="I2626" s="20" t="s">
        <v>403</v>
      </c>
      <c r="J2626" s="20" t="str">
        <f>""</f>
        <v/>
      </c>
      <c r="K2626" s="20" t="str">
        <f>"PFES1162733212_0001"</f>
        <v>PFES1162733212_0001</v>
      </c>
      <c r="L2626" s="20">
        <v>1</v>
      </c>
      <c r="M2626" s="20">
        <v>11</v>
      </c>
    </row>
    <row r="2627" spans="1:13">
      <c r="A2627" s="6">
        <v>43857</v>
      </c>
      <c r="B2627" s="7">
        <v>0.6430555555555556</v>
      </c>
      <c r="C2627" s="20" t="str">
        <f>"FES1162733184"</f>
        <v>FES1162733184</v>
      </c>
      <c r="D2627" s="20" t="s">
        <v>19</v>
      </c>
      <c r="E2627" s="20" t="s">
        <v>37</v>
      </c>
      <c r="F2627" s="20" t="str">
        <f>"2170725245 "</f>
        <v xml:space="preserve">2170725245 </v>
      </c>
      <c r="G2627" s="20" t="str">
        <f t="shared" si="76"/>
        <v>ON1</v>
      </c>
      <c r="H2627" s="20" t="s">
        <v>21</v>
      </c>
      <c r="I2627" s="20" t="s">
        <v>38</v>
      </c>
      <c r="J2627" s="20" t="str">
        <f>""</f>
        <v/>
      </c>
      <c r="K2627" s="20" t="str">
        <f>"PFES1162733184_0001"</f>
        <v>PFES1162733184_0001</v>
      </c>
      <c r="L2627" s="20">
        <v>1</v>
      </c>
      <c r="M2627" s="20">
        <v>10</v>
      </c>
    </row>
    <row r="2628" spans="1:13">
      <c r="A2628" s="6">
        <v>43857</v>
      </c>
      <c r="B2628" s="7">
        <v>0.64236111111111105</v>
      </c>
      <c r="C2628" s="20" t="str">
        <f>"FES1162733194"</f>
        <v>FES1162733194</v>
      </c>
      <c r="D2628" s="20" t="s">
        <v>19</v>
      </c>
      <c r="E2628" s="20" t="s">
        <v>836</v>
      </c>
      <c r="F2628" s="20" t="str">
        <f>"2170720140 "</f>
        <v xml:space="preserve">2170720140 </v>
      </c>
      <c r="G2628" s="20" t="str">
        <f t="shared" si="76"/>
        <v>ON1</v>
      </c>
      <c r="H2628" s="20" t="s">
        <v>21</v>
      </c>
      <c r="I2628" s="20" t="s">
        <v>255</v>
      </c>
      <c r="J2628" s="20" t="str">
        <f>""</f>
        <v/>
      </c>
      <c r="K2628" s="20" t="str">
        <f>"PFES1162733194_0001"</f>
        <v>PFES1162733194_0001</v>
      </c>
      <c r="L2628" s="20">
        <v>1</v>
      </c>
      <c r="M2628" s="20">
        <v>15</v>
      </c>
    </row>
    <row r="2629" spans="1:13">
      <c r="A2629" s="6">
        <v>43857</v>
      </c>
      <c r="B2629" s="7">
        <v>0.64166666666666672</v>
      </c>
      <c r="C2629" s="20" t="str">
        <f>"FES1162733198"</f>
        <v>FES1162733198</v>
      </c>
      <c r="D2629" s="20" t="s">
        <v>19</v>
      </c>
      <c r="E2629" s="20" t="s">
        <v>976</v>
      </c>
      <c r="F2629" s="20" t="str">
        <f>"2170725719 "</f>
        <v xml:space="preserve">2170725719 </v>
      </c>
      <c r="G2629" s="20" t="str">
        <f t="shared" si="76"/>
        <v>ON1</v>
      </c>
      <c r="H2629" s="20" t="s">
        <v>21</v>
      </c>
      <c r="I2629" s="20" t="s">
        <v>165</v>
      </c>
      <c r="J2629" s="20" t="str">
        <f>""</f>
        <v/>
      </c>
      <c r="K2629" s="20" t="str">
        <f>"PFES1162733198_0001"</f>
        <v>PFES1162733198_0001</v>
      </c>
      <c r="L2629" s="20">
        <v>1</v>
      </c>
      <c r="M2629" s="20">
        <v>4</v>
      </c>
    </row>
    <row r="2630" spans="1:13">
      <c r="A2630" s="6">
        <v>43857</v>
      </c>
      <c r="B2630" s="7">
        <v>0.64097222222222217</v>
      </c>
      <c r="C2630" s="20" t="str">
        <f>"FES1162733183"</f>
        <v>FES1162733183</v>
      </c>
      <c r="D2630" s="20" t="s">
        <v>19</v>
      </c>
      <c r="E2630" s="20" t="s">
        <v>170</v>
      </c>
      <c r="F2630" s="20" t="str">
        <f>"2170724682 "</f>
        <v xml:space="preserve">2170724682 </v>
      </c>
      <c r="G2630" s="20" t="str">
        <f t="shared" si="76"/>
        <v>ON1</v>
      </c>
      <c r="H2630" s="20" t="s">
        <v>21</v>
      </c>
      <c r="I2630" s="20" t="s">
        <v>63</v>
      </c>
      <c r="J2630" s="20" t="str">
        <f>""</f>
        <v/>
      </c>
      <c r="K2630" s="20" t="str">
        <f>"PFES1162733183_0001"</f>
        <v>PFES1162733183_0001</v>
      </c>
      <c r="L2630" s="20">
        <v>1</v>
      </c>
      <c r="M2630" s="20">
        <v>7</v>
      </c>
    </row>
    <row r="2631" spans="1:13">
      <c r="A2631" s="6">
        <v>43857</v>
      </c>
      <c r="B2631" s="7">
        <v>0.64027777777777783</v>
      </c>
      <c r="C2631" s="20" t="str">
        <f>"FES1162733158"</f>
        <v>FES1162733158</v>
      </c>
      <c r="D2631" s="20" t="s">
        <v>19</v>
      </c>
      <c r="E2631" s="20" t="s">
        <v>101</v>
      </c>
      <c r="F2631" s="20" t="str">
        <f>"2170725603 "</f>
        <v xml:space="preserve">2170725603 </v>
      </c>
      <c r="G2631" s="20" t="str">
        <f t="shared" si="76"/>
        <v>ON1</v>
      </c>
      <c r="H2631" s="20" t="s">
        <v>21</v>
      </c>
      <c r="I2631" s="20" t="s">
        <v>102</v>
      </c>
      <c r="J2631" s="20" t="str">
        <f>""</f>
        <v/>
      </c>
      <c r="K2631" s="20" t="str">
        <f>"PFES1162733158_0001"</f>
        <v>PFES1162733158_0001</v>
      </c>
      <c r="L2631" s="20">
        <v>1</v>
      </c>
      <c r="M2631" s="20">
        <v>12</v>
      </c>
    </row>
    <row r="2632" spans="1:13">
      <c r="A2632" s="6">
        <v>43857</v>
      </c>
      <c r="B2632" s="7">
        <v>0.64027777777777783</v>
      </c>
      <c r="C2632" s="20" t="str">
        <f>"FES1162733162"</f>
        <v>FES1162733162</v>
      </c>
      <c r="D2632" s="20" t="s">
        <v>19</v>
      </c>
      <c r="E2632" s="20" t="s">
        <v>567</v>
      </c>
      <c r="F2632" s="20" t="str">
        <f>"2170725668 "</f>
        <v xml:space="preserve">2170725668 </v>
      </c>
      <c r="G2632" s="20" t="str">
        <f t="shared" si="76"/>
        <v>ON1</v>
      </c>
      <c r="H2632" s="20" t="s">
        <v>21</v>
      </c>
      <c r="I2632" s="20" t="s">
        <v>202</v>
      </c>
      <c r="J2632" s="20" t="str">
        <f>""</f>
        <v/>
      </c>
      <c r="K2632" s="20" t="str">
        <f>"PFES1162733162_0001"</f>
        <v>PFES1162733162_0001</v>
      </c>
      <c r="L2632" s="20">
        <v>1</v>
      </c>
      <c r="M2632" s="20">
        <v>4</v>
      </c>
    </row>
    <row r="2633" spans="1:13">
      <c r="A2633" s="6">
        <v>43857</v>
      </c>
      <c r="B2633" s="7">
        <v>0.63958333333333328</v>
      </c>
      <c r="C2633" s="20" t="str">
        <f>"FES1162733168"</f>
        <v>FES1162733168</v>
      </c>
      <c r="D2633" s="20" t="s">
        <v>19</v>
      </c>
      <c r="E2633" s="20" t="s">
        <v>151</v>
      </c>
      <c r="F2633" s="20" t="str">
        <f>"2170725676 "</f>
        <v xml:space="preserve">2170725676 </v>
      </c>
      <c r="G2633" s="20" t="str">
        <f t="shared" si="76"/>
        <v>ON1</v>
      </c>
      <c r="H2633" s="20" t="s">
        <v>21</v>
      </c>
      <c r="I2633" s="20" t="s">
        <v>152</v>
      </c>
      <c r="J2633" s="20" t="str">
        <f>""</f>
        <v/>
      </c>
      <c r="K2633" s="20" t="str">
        <f>"PFES1162733168_0001"</f>
        <v>PFES1162733168_0001</v>
      </c>
      <c r="L2633" s="20">
        <v>1</v>
      </c>
      <c r="M2633" s="20">
        <v>2</v>
      </c>
    </row>
    <row r="2634" spans="1:13">
      <c r="A2634" s="6">
        <v>43857</v>
      </c>
      <c r="B2634" s="7">
        <v>0.63958333333333328</v>
      </c>
      <c r="C2634" s="20" t="str">
        <f>"FES1162733170"</f>
        <v>FES1162733170</v>
      </c>
      <c r="D2634" s="20" t="s">
        <v>19</v>
      </c>
      <c r="E2634" s="20" t="s">
        <v>134</v>
      </c>
      <c r="F2634" s="20" t="str">
        <f>"217072675 "</f>
        <v xml:space="preserve">217072675 </v>
      </c>
      <c r="G2634" s="20" t="str">
        <f t="shared" si="76"/>
        <v>ON1</v>
      </c>
      <c r="H2634" s="20" t="s">
        <v>21</v>
      </c>
      <c r="I2634" s="20" t="s">
        <v>135</v>
      </c>
      <c r="J2634" s="20" t="str">
        <f>""</f>
        <v/>
      </c>
      <c r="K2634" s="20" t="str">
        <f>"PFES1162733170_0001"</f>
        <v>PFES1162733170_0001</v>
      </c>
      <c r="L2634" s="20">
        <v>1</v>
      </c>
      <c r="M2634" s="20">
        <v>3</v>
      </c>
    </row>
    <row r="2635" spans="1:13">
      <c r="A2635" s="6">
        <v>43857</v>
      </c>
      <c r="B2635" s="7">
        <v>0.63888888888888895</v>
      </c>
      <c r="C2635" s="20" t="str">
        <f>"FES1162733196"</f>
        <v>FES1162733196</v>
      </c>
      <c r="D2635" s="20" t="s">
        <v>19</v>
      </c>
      <c r="E2635" s="20" t="s">
        <v>977</v>
      </c>
      <c r="F2635" s="20" t="str">
        <f>"2170725717 "</f>
        <v xml:space="preserve">2170725717 </v>
      </c>
      <c r="G2635" s="20" t="str">
        <f t="shared" si="76"/>
        <v>ON1</v>
      </c>
      <c r="H2635" s="20" t="s">
        <v>21</v>
      </c>
      <c r="I2635" s="20" t="s">
        <v>720</v>
      </c>
      <c r="J2635" s="20" t="str">
        <f>""</f>
        <v/>
      </c>
      <c r="K2635" s="20" t="str">
        <f>"PFES1162733196_0001"</f>
        <v>PFES1162733196_0001</v>
      </c>
      <c r="L2635" s="20">
        <v>1</v>
      </c>
      <c r="M2635" s="20">
        <v>2</v>
      </c>
    </row>
    <row r="2636" spans="1:13">
      <c r="A2636" s="6">
        <v>43857</v>
      </c>
      <c r="B2636" s="7">
        <v>0.63888888888888895</v>
      </c>
      <c r="C2636" s="20" t="str">
        <f>"FES1162733201"</f>
        <v>FES1162733201</v>
      </c>
      <c r="D2636" s="20" t="s">
        <v>19</v>
      </c>
      <c r="E2636" s="20" t="s">
        <v>978</v>
      </c>
      <c r="F2636" s="20" t="str">
        <f>"2170725722 "</f>
        <v xml:space="preserve">2170725722 </v>
      </c>
      <c r="G2636" s="20" t="str">
        <f t="shared" si="76"/>
        <v>ON1</v>
      </c>
      <c r="H2636" s="20" t="s">
        <v>21</v>
      </c>
      <c r="I2636" s="20" t="s">
        <v>389</v>
      </c>
      <c r="J2636" s="20" t="str">
        <f>""</f>
        <v/>
      </c>
      <c r="K2636" s="20" t="str">
        <f>"PFES1162733201_0001"</f>
        <v>PFES1162733201_0001</v>
      </c>
      <c r="L2636" s="20">
        <v>1</v>
      </c>
      <c r="M2636" s="20">
        <v>1</v>
      </c>
    </row>
    <row r="2637" spans="1:13">
      <c r="A2637" s="6">
        <v>43857</v>
      </c>
      <c r="B2637" s="7">
        <v>0.6381944444444444</v>
      </c>
      <c r="C2637" s="20" t="str">
        <f>"FES1162733166"</f>
        <v>FES1162733166</v>
      </c>
      <c r="D2637" s="20" t="s">
        <v>19</v>
      </c>
      <c r="E2637" s="20" t="s">
        <v>101</v>
      </c>
      <c r="F2637" s="20" t="str">
        <f>"21707258673 "</f>
        <v xml:space="preserve">21707258673 </v>
      </c>
      <c r="G2637" s="20" t="str">
        <f t="shared" si="76"/>
        <v>ON1</v>
      </c>
      <c r="H2637" s="20" t="s">
        <v>21</v>
      </c>
      <c r="I2637" s="20" t="s">
        <v>102</v>
      </c>
      <c r="J2637" s="20" t="str">
        <f>""</f>
        <v/>
      </c>
      <c r="K2637" s="20" t="str">
        <f>"PFES1162733166_0001"</f>
        <v>PFES1162733166_0001</v>
      </c>
      <c r="L2637" s="20">
        <v>1</v>
      </c>
      <c r="M2637" s="20">
        <v>3</v>
      </c>
    </row>
    <row r="2638" spans="1:13">
      <c r="A2638" s="6">
        <v>43857</v>
      </c>
      <c r="B2638" s="7">
        <v>0.6333333333333333</v>
      </c>
      <c r="C2638" s="20" t="str">
        <f>"FES1162733202"</f>
        <v>FES1162733202</v>
      </c>
      <c r="D2638" s="20" t="s">
        <v>19</v>
      </c>
      <c r="E2638" s="20" t="s">
        <v>345</v>
      </c>
      <c r="F2638" s="20" t="str">
        <f>"2170725723 "</f>
        <v xml:space="preserve">2170725723 </v>
      </c>
      <c r="G2638" s="20" t="str">
        <f t="shared" si="76"/>
        <v>ON1</v>
      </c>
      <c r="H2638" s="20" t="s">
        <v>21</v>
      </c>
      <c r="I2638" s="20" t="s">
        <v>346</v>
      </c>
      <c r="J2638" s="20" t="str">
        <f>""</f>
        <v/>
      </c>
      <c r="K2638" s="20" t="str">
        <f>"PFES1162733202_0001"</f>
        <v>PFES1162733202_0001</v>
      </c>
      <c r="L2638" s="20">
        <v>1</v>
      </c>
      <c r="M2638" s="20">
        <v>1</v>
      </c>
    </row>
    <row r="2639" spans="1:13">
      <c r="A2639" s="6">
        <v>43857</v>
      </c>
      <c r="B2639" s="7">
        <v>0.63263888888888886</v>
      </c>
      <c r="C2639" s="20" t="str">
        <f>"FES1162733203"</f>
        <v>FES1162733203</v>
      </c>
      <c r="D2639" s="20" t="s">
        <v>19</v>
      </c>
      <c r="E2639" s="20" t="s">
        <v>378</v>
      </c>
      <c r="F2639" s="20" t="str">
        <f>"2170725726 "</f>
        <v xml:space="preserve">2170725726 </v>
      </c>
      <c r="G2639" s="20" t="str">
        <f t="shared" si="76"/>
        <v>ON1</v>
      </c>
      <c r="H2639" s="20" t="s">
        <v>21</v>
      </c>
      <c r="I2639" s="20" t="s">
        <v>507</v>
      </c>
      <c r="J2639" s="20" t="str">
        <f>""</f>
        <v/>
      </c>
      <c r="K2639" s="20" t="str">
        <f>"PFES1162733203_0001"</f>
        <v>PFES1162733203_0001</v>
      </c>
      <c r="L2639" s="20">
        <v>1</v>
      </c>
      <c r="M2639" s="20">
        <v>1</v>
      </c>
    </row>
    <row r="2640" spans="1:13">
      <c r="A2640" s="6">
        <v>43857</v>
      </c>
      <c r="B2640" s="7">
        <v>0.63194444444444442</v>
      </c>
      <c r="C2640" s="20" t="str">
        <f>"FES1162733200"</f>
        <v>FES1162733200</v>
      </c>
      <c r="D2640" s="20" t="s">
        <v>19</v>
      </c>
      <c r="E2640" s="20" t="s">
        <v>64</v>
      </c>
      <c r="F2640" s="20" t="str">
        <f>"2170725721 "</f>
        <v xml:space="preserve">2170725721 </v>
      </c>
      <c r="G2640" s="20" t="str">
        <f t="shared" si="76"/>
        <v>ON1</v>
      </c>
      <c r="H2640" s="20" t="s">
        <v>21</v>
      </c>
      <c r="I2640" s="20" t="s">
        <v>60</v>
      </c>
      <c r="J2640" s="20" t="str">
        <f>""</f>
        <v/>
      </c>
      <c r="K2640" s="20" t="str">
        <f>"PFES1162733200_0001"</f>
        <v>PFES1162733200_0001</v>
      </c>
      <c r="L2640" s="20">
        <v>1</v>
      </c>
      <c r="M2640" s="20">
        <v>1</v>
      </c>
    </row>
    <row r="2641" spans="1:13">
      <c r="A2641" s="6">
        <v>43857</v>
      </c>
      <c r="B2641" s="7">
        <v>0.63124999999999998</v>
      </c>
      <c r="C2641" s="20" t="str">
        <f>"FES1162733171"</f>
        <v>FES1162733171</v>
      </c>
      <c r="D2641" s="20" t="s">
        <v>19</v>
      </c>
      <c r="E2641" s="20" t="s">
        <v>979</v>
      </c>
      <c r="F2641" s="20" t="str">
        <f>"2170725679 "</f>
        <v xml:space="preserve">2170725679 </v>
      </c>
      <c r="G2641" s="20" t="str">
        <f t="shared" si="76"/>
        <v>ON1</v>
      </c>
      <c r="H2641" s="20" t="s">
        <v>21</v>
      </c>
      <c r="I2641" s="20" t="s">
        <v>855</v>
      </c>
      <c r="J2641" s="20" t="str">
        <f>""</f>
        <v/>
      </c>
      <c r="K2641" s="20" t="str">
        <f>"PFES1162733171_0001"</f>
        <v>PFES1162733171_0001</v>
      </c>
      <c r="L2641" s="20">
        <v>1</v>
      </c>
      <c r="M2641" s="20">
        <v>1</v>
      </c>
    </row>
    <row r="2642" spans="1:13">
      <c r="A2642" s="6">
        <v>43857</v>
      </c>
      <c r="B2642" s="7">
        <v>0.63055555555555554</v>
      </c>
      <c r="C2642" s="20" t="str">
        <f>"FES1162733190"</f>
        <v>FES1162733190</v>
      </c>
      <c r="D2642" s="20" t="s">
        <v>19</v>
      </c>
      <c r="E2642" s="20" t="s">
        <v>342</v>
      </c>
      <c r="F2642" s="20" t="str">
        <f>"2170725713 "</f>
        <v xml:space="preserve">2170725713 </v>
      </c>
      <c r="G2642" s="20" t="str">
        <f t="shared" si="76"/>
        <v>ON1</v>
      </c>
      <c r="H2642" s="20" t="s">
        <v>21</v>
      </c>
      <c r="I2642" s="20" t="s">
        <v>233</v>
      </c>
      <c r="J2642" s="20" t="str">
        <f>""</f>
        <v/>
      </c>
      <c r="K2642" s="20" t="str">
        <f>"PFES1162733190_0001"</f>
        <v>PFES1162733190_0001</v>
      </c>
      <c r="L2642" s="20">
        <v>1</v>
      </c>
      <c r="M2642" s="20">
        <v>1</v>
      </c>
    </row>
    <row r="2643" spans="1:13">
      <c r="A2643" s="6">
        <v>43857</v>
      </c>
      <c r="B2643" s="7">
        <v>0.62916666666666665</v>
      </c>
      <c r="C2643" s="20" t="str">
        <f>"FES1162733189"</f>
        <v>FES1162733189</v>
      </c>
      <c r="D2643" s="20" t="s">
        <v>19</v>
      </c>
      <c r="E2643" s="20" t="s">
        <v>259</v>
      </c>
      <c r="F2643" s="20" t="str">
        <f>"2170725710 "</f>
        <v xml:space="preserve">2170725710 </v>
      </c>
      <c r="G2643" s="20" t="str">
        <f t="shared" si="76"/>
        <v>ON1</v>
      </c>
      <c r="H2643" s="20" t="s">
        <v>21</v>
      </c>
      <c r="I2643" s="20" t="s">
        <v>260</v>
      </c>
      <c r="J2643" s="20" t="str">
        <f>""</f>
        <v/>
      </c>
      <c r="K2643" s="20" t="str">
        <f>"PFES1162733189_0001"</f>
        <v>PFES1162733189_0001</v>
      </c>
      <c r="L2643" s="20">
        <v>1</v>
      </c>
      <c r="M2643" s="20">
        <v>1</v>
      </c>
    </row>
    <row r="2644" spans="1:13">
      <c r="A2644" s="6">
        <v>43857</v>
      </c>
      <c r="B2644" s="7">
        <v>0.62847222222222221</v>
      </c>
      <c r="C2644" s="20" t="str">
        <f>"FES1162733173"</f>
        <v>FES1162733173</v>
      </c>
      <c r="D2644" s="20" t="s">
        <v>19</v>
      </c>
      <c r="E2644" s="20" t="s">
        <v>134</v>
      </c>
      <c r="F2644" s="20" t="str">
        <f>"2170725684 "</f>
        <v xml:space="preserve">2170725684 </v>
      </c>
      <c r="G2644" s="20" t="str">
        <f t="shared" si="76"/>
        <v>ON1</v>
      </c>
      <c r="H2644" s="20" t="s">
        <v>21</v>
      </c>
      <c r="I2644" s="20" t="s">
        <v>135</v>
      </c>
      <c r="J2644" s="20" t="str">
        <f>""</f>
        <v/>
      </c>
      <c r="K2644" s="20" t="str">
        <f>"PFES1162733173_0001"</f>
        <v>PFES1162733173_0001</v>
      </c>
      <c r="L2644" s="20">
        <v>1</v>
      </c>
      <c r="M2644" s="20">
        <v>1</v>
      </c>
    </row>
    <row r="2645" spans="1:13">
      <c r="A2645" s="6">
        <v>43857</v>
      </c>
      <c r="B2645" s="7">
        <v>0.62777777777777777</v>
      </c>
      <c r="C2645" s="20" t="str">
        <f>"FES1162733197"</f>
        <v>FES1162733197</v>
      </c>
      <c r="D2645" s="20" t="s">
        <v>19</v>
      </c>
      <c r="E2645" s="20" t="s">
        <v>37</v>
      </c>
      <c r="F2645" s="20" t="str">
        <f>"2170725718 "</f>
        <v xml:space="preserve">2170725718 </v>
      </c>
      <c r="G2645" s="20" t="str">
        <f t="shared" si="76"/>
        <v>ON1</v>
      </c>
      <c r="H2645" s="20" t="s">
        <v>21</v>
      </c>
      <c r="I2645" s="20" t="s">
        <v>38</v>
      </c>
      <c r="J2645" s="20" t="str">
        <f>""</f>
        <v/>
      </c>
      <c r="K2645" s="20" t="str">
        <f>"PFES1162733197_0001"</f>
        <v>PFES1162733197_0001</v>
      </c>
      <c r="L2645" s="20">
        <v>1</v>
      </c>
      <c r="M2645" s="20">
        <v>1</v>
      </c>
    </row>
    <row r="2646" spans="1:13">
      <c r="A2646" s="6">
        <v>43857</v>
      </c>
      <c r="B2646" s="7">
        <v>0.6</v>
      </c>
      <c r="C2646" s="20" t="str">
        <f>"FES1162733165"</f>
        <v>FES1162733165</v>
      </c>
      <c r="D2646" s="20" t="s">
        <v>19</v>
      </c>
      <c r="E2646" s="20" t="s">
        <v>980</v>
      </c>
      <c r="F2646" s="20" t="str">
        <f>"2170723783 "</f>
        <v xml:space="preserve">2170723783 </v>
      </c>
      <c r="G2646" s="20" t="str">
        <f t="shared" si="76"/>
        <v>ON1</v>
      </c>
      <c r="H2646" s="20" t="s">
        <v>21</v>
      </c>
      <c r="I2646" s="20" t="s">
        <v>247</v>
      </c>
      <c r="J2646" s="20" t="str">
        <f>""</f>
        <v/>
      </c>
      <c r="K2646" s="20" t="str">
        <f>"PFES1162733165_0001"</f>
        <v>PFES1162733165_0001</v>
      </c>
      <c r="L2646" s="20">
        <v>1</v>
      </c>
      <c r="M2646" s="20">
        <v>11</v>
      </c>
    </row>
    <row r="2647" spans="1:13">
      <c r="A2647" s="6">
        <v>43857</v>
      </c>
      <c r="B2647" s="7">
        <v>0.59930555555555554</v>
      </c>
      <c r="C2647" s="20" t="str">
        <f>"FES1162733156"</f>
        <v>FES1162733156</v>
      </c>
      <c r="D2647" s="20" t="s">
        <v>19</v>
      </c>
      <c r="E2647" s="20" t="s">
        <v>587</v>
      </c>
      <c r="F2647" s="20" t="str">
        <f>"2170725661 "</f>
        <v xml:space="preserve">2170725661 </v>
      </c>
      <c r="G2647" s="20" t="str">
        <f t="shared" si="76"/>
        <v>ON1</v>
      </c>
      <c r="H2647" s="20" t="s">
        <v>21</v>
      </c>
      <c r="I2647" s="20" t="s">
        <v>277</v>
      </c>
      <c r="J2647" s="20" t="str">
        <f>""</f>
        <v/>
      </c>
      <c r="K2647" s="20" t="str">
        <f>"PFES1162733156_0001"</f>
        <v>PFES1162733156_0001</v>
      </c>
      <c r="L2647" s="20">
        <v>1</v>
      </c>
      <c r="M2647" s="20">
        <v>2</v>
      </c>
    </row>
    <row r="2648" spans="1:13">
      <c r="A2648" s="6">
        <v>43857</v>
      </c>
      <c r="B2648" s="7">
        <v>0.59930555555555554</v>
      </c>
      <c r="C2648" s="20" t="str">
        <f>"FES1162733177"</f>
        <v>FES1162733177</v>
      </c>
      <c r="D2648" s="20" t="s">
        <v>19</v>
      </c>
      <c r="E2648" s="20" t="s">
        <v>768</v>
      </c>
      <c r="F2648" s="20" t="str">
        <f>"21703725690 "</f>
        <v xml:space="preserve">21703725690 </v>
      </c>
      <c r="G2648" s="20" t="str">
        <f t="shared" si="76"/>
        <v>ON1</v>
      </c>
      <c r="H2648" s="20" t="s">
        <v>21</v>
      </c>
      <c r="I2648" s="20" t="s">
        <v>769</v>
      </c>
      <c r="J2648" s="20" t="str">
        <f>""</f>
        <v/>
      </c>
      <c r="K2648" s="20" t="str">
        <f>"PFES1162733177_0001"</f>
        <v>PFES1162733177_0001</v>
      </c>
      <c r="L2648" s="20">
        <v>1</v>
      </c>
      <c r="M2648" s="20">
        <v>2</v>
      </c>
    </row>
    <row r="2649" spans="1:13">
      <c r="A2649" s="6">
        <v>43857</v>
      </c>
      <c r="B2649" s="7">
        <v>0.59861111111111109</v>
      </c>
      <c r="C2649" s="20" t="str">
        <f>"FES1162733176"</f>
        <v>FES1162733176</v>
      </c>
      <c r="D2649" s="20" t="s">
        <v>19</v>
      </c>
      <c r="E2649" s="20" t="s">
        <v>768</v>
      </c>
      <c r="F2649" s="20" t="str">
        <f>"2170725689 "</f>
        <v xml:space="preserve">2170725689 </v>
      </c>
      <c r="G2649" s="20" t="str">
        <f t="shared" si="76"/>
        <v>ON1</v>
      </c>
      <c r="H2649" s="20" t="s">
        <v>21</v>
      </c>
      <c r="I2649" s="20" t="s">
        <v>769</v>
      </c>
      <c r="J2649" s="20" t="str">
        <f>""</f>
        <v/>
      </c>
      <c r="K2649" s="20" t="str">
        <f>"PFES1162733176_0001"</f>
        <v>PFES1162733176_0001</v>
      </c>
      <c r="L2649" s="20">
        <v>1</v>
      </c>
      <c r="M2649" s="20">
        <v>1</v>
      </c>
    </row>
    <row r="2650" spans="1:13">
      <c r="A2650" s="6">
        <v>43857</v>
      </c>
      <c r="B2650" s="7">
        <v>0.59652777777777777</v>
      </c>
      <c r="C2650" s="20" t="str">
        <f>"FES1162733178"</f>
        <v>FES1162733178</v>
      </c>
      <c r="D2650" s="20" t="s">
        <v>19</v>
      </c>
      <c r="E2650" s="20" t="s">
        <v>387</v>
      </c>
      <c r="F2650" s="20" t="str">
        <f>"2170725695 "</f>
        <v xml:space="preserve">2170725695 </v>
      </c>
      <c r="G2650" s="20" t="str">
        <f t="shared" si="76"/>
        <v>ON1</v>
      </c>
      <c r="H2650" s="20" t="s">
        <v>21</v>
      </c>
      <c r="I2650" s="20" t="s">
        <v>202</v>
      </c>
      <c r="J2650" s="20" t="str">
        <f>""</f>
        <v/>
      </c>
      <c r="K2650" s="20" t="str">
        <f>"PFES1162733178_0001"</f>
        <v>PFES1162733178_0001</v>
      </c>
      <c r="L2650" s="20">
        <v>1</v>
      </c>
      <c r="M2650" s="20">
        <v>1</v>
      </c>
    </row>
    <row r="2651" spans="1:13">
      <c r="A2651" s="6">
        <v>43857</v>
      </c>
      <c r="B2651" s="7">
        <v>0.59444444444444444</v>
      </c>
      <c r="C2651" s="20" t="str">
        <f>"FES1162733188"</f>
        <v>FES1162733188</v>
      </c>
      <c r="D2651" s="20" t="s">
        <v>19</v>
      </c>
      <c r="E2651" s="20" t="s">
        <v>222</v>
      </c>
      <c r="F2651" s="20" t="str">
        <f>"2170725709 "</f>
        <v xml:space="preserve">2170725709 </v>
      </c>
      <c r="G2651" s="20" t="str">
        <f t="shared" ref="G2651:G2666" si="77">"ON1"</f>
        <v>ON1</v>
      </c>
      <c r="H2651" s="20" t="s">
        <v>21</v>
      </c>
      <c r="I2651" s="20" t="s">
        <v>28</v>
      </c>
      <c r="J2651" s="20" t="str">
        <f>""</f>
        <v/>
      </c>
      <c r="K2651" s="20" t="str">
        <f>"PFES1162733188_0001"</f>
        <v>PFES1162733188_0001</v>
      </c>
      <c r="L2651" s="20">
        <v>1</v>
      </c>
      <c r="M2651" s="20">
        <v>1</v>
      </c>
    </row>
    <row r="2652" spans="1:13">
      <c r="A2652" s="6">
        <v>43857</v>
      </c>
      <c r="B2652" s="7">
        <v>0.59375</v>
      </c>
      <c r="C2652" s="20" t="str">
        <f>"FES1162733169"</f>
        <v>FES1162733169</v>
      </c>
      <c r="D2652" s="20" t="s">
        <v>19</v>
      </c>
      <c r="E2652" s="20" t="s">
        <v>87</v>
      </c>
      <c r="F2652" s="20" t="str">
        <f>"2170725677 "</f>
        <v xml:space="preserve">2170725677 </v>
      </c>
      <c r="G2652" s="20" t="str">
        <f t="shared" si="77"/>
        <v>ON1</v>
      </c>
      <c r="H2652" s="20" t="s">
        <v>21</v>
      </c>
      <c r="I2652" s="20" t="s">
        <v>88</v>
      </c>
      <c r="J2652" s="20" t="str">
        <f>""</f>
        <v/>
      </c>
      <c r="K2652" s="20" t="str">
        <f>"PFES1162733169_0001"</f>
        <v>PFES1162733169_0001</v>
      </c>
      <c r="L2652" s="20">
        <v>1</v>
      </c>
      <c r="M2652" s="20">
        <v>1</v>
      </c>
    </row>
    <row r="2653" spans="1:13">
      <c r="A2653" s="6">
        <v>43857</v>
      </c>
      <c r="B2653" s="7">
        <v>0.57847222222222217</v>
      </c>
      <c r="C2653" s="20" t="str">
        <f>"FES1162733167"</f>
        <v>FES1162733167</v>
      </c>
      <c r="D2653" s="20" t="s">
        <v>19</v>
      </c>
      <c r="E2653" s="20" t="s">
        <v>128</v>
      </c>
      <c r="F2653" s="20" t="str">
        <f>"2170725675 "</f>
        <v xml:space="preserve">2170725675 </v>
      </c>
      <c r="G2653" s="20" t="str">
        <f t="shared" si="77"/>
        <v>ON1</v>
      </c>
      <c r="H2653" s="20" t="s">
        <v>21</v>
      </c>
      <c r="I2653" s="20" t="s">
        <v>24</v>
      </c>
      <c r="J2653" s="20" t="str">
        <f>""</f>
        <v/>
      </c>
      <c r="K2653" s="20" t="str">
        <f>"PFES1162733167_0001"</f>
        <v>PFES1162733167_0001</v>
      </c>
      <c r="L2653" s="20">
        <v>1</v>
      </c>
      <c r="M2653" s="20">
        <v>5</v>
      </c>
    </row>
    <row r="2654" spans="1:13">
      <c r="A2654" s="6">
        <v>43857</v>
      </c>
      <c r="B2654" s="7">
        <v>0.56666666666666665</v>
      </c>
      <c r="C2654" s="20" t="str">
        <f>"FES1162733153"</f>
        <v>FES1162733153</v>
      </c>
      <c r="D2654" s="20" t="s">
        <v>19</v>
      </c>
      <c r="E2654" s="20" t="s">
        <v>981</v>
      </c>
      <c r="F2654" s="20" t="str">
        <f>"2170725651 "</f>
        <v xml:space="preserve">2170725651 </v>
      </c>
      <c r="G2654" s="20" t="str">
        <f t="shared" si="77"/>
        <v>ON1</v>
      </c>
      <c r="H2654" s="20" t="s">
        <v>21</v>
      </c>
      <c r="I2654" s="20" t="s">
        <v>249</v>
      </c>
      <c r="J2654" s="20" t="str">
        <f>""</f>
        <v/>
      </c>
      <c r="K2654" s="20" t="str">
        <f>"PFES1162733153_0001"</f>
        <v>PFES1162733153_0001</v>
      </c>
      <c r="L2654" s="20">
        <v>1</v>
      </c>
      <c r="M2654" s="20">
        <v>1</v>
      </c>
    </row>
    <row r="2655" spans="1:13">
      <c r="A2655" s="6">
        <v>43857</v>
      </c>
      <c r="B2655" s="7">
        <v>0.56388888888888888</v>
      </c>
      <c r="C2655" s="20" t="str">
        <f>"FES1162733160"</f>
        <v>FES1162733160</v>
      </c>
      <c r="D2655" s="20" t="s">
        <v>19</v>
      </c>
      <c r="E2655" s="20" t="s">
        <v>205</v>
      </c>
      <c r="F2655" s="20" t="str">
        <f>"2170725665 "</f>
        <v xml:space="preserve">2170725665 </v>
      </c>
      <c r="G2655" s="20" t="str">
        <f t="shared" si="77"/>
        <v>ON1</v>
      </c>
      <c r="H2655" s="20" t="s">
        <v>21</v>
      </c>
      <c r="I2655" s="20" t="s">
        <v>88</v>
      </c>
      <c r="J2655" s="20" t="str">
        <f>""</f>
        <v/>
      </c>
      <c r="K2655" s="20" t="str">
        <f>"PFES1162733160_0001"</f>
        <v>PFES1162733160_0001</v>
      </c>
      <c r="L2655" s="20">
        <v>1</v>
      </c>
      <c r="M2655" s="20">
        <v>1</v>
      </c>
    </row>
    <row r="2656" spans="1:13">
      <c r="A2656" s="6">
        <v>43857</v>
      </c>
      <c r="B2656" s="7">
        <v>0.56319444444444444</v>
      </c>
      <c r="C2656" s="20" t="str">
        <f>"FES1162733150"</f>
        <v>FES1162733150</v>
      </c>
      <c r="D2656" s="20" t="s">
        <v>19</v>
      </c>
      <c r="E2656" s="20" t="s">
        <v>900</v>
      </c>
      <c r="F2656" s="20" t="str">
        <f>"2170724609 "</f>
        <v xml:space="preserve">2170724609 </v>
      </c>
      <c r="G2656" s="20" t="str">
        <f t="shared" si="77"/>
        <v>ON1</v>
      </c>
      <c r="H2656" s="20" t="s">
        <v>21</v>
      </c>
      <c r="I2656" s="20" t="s">
        <v>73</v>
      </c>
      <c r="J2656" s="20" t="str">
        <f>""</f>
        <v/>
      </c>
      <c r="K2656" s="20" t="str">
        <f>"PFES1162733150_0001"</f>
        <v>PFES1162733150_0001</v>
      </c>
      <c r="L2656" s="20">
        <v>1</v>
      </c>
      <c r="M2656" s="20">
        <v>1</v>
      </c>
    </row>
    <row r="2657" spans="1:13">
      <c r="A2657" s="6">
        <v>43857</v>
      </c>
      <c r="B2657" s="7">
        <v>0.5625</v>
      </c>
      <c r="C2657" s="20" t="str">
        <f>"FES1162733132"</f>
        <v>FES1162733132</v>
      </c>
      <c r="D2657" s="20" t="s">
        <v>19</v>
      </c>
      <c r="E2657" s="20" t="s">
        <v>953</v>
      </c>
      <c r="F2657" s="20" t="str">
        <f>"2170725624 "</f>
        <v xml:space="preserve">2170725624 </v>
      </c>
      <c r="G2657" s="20" t="str">
        <f t="shared" si="77"/>
        <v>ON1</v>
      </c>
      <c r="H2657" s="20" t="s">
        <v>21</v>
      </c>
      <c r="I2657" s="20" t="s">
        <v>954</v>
      </c>
      <c r="J2657" s="20" t="str">
        <f>""</f>
        <v/>
      </c>
      <c r="K2657" s="20" t="str">
        <f>"PFES1162733132_0001"</f>
        <v>PFES1162733132_0001</v>
      </c>
      <c r="L2657" s="20">
        <v>1</v>
      </c>
      <c r="M2657" s="20">
        <v>1</v>
      </c>
    </row>
    <row r="2658" spans="1:13">
      <c r="A2658" s="6">
        <v>43857</v>
      </c>
      <c r="B2658" s="7">
        <v>0.56180555555555556</v>
      </c>
      <c r="C2658" s="20" t="str">
        <f>"FES1162733142"</f>
        <v>FES1162733142</v>
      </c>
      <c r="D2658" s="20" t="s">
        <v>19</v>
      </c>
      <c r="E2658" s="20" t="s">
        <v>321</v>
      </c>
      <c r="F2658" s="20" t="str">
        <f>"2170725607 "</f>
        <v xml:space="preserve">2170725607 </v>
      </c>
      <c r="G2658" s="20" t="str">
        <f t="shared" si="77"/>
        <v>ON1</v>
      </c>
      <c r="H2658" s="20" t="s">
        <v>21</v>
      </c>
      <c r="I2658" s="20" t="s">
        <v>127</v>
      </c>
      <c r="J2658" s="20" t="str">
        <f>""</f>
        <v/>
      </c>
      <c r="K2658" s="20" t="str">
        <f>"PFES1162733142_0001"</f>
        <v>PFES1162733142_0001</v>
      </c>
      <c r="L2658" s="20">
        <v>1</v>
      </c>
      <c r="M2658" s="20">
        <v>1</v>
      </c>
    </row>
    <row r="2659" spans="1:13">
      <c r="A2659" s="6">
        <v>43857</v>
      </c>
      <c r="B2659" s="7">
        <v>0.55833333333333335</v>
      </c>
      <c r="C2659" s="20" t="str">
        <f>"FES1162733131"</f>
        <v>FES1162733131</v>
      </c>
      <c r="D2659" s="20" t="s">
        <v>19</v>
      </c>
      <c r="E2659" s="20" t="s">
        <v>982</v>
      </c>
      <c r="F2659" s="20" t="str">
        <f>"2170725623 "</f>
        <v xml:space="preserve">2170725623 </v>
      </c>
      <c r="G2659" s="20" t="str">
        <f t="shared" si="77"/>
        <v>ON1</v>
      </c>
      <c r="H2659" s="20" t="s">
        <v>21</v>
      </c>
      <c r="I2659" s="20" t="s">
        <v>73</v>
      </c>
      <c r="J2659" s="20" t="str">
        <f>""</f>
        <v/>
      </c>
      <c r="K2659" s="20" t="str">
        <f>"PFES1162733131_0001"</f>
        <v>PFES1162733131_0001</v>
      </c>
      <c r="L2659" s="20">
        <v>1</v>
      </c>
      <c r="M2659" s="20">
        <v>1</v>
      </c>
    </row>
    <row r="2660" spans="1:13">
      <c r="A2660" s="6">
        <v>43857</v>
      </c>
      <c r="B2660" s="7">
        <v>0.55694444444444446</v>
      </c>
      <c r="C2660" s="20" t="str">
        <f>"FES1162733175"</f>
        <v>FES1162733175</v>
      </c>
      <c r="D2660" s="20" t="s">
        <v>19</v>
      </c>
      <c r="E2660" s="20" t="s">
        <v>976</v>
      </c>
      <c r="F2660" s="20" t="str">
        <f>"2170725687 "</f>
        <v xml:space="preserve">2170725687 </v>
      </c>
      <c r="G2660" s="20" t="str">
        <f t="shared" si="77"/>
        <v>ON1</v>
      </c>
      <c r="H2660" s="20" t="s">
        <v>21</v>
      </c>
      <c r="I2660" s="20" t="s">
        <v>165</v>
      </c>
      <c r="J2660" s="20" t="str">
        <f>""</f>
        <v/>
      </c>
      <c r="K2660" s="20" t="str">
        <f>"PFES1162733175_0001"</f>
        <v>PFES1162733175_0001</v>
      </c>
      <c r="L2660" s="20">
        <v>1</v>
      </c>
      <c r="M2660" s="20">
        <v>1</v>
      </c>
    </row>
    <row r="2661" spans="1:13">
      <c r="A2661" s="6">
        <v>43857</v>
      </c>
      <c r="B2661" s="7">
        <v>0.55625000000000002</v>
      </c>
      <c r="C2661" s="20" t="str">
        <f>"FES1162733107"</f>
        <v>FES1162733107</v>
      </c>
      <c r="D2661" s="20" t="s">
        <v>19</v>
      </c>
      <c r="E2661" s="20" t="s">
        <v>101</v>
      </c>
      <c r="F2661" s="20" t="str">
        <f>"21707255587 "</f>
        <v xml:space="preserve">21707255587 </v>
      </c>
      <c r="G2661" s="20" t="str">
        <f t="shared" si="77"/>
        <v>ON1</v>
      </c>
      <c r="H2661" s="20" t="s">
        <v>21</v>
      </c>
      <c r="I2661" s="20" t="s">
        <v>102</v>
      </c>
      <c r="J2661" s="20" t="str">
        <f>""</f>
        <v/>
      </c>
      <c r="K2661" s="20" t="str">
        <f>"PFES1162733107_0001"</f>
        <v>PFES1162733107_0001</v>
      </c>
      <c r="L2661" s="20">
        <v>1</v>
      </c>
      <c r="M2661" s="20">
        <v>2</v>
      </c>
    </row>
    <row r="2662" spans="1:13">
      <c r="A2662" s="6">
        <v>43857</v>
      </c>
      <c r="B2662" s="7">
        <v>0.55555555555555558</v>
      </c>
      <c r="C2662" s="20" t="str">
        <f>"FES1162733126"</f>
        <v>FES1162733126</v>
      </c>
      <c r="D2662" s="20" t="s">
        <v>19</v>
      </c>
      <c r="E2662" s="20" t="s">
        <v>953</v>
      </c>
      <c r="F2662" s="20" t="str">
        <f>"21707256109 "</f>
        <v xml:space="preserve">21707256109 </v>
      </c>
      <c r="G2662" s="20" t="str">
        <f t="shared" si="77"/>
        <v>ON1</v>
      </c>
      <c r="H2662" s="20" t="s">
        <v>21</v>
      </c>
      <c r="I2662" s="20" t="s">
        <v>954</v>
      </c>
      <c r="J2662" s="20" t="str">
        <f>""</f>
        <v/>
      </c>
      <c r="K2662" s="20" t="str">
        <f>"PFES1162733126_0001"</f>
        <v>PFES1162733126_0001</v>
      </c>
      <c r="L2662" s="20">
        <v>1</v>
      </c>
      <c r="M2662" s="20">
        <v>1</v>
      </c>
    </row>
    <row r="2663" spans="1:13">
      <c r="A2663" s="6">
        <v>43857</v>
      </c>
      <c r="B2663" s="7">
        <v>0.55555555555555558</v>
      </c>
      <c r="C2663" s="20" t="str">
        <f>"FES1162733137"</f>
        <v>FES1162733137</v>
      </c>
      <c r="D2663" s="20" t="s">
        <v>19</v>
      </c>
      <c r="E2663" s="20" t="s">
        <v>810</v>
      </c>
      <c r="F2663" s="20" t="str">
        <f>"2170725629 "</f>
        <v xml:space="preserve">2170725629 </v>
      </c>
      <c r="G2663" s="20" t="str">
        <f t="shared" si="77"/>
        <v>ON1</v>
      </c>
      <c r="H2663" s="20" t="s">
        <v>21</v>
      </c>
      <c r="I2663" s="20" t="s">
        <v>209</v>
      </c>
      <c r="J2663" s="20" t="str">
        <f>""</f>
        <v/>
      </c>
      <c r="K2663" s="20" t="str">
        <f>"PFES1162733137_0001"</f>
        <v>PFES1162733137_0001</v>
      </c>
      <c r="L2663" s="20">
        <v>1</v>
      </c>
      <c r="M2663" s="20">
        <v>2</v>
      </c>
    </row>
    <row r="2664" spans="1:13">
      <c r="A2664" s="6">
        <v>43857</v>
      </c>
      <c r="B2664" s="7">
        <v>0.55486111111111114</v>
      </c>
      <c r="C2664" s="20" t="str">
        <f>"FES1162733147"</f>
        <v>FES1162733147</v>
      </c>
      <c r="D2664" s="20" t="s">
        <v>19</v>
      </c>
      <c r="E2664" s="20" t="s">
        <v>983</v>
      </c>
      <c r="F2664" s="20" t="str">
        <f>"2170725645 "</f>
        <v xml:space="preserve">2170725645 </v>
      </c>
      <c r="G2664" s="20" t="str">
        <f t="shared" si="77"/>
        <v>ON1</v>
      </c>
      <c r="H2664" s="20" t="s">
        <v>21</v>
      </c>
      <c r="I2664" s="20" t="s">
        <v>249</v>
      </c>
      <c r="J2664" s="20" t="str">
        <f>""</f>
        <v/>
      </c>
      <c r="K2664" s="20" t="str">
        <f>"PFES1162733147_0001"</f>
        <v>PFES1162733147_0001</v>
      </c>
      <c r="L2664" s="20">
        <v>1</v>
      </c>
      <c r="M2664" s="20">
        <v>3</v>
      </c>
    </row>
    <row r="2665" spans="1:13">
      <c r="A2665" s="6">
        <v>43857</v>
      </c>
      <c r="B2665" s="7">
        <v>0.5541666666666667</v>
      </c>
      <c r="C2665" s="20" t="str">
        <f>"009935723367"</f>
        <v>009935723367</v>
      </c>
      <c r="D2665" s="20" t="s">
        <v>19</v>
      </c>
      <c r="E2665" s="20" t="s">
        <v>59</v>
      </c>
      <c r="F2665" s="20" t="str">
        <f>"1162732949 "</f>
        <v xml:space="preserve">1162732949 </v>
      </c>
      <c r="G2665" s="20" t="str">
        <f t="shared" si="77"/>
        <v>ON1</v>
      </c>
      <c r="H2665" s="20" t="s">
        <v>21</v>
      </c>
      <c r="I2665" s="20" t="s">
        <v>60</v>
      </c>
      <c r="J2665" s="20" t="str">
        <f>""</f>
        <v/>
      </c>
      <c r="K2665" s="20" t="str">
        <f>"P009935723367_0001"</f>
        <v>P009935723367_0001</v>
      </c>
      <c r="L2665" s="20">
        <v>1</v>
      </c>
      <c r="M2665" s="20">
        <v>12</v>
      </c>
    </row>
    <row r="2666" spans="1:13">
      <c r="A2666" s="6">
        <v>43857</v>
      </c>
      <c r="B2666" s="7">
        <v>0.55347222222222225</v>
      </c>
      <c r="C2666" s="20" t="str">
        <f>"009935723366"</f>
        <v>009935723366</v>
      </c>
      <c r="D2666" s="20" t="s">
        <v>19</v>
      </c>
      <c r="E2666" s="20" t="s">
        <v>343</v>
      </c>
      <c r="F2666" s="20" t="str">
        <f>"1162732244 "</f>
        <v xml:space="preserve">1162732244 </v>
      </c>
      <c r="G2666" s="20" t="str">
        <f t="shared" si="77"/>
        <v>ON1</v>
      </c>
      <c r="H2666" s="20" t="s">
        <v>21</v>
      </c>
      <c r="I2666" s="20" t="s">
        <v>344</v>
      </c>
      <c r="J2666" s="20" t="str">
        <f>"RESEND"</f>
        <v>RESEND</v>
      </c>
      <c r="K2666" s="20" t="str">
        <f>"P009935723366_0001"</f>
        <v>P009935723366_0001</v>
      </c>
      <c r="L2666" s="20">
        <v>1</v>
      </c>
      <c r="M2666" s="20">
        <v>3</v>
      </c>
    </row>
    <row r="2667" spans="1:13">
      <c r="A2667" s="6">
        <v>43857</v>
      </c>
      <c r="B2667" s="7">
        <v>0.54583333333333328</v>
      </c>
      <c r="C2667" s="20" t="str">
        <f>"FES1162733159"</f>
        <v>FES1162733159</v>
      </c>
      <c r="D2667" s="20" t="s">
        <v>19</v>
      </c>
      <c r="E2667" s="20" t="s">
        <v>46</v>
      </c>
      <c r="F2667" s="20" t="str">
        <f>"2170725663 "</f>
        <v xml:space="preserve">2170725663 </v>
      </c>
      <c r="G2667" s="20" t="str">
        <f>"DBC"</f>
        <v>DBC</v>
      </c>
      <c r="H2667" s="20" t="s">
        <v>21</v>
      </c>
      <c r="I2667" s="20" t="s">
        <v>47</v>
      </c>
      <c r="J2667" s="20" t="str">
        <f>""</f>
        <v/>
      </c>
      <c r="K2667" s="20" t="str">
        <f>"PFES1162733159_0001"</f>
        <v>PFES1162733159_0001</v>
      </c>
      <c r="L2667" s="20">
        <v>1</v>
      </c>
      <c r="M2667" s="20">
        <v>21</v>
      </c>
    </row>
    <row r="2668" spans="1:13">
      <c r="A2668" s="6">
        <v>43857</v>
      </c>
      <c r="B2668" s="7">
        <v>0.54583333333333328</v>
      </c>
      <c r="C2668" s="20" t="str">
        <f>"FES1162733074"</f>
        <v>FES1162733074</v>
      </c>
      <c r="D2668" s="20" t="s">
        <v>19</v>
      </c>
      <c r="E2668" s="20" t="s">
        <v>37</v>
      </c>
      <c r="F2668" s="20" t="str">
        <f>"2170725544 "</f>
        <v xml:space="preserve">2170725544 </v>
      </c>
      <c r="G2668" s="20" t="str">
        <f t="shared" ref="G2668:G2731" si="78">"ON1"</f>
        <v>ON1</v>
      </c>
      <c r="H2668" s="20" t="s">
        <v>21</v>
      </c>
      <c r="I2668" s="20" t="s">
        <v>38</v>
      </c>
      <c r="J2668" s="20" t="str">
        <f>""</f>
        <v/>
      </c>
      <c r="K2668" s="20" t="str">
        <f>"PFES1162733074_0001"</f>
        <v>PFES1162733074_0001</v>
      </c>
      <c r="L2668" s="20">
        <v>1</v>
      </c>
      <c r="M2668" s="20">
        <v>10</v>
      </c>
    </row>
    <row r="2669" spans="1:13">
      <c r="A2669" s="6">
        <v>43857</v>
      </c>
      <c r="B2669" s="7">
        <v>0.54513888888888895</v>
      </c>
      <c r="C2669" s="20" t="str">
        <f>"FES1162733136"</f>
        <v>FES1162733136</v>
      </c>
      <c r="D2669" s="20" t="s">
        <v>19</v>
      </c>
      <c r="E2669" s="20" t="s">
        <v>588</v>
      </c>
      <c r="F2669" s="20" t="str">
        <f>"2170725628 "</f>
        <v xml:space="preserve">2170725628 </v>
      </c>
      <c r="G2669" s="20" t="str">
        <f t="shared" si="78"/>
        <v>ON1</v>
      </c>
      <c r="H2669" s="20" t="s">
        <v>21</v>
      </c>
      <c r="I2669" s="20" t="s">
        <v>408</v>
      </c>
      <c r="J2669" s="20" t="str">
        <f>""</f>
        <v/>
      </c>
      <c r="K2669" s="20" t="str">
        <f>"PFES1162733136_0001"</f>
        <v>PFES1162733136_0001</v>
      </c>
      <c r="L2669" s="20">
        <v>1</v>
      </c>
      <c r="M2669" s="20">
        <v>2</v>
      </c>
    </row>
    <row r="2670" spans="1:13">
      <c r="A2670" s="6">
        <v>43857</v>
      </c>
      <c r="B2670" s="7">
        <v>0.54513888888888895</v>
      </c>
      <c r="C2670" s="20" t="str">
        <f>"FES1162733071"</f>
        <v>FES1162733071</v>
      </c>
      <c r="D2670" s="20" t="s">
        <v>19</v>
      </c>
      <c r="E2670" s="20" t="s">
        <v>218</v>
      </c>
      <c r="F2670" s="20" t="str">
        <f>"2170725538 "</f>
        <v xml:space="preserve">2170725538 </v>
      </c>
      <c r="G2670" s="20" t="str">
        <f t="shared" si="78"/>
        <v>ON1</v>
      </c>
      <c r="H2670" s="20" t="s">
        <v>21</v>
      </c>
      <c r="I2670" s="20" t="s">
        <v>49</v>
      </c>
      <c r="J2670" s="20" t="str">
        <f>""</f>
        <v/>
      </c>
      <c r="K2670" s="20" t="str">
        <f>"PFES1162733071_0001"</f>
        <v>PFES1162733071_0001</v>
      </c>
      <c r="L2670" s="20">
        <v>1</v>
      </c>
      <c r="M2670" s="20">
        <v>1</v>
      </c>
    </row>
    <row r="2671" spans="1:13">
      <c r="A2671" s="6">
        <v>43857</v>
      </c>
      <c r="B2671" s="7">
        <v>0.5444444444444444</v>
      </c>
      <c r="C2671" s="20" t="str">
        <f>"FES1162733108"</f>
        <v>FES1162733108</v>
      </c>
      <c r="D2671" s="20" t="s">
        <v>19</v>
      </c>
      <c r="E2671" s="20" t="s">
        <v>469</v>
      </c>
      <c r="F2671" s="20" t="str">
        <f>"2170725588 "</f>
        <v xml:space="preserve">2170725588 </v>
      </c>
      <c r="G2671" s="20" t="str">
        <f t="shared" si="78"/>
        <v>ON1</v>
      </c>
      <c r="H2671" s="20" t="s">
        <v>21</v>
      </c>
      <c r="I2671" s="20" t="s">
        <v>47</v>
      </c>
      <c r="J2671" s="20" t="str">
        <f>""</f>
        <v/>
      </c>
      <c r="K2671" s="20" t="str">
        <f>"PFES1162733108_0001"</f>
        <v>PFES1162733108_0001</v>
      </c>
      <c r="L2671" s="20">
        <v>1</v>
      </c>
      <c r="M2671" s="20">
        <v>2</v>
      </c>
    </row>
    <row r="2672" spans="1:13">
      <c r="A2672" s="6">
        <v>43857</v>
      </c>
      <c r="B2672" s="7">
        <v>0.5444444444444444</v>
      </c>
      <c r="C2672" s="20" t="str">
        <f>"FES1162733072"</f>
        <v>FES1162733072</v>
      </c>
      <c r="D2672" s="20" t="s">
        <v>19</v>
      </c>
      <c r="E2672" s="20" t="s">
        <v>37</v>
      </c>
      <c r="F2672" s="20" t="str">
        <f>"2170725542 "</f>
        <v xml:space="preserve">2170725542 </v>
      </c>
      <c r="G2672" s="20" t="str">
        <f t="shared" si="78"/>
        <v>ON1</v>
      </c>
      <c r="H2672" s="20" t="s">
        <v>21</v>
      </c>
      <c r="I2672" s="20" t="s">
        <v>38</v>
      </c>
      <c r="J2672" s="20" t="str">
        <f>""</f>
        <v/>
      </c>
      <c r="K2672" s="20" t="str">
        <f>"PFES1162733072_0001"</f>
        <v>PFES1162733072_0001</v>
      </c>
      <c r="L2672" s="20">
        <v>1</v>
      </c>
      <c r="M2672" s="20">
        <v>3</v>
      </c>
    </row>
    <row r="2673" spans="1:13">
      <c r="A2673" s="6">
        <v>43857</v>
      </c>
      <c r="B2673" s="7">
        <v>0.54375000000000007</v>
      </c>
      <c r="C2673" s="20" t="str">
        <f>"FES1162733081"</f>
        <v>FES1162733081</v>
      </c>
      <c r="D2673" s="20" t="s">
        <v>19</v>
      </c>
      <c r="E2673" s="20" t="s">
        <v>469</v>
      </c>
      <c r="F2673" s="20" t="str">
        <f>"2170725560 "</f>
        <v xml:space="preserve">2170725560 </v>
      </c>
      <c r="G2673" s="20" t="str">
        <f t="shared" si="78"/>
        <v>ON1</v>
      </c>
      <c r="H2673" s="20" t="s">
        <v>21</v>
      </c>
      <c r="I2673" s="20" t="s">
        <v>47</v>
      </c>
      <c r="J2673" s="20" t="str">
        <f>""</f>
        <v/>
      </c>
      <c r="K2673" s="20" t="str">
        <f>"PFES1162733081_0001"</f>
        <v>PFES1162733081_0001</v>
      </c>
      <c r="L2673" s="20">
        <v>1</v>
      </c>
      <c r="M2673" s="20">
        <v>3</v>
      </c>
    </row>
    <row r="2674" spans="1:13">
      <c r="A2674" s="6">
        <v>43857</v>
      </c>
      <c r="B2674" s="7">
        <v>0.54375000000000007</v>
      </c>
      <c r="C2674" s="20" t="str">
        <f>"FES1162733083"</f>
        <v>FES1162733083</v>
      </c>
      <c r="D2674" s="20" t="s">
        <v>19</v>
      </c>
      <c r="E2674" s="20" t="s">
        <v>171</v>
      </c>
      <c r="F2674" s="20" t="str">
        <f>"2170725566 "</f>
        <v xml:space="preserve">2170725566 </v>
      </c>
      <c r="G2674" s="20" t="str">
        <f t="shared" si="78"/>
        <v>ON1</v>
      </c>
      <c r="H2674" s="20" t="s">
        <v>21</v>
      </c>
      <c r="I2674" s="20" t="s">
        <v>47</v>
      </c>
      <c r="J2674" s="20" t="str">
        <f>""</f>
        <v/>
      </c>
      <c r="K2674" s="20" t="str">
        <f>"PFES1162733083_0001"</f>
        <v>PFES1162733083_0001</v>
      </c>
      <c r="L2674" s="20">
        <v>1</v>
      </c>
      <c r="M2674" s="20">
        <v>2</v>
      </c>
    </row>
    <row r="2675" spans="1:13">
      <c r="A2675" s="6">
        <v>43857</v>
      </c>
      <c r="B2675" s="7">
        <v>0.54305555555555551</v>
      </c>
      <c r="C2675" s="20" t="str">
        <f>"FES1162733082"</f>
        <v>FES1162733082</v>
      </c>
      <c r="D2675" s="20" t="s">
        <v>19</v>
      </c>
      <c r="E2675" s="20" t="s">
        <v>469</v>
      </c>
      <c r="F2675" s="20" t="str">
        <f>"2170725562 "</f>
        <v xml:space="preserve">2170725562 </v>
      </c>
      <c r="G2675" s="20" t="str">
        <f t="shared" si="78"/>
        <v>ON1</v>
      </c>
      <c r="H2675" s="20" t="s">
        <v>21</v>
      </c>
      <c r="I2675" s="20" t="s">
        <v>47</v>
      </c>
      <c r="J2675" s="20" t="str">
        <f>""</f>
        <v/>
      </c>
      <c r="K2675" s="20" t="str">
        <f>"PFES1162733082_0001"</f>
        <v>PFES1162733082_0001</v>
      </c>
      <c r="L2675" s="20">
        <v>1</v>
      </c>
      <c r="M2675" s="20">
        <v>7</v>
      </c>
    </row>
    <row r="2676" spans="1:13">
      <c r="A2676" s="6">
        <v>43857</v>
      </c>
      <c r="B2676" s="7">
        <v>0.54305555555555551</v>
      </c>
      <c r="C2676" s="20" t="str">
        <f>"FES1162733084"</f>
        <v>FES1162733084</v>
      </c>
      <c r="D2676" s="20" t="s">
        <v>19</v>
      </c>
      <c r="E2676" s="20" t="s">
        <v>721</v>
      </c>
      <c r="F2676" s="20" t="str">
        <f>"2170725567 "</f>
        <v xml:space="preserve">2170725567 </v>
      </c>
      <c r="G2676" s="20" t="str">
        <f t="shared" si="78"/>
        <v>ON1</v>
      </c>
      <c r="H2676" s="20" t="s">
        <v>21</v>
      </c>
      <c r="I2676" s="20" t="s">
        <v>288</v>
      </c>
      <c r="J2676" s="20" t="str">
        <f>""</f>
        <v/>
      </c>
      <c r="K2676" s="20" t="str">
        <f>"PFES1162733084_0001"</f>
        <v>PFES1162733084_0001</v>
      </c>
      <c r="L2676" s="20">
        <v>1</v>
      </c>
      <c r="M2676" s="20">
        <v>2</v>
      </c>
    </row>
    <row r="2677" spans="1:13">
      <c r="A2677" s="6">
        <v>43857</v>
      </c>
      <c r="B2677" s="7">
        <v>0.54236111111111118</v>
      </c>
      <c r="C2677" s="20" t="str">
        <f>"FES1162733054"</f>
        <v>FES1162733054</v>
      </c>
      <c r="D2677" s="20" t="s">
        <v>19</v>
      </c>
      <c r="E2677" s="20" t="s">
        <v>293</v>
      </c>
      <c r="F2677" s="20" t="str">
        <f>"2170724862 "</f>
        <v xml:space="preserve">2170724862 </v>
      </c>
      <c r="G2677" s="20" t="str">
        <f t="shared" si="78"/>
        <v>ON1</v>
      </c>
      <c r="H2677" s="20" t="s">
        <v>21</v>
      </c>
      <c r="I2677" s="20" t="s">
        <v>294</v>
      </c>
      <c r="J2677" s="20" t="str">
        <f>""</f>
        <v/>
      </c>
      <c r="K2677" s="20" t="str">
        <f>"PFES1162733054_0001"</f>
        <v>PFES1162733054_0001</v>
      </c>
      <c r="L2677" s="20">
        <v>1</v>
      </c>
      <c r="M2677" s="20">
        <v>4</v>
      </c>
    </row>
    <row r="2678" spans="1:13">
      <c r="A2678" s="6">
        <v>43857</v>
      </c>
      <c r="B2678" s="7">
        <v>0.54027777777777775</v>
      </c>
      <c r="C2678" s="20" t="str">
        <f>"FES1162733057"</f>
        <v>FES1162733057</v>
      </c>
      <c r="D2678" s="20" t="s">
        <v>19</v>
      </c>
      <c r="E2678" s="20" t="s">
        <v>404</v>
      </c>
      <c r="F2678" s="20" t="str">
        <f>"2170723056 "</f>
        <v xml:space="preserve">2170723056 </v>
      </c>
      <c r="G2678" s="20" t="str">
        <f t="shared" si="78"/>
        <v>ON1</v>
      </c>
      <c r="H2678" s="20" t="s">
        <v>21</v>
      </c>
      <c r="I2678" s="20" t="s">
        <v>405</v>
      </c>
      <c r="J2678" s="20" t="str">
        <f>""</f>
        <v/>
      </c>
      <c r="K2678" s="20" t="str">
        <f>"PFES1162733057_0001"</f>
        <v>PFES1162733057_0001</v>
      </c>
      <c r="L2678" s="20">
        <v>1</v>
      </c>
      <c r="M2678" s="20">
        <v>3</v>
      </c>
    </row>
    <row r="2679" spans="1:13">
      <c r="A2679" s="6">
        <v>43857</v>
      </c>
      <c r="B2679" s="7">
        <v>0.54027777777777775</v>
      </c>
      <c r="C2679" s="20" t="str">
        <f>"FES1162733115"</f>
        <v>FES1162733115</v>
      </c>
      <c r="D2679" s="20" t="s">
        <v>19</v>
      </c>
      <c r="E2679" s="20" t="s">
        <v>118</v>
      </c>
      <c r="F2679" s="20" t="str">
        <f>"2170725594 "</f>
        <v xml:space="preserve">2170725594 </v>
      </c>
      <c r="G2679" s="20" t="str">
        <f t="shared" si="78"/>
        <v>ON1</v>
      </c>
      <c r="H2679" s="20" t="s">
        <v>21</v>
      </c>
      <c r="I2679" s="20" t="s">
        <v>119</v>
      </c>
      <c r="J2679" s="20" t="str">
        <f>""</f>
        <v/>
      </c>
      <c r="K2679" s="20" t="str">
        <f>"PFES1162733115_0001"</f>
        <v>PFES1162733115_0001</v>
      </c>
      <c r="L2679" s="20">
        <v>1</v>
      </c>
      <c r="M2679" s="20">
        <v>2</v>
      </c>
    </row>
    <row r="2680" spans="1:13">
      <c r="A2680" s="6">
        <v>43857</v>
      </c>
      <c r="B2680" s="7">
        <v>0.5395833333333333</v>
      </c>
      <c r="C2680" s="20" t="str">
        <f>"FES1162733077"</f>
        <v>FES1162733077</v>
      </c>
      <c r="D2680" s="20" t="s">
        <v>19</v>
      </c>
      <c r="E2680" s="20" t="s">
        <v>41</v>
      </c>
      <c r="F2680" s="20" t="str">
        <f>"2170725554 "</f>
        <v xml:space="preserve">2170725554 </v>
      </c>
      <c r="G2680" s="20" t="str">
        <f t="shared" si="78"/>
        <v>ON1</v>
      </c>
      <c r="H2680" s="20" t="s">
        <v>21</v>
      </c>
      <c r="I2680" s="20" t="s">
        <v>31</v>
      </c>
      <c r="J2680" s="20" t="str">
        <f>""</f>
        <v/>
      </c>
      <c r="K2680" s="20" t="str">
        <f>"PFES1162733077_0001"</f>
        <v>PFES1162733077_0001</v>
      </c>
      <c r="L2680" s="20">
        <v>1</v>
      </c>
      <c r="M2680" s="20">
        <v>3</v>
      </c>
    </row>
    <row r="2681" spans="1:13">
      <c r="A2681" s="6">
        <v>43857</v>
      </c>
      <c r="B2681" s="7">
        <v>0.5395833333333333</v>
      </c>
      <c r="C2681" s="20" t="str">
        <f>"FES1162733091"</f>
        <v>FES1162733091</v>
      </c>
      <c r="D2681" s="20" t="s">
        <v>19</v>
      </c>
      <c r="E2681" s="20" t="s">
        <v>23</v>
      </c>
      <c r="F2681" s="20" t="str">
        <f>"2170725541 "</f>
        <v xml:space="preserve">2170725541 </v>
      </c>
      <c r="G2681" s="20" t="str">
        <f t="shared" si="78"/>
        <v>ON1</v>
      </c>
      <c r="H2681" s="20" t="s">
        <v>21</v>
      </c>
      <c r="I2681" s="20" t="s">
        <v>24</v>
      </c>
      <c r="J2681" s="20" t="str">
        <f>""</f>
        <v/>
      </c>
      <c r="K2681" s="20" t="str">
        <f>"PFES1162733091_0001"</f>
        <v>PFES1162733091_0001</v>
      </c>
      <c r="L2681" s="20">
        <v>1</v>
      </c>
      <c r="M2681" s="20">
        <v>3</v>
      </c>
    </row>
    <row r="2682" spans="1:13">
      <c r="A2682" s="6">
        <v>43857</v>
      </c>
      <c r="B2682" s="7">
        <v>0.53888888888888886</v>
      </c>
      <c r="C2682" s="20" t="str">
        <f>"FES1162733088"</f>
        <v>FES1162733088</v>
      </c>
      <c r="D2682" s="20" t="s">
        <v>19</v>
      </c>
      <c r="E2682" s="20" t="s">
        <v>310</v>
      </c>
      <c r="F2682" s="20" t="str">
        <f>"2170725571 3"</f>
        <v>2170725571 3</v>
      </c>
      <c r="G2682" s="20" t="str">
        <f t="shared" si="78"/>
        <v>ON1</v>
      </c>
      <c r="H2682" s="20" t="s">
        <v>21</v>
      </c>
      <c r="I2682" s="20" t="s">
        <v>311</v>
      </c>
      <c r="J2682" s="20" t="str">
        <f>""</f>
        <v/>
      </c>
      <c r="K2682" s="20" t="str">
        <f>"PFES1162733088_0001"</f>
        <v>PFES1162733088_0001</v>
      </c>
      <c r="L2682" s="20">
        <v>1</v>
      </c>
      <c r="M2682" s="20">
        <v>2</v>
      </c>
    </row>
    <row r="2683" spans="1:13">
      <c r="A2683" s="6">
        <v>43857</v>
      </c>
      <c r="B2683" s="7">
        <v>0.53819444444444442</v>
      </c>
      <c r="C2683" s="20" t="str">
        <f>"FES1162733034"</f>
        <v>FES1162733034</v>
      </c>
      <c r="D2683" s="20" t="s">
        <v>19</v>
      </c>
      <c r="E2683" s="20" t="s">
        <v>529</v>
      </c>
      <c r="F2683" s="20" t="str">
        <f>"2170725514 "</f>
        <v xml:space="preserve">2170725514 </v>
      </c>
      <c r="G2683" s="20" t="str">
        <f t="shared" si="78"/>
        <v>ON1</v>
      </c>
      <c r="H2683" s="20" t="s">
        <v>21</v>
      </c>
      <c r="I2683" s="20" t="s">
        <v>36</v>
      </c>
      <c r="J2683" s="20" t="str">
        <f>""</f>
        <v/>
      </c>
      <c r="K2683" s="20" t="str">
        <f>"PFES1162733034_0001"</f>
        <v>PFES1162733034_0001</v>
      </c>
      <c r="L2683" s="20">
        <v>2</v>
      </c>
      <c r="M2683" s="20">
        <v>12</v>
      </c>
    </row>
    <row r="2684" spans="1:13">
      <c r="A2684" s="6">
        <v>43857</v>
      </c>
      <c r="B2684" s="7">
        <v>0.53819444444444442</v>
      </c>
      <c r="C2684" s="20" t="str">
        <f>"FES1162733034"</f>
        <v>FES1162733034</v>
      </c>
      <c r="D2684" s="20" t="s">
        <v>19</v>
      </c>
      <c r="E2684" s="20" t="s">
        <v>529</v>
      </c>
      <c r="F2684" s="20" t="str">
        <f>"2170725514 "</f>
        <v xml:space="preserve">2170725514 </v>
      </c>
      <c r="G2684" s="20" t="str">
        <f t="shared" si="78"/>
        <v>ON1</v>
      </c>
      <c r="H2684" s="20" t="s">
        <v>21</v>
      </c>
      <c r="I2684" s="20" t="s">
        <v>36</v>
      </c>
      <c r="J2684" s="20"/>
      <c r="K2684" s="20" t="str">
        <f>"PFES1162733034_0002"</f>
        <v>PFES1162733034_0002</v>
      </c>
      <c r="L2684" s="20">
        <v>2</v>
      </c>
      <c r="M2684" s="20">
        <v>12</v>
      </c>
    </row>
    <row r="2685" spans="1:13">
      <c r="A2685" s="6">
        <v>43857</v>
      </c>
      <c r="B2685" s="7">
        <v>0.53819444444444442</v>
      </c>
      <c r="C2685" s="20" t="str">
        <f>"FES1162733155"</f>
        <v>FES1162733155</v>
      </c>
      <c r="D2685" s="20" t="s">
        <v>19</v>
      </c>
      <c r="E2685" s="20" t="s">
        <v>984</v>
      </c>
      <c r="F2685" s="20" t="str">
        <f>"2170725660 "</f>
        <v xml:space="preserve">2170725660 </v>
      </c>
      <c r="G2685" s="20" t="str">
        <f t="shared" si="78"/>
        <v>ON1</v>
      </c>
      <c r="H2685" s="20" t="s">
        <v>21</v>
      </c>
      <c r="I2685" s="20" t="s">
        <v>320</v>
      </c>
      <c r="J2685" s="20" t="str">
        <f>""</f>
        <v/>
      </c>
      <c r="K2685" s="20" t="str">
        <f>"PFES1162733155_0001"</f>
        <v>PFES1162733155_0001</v>
      </c>
      <c r="L2685" s="20">
        <v>1</v>
      </c>
      <c r="M2685" s="20">
        <v>1</v>
      </c>
    </row>
    <row r="2686" spans="1:13">
      <c r="A2686" s="6">
        <v>43857</v>
      </c>
      <c r="B2686" s="7">
        <v>0.53819444444444442</v>
      </c>
      <c r="C2686" s="20" t="str">
        <f>"FES1162733046"</f>
        <v>FES1162733046</v>
      </c>
      <c r="D2686" s="20" t="s">
        <v>19</v>
      </c>
      <c r="E2686" s="20" t="s">
        <v>985</v>
      </c>
      <c r="F2686" s="20" t="str">
        <f>"2170725526 "</f>
        <v xml:space="preserve">2170725526 </v>
      </c>
      <c r="G2686" s="20" t="str">
        <f t="shared" si="78"/>
        <v>ON1</v>
      </c>
      <c r="H2686" s="20" t="s">
        <v>21</v>
      </c>
      <c r="I2686" s="20" t="s">
        <v>986</v>
      </c>
      <c r="J2686" s="20" t="str">
        <f>""</f>
        <v/>
      </c>
      <c r="K2686" s="20" t="str">
        <f>"PFES1162733046_0001"</f>
        <v>PFES1162733046_0001</v>
      </c>
      <c r="L2686" s="20">
        <v>1</v>
      </c>
      <c r="M2686" s="20">
        <v>1</v>
      </c>
    </row>
    <row r="2687" spans="1:13">
      <c r="A2687" s="6">
        <v>43857</v>
      </c>
      <c r="B2687" s="7">
        <v>0.53680555555555554</v>
      </c>
      <c r="C2687" s="20" t="str">
        <f>"FES1162733068"</f>
        <v>FES1162733068</v>
      </c>
      <c r="D2687" s="20" t="s">
        <v>19</v>
      </c>
      <c r="E2687" s="20" t="s">
        <v>987</v>
      </c>
      <c r="F2687" s="20" t="str">
        <f>"2170725392 "</f>
        <v xml:space="preserve">2170725392 </v>
      </c>
      <c r="G2687" s="20" t="str">
        <f t="shared" si="78"/>
        <v>ON1</v>
      </c>
      <c r="H2687" s="20" t="s">
        <v>21</v>
      </c>
      <c r="I2687" s="20" t="s">
        <v>496</v>
      </c>
      <c r="J2687" s="20" t="str">
        <f>""</f>
        <v/>
      </c>
      <c r="K2687" s="20" t="str">
        <f>"PFES1162733068_0001"</f>
        <v>PFES1162733068_0001</v>
      </c>
      <c r="L2687" s="20">
        <v>1</v>
      </c>
      <c r="M2687" s="20">
        <v>1</v>
      </c>
    </row>
    <row r="2688" spans="1:13">
      <c r="A2688" s="6">
        <v>43857</v>
      </c>
      <c r="B2688" s="7">
        <v>0.53680555555555554</v>
      </c>
      <c r="C2688" s="20" t="str">
        <f>"FES1162733098"</f>
        <v>FES1162733098</v>
      </c>
      <c r="D2688" s="20" t="s">
        <v>19</v>
      </c>
      <c r="E2688" s="20" t="s">
        <v>322</v>
      </c>
      <c r="F2688" s="20" t="str">
        <f>"217025575 "</f>
        <v xml:space="preserve">217025575 </v>
      </c>
      <c r="G2688" s="20" t="str">
        <f t="shared" si="78"/>
        <v>ON1</v>
      </c>
      <c r="H2688" s="20" t="s">
        <v>21</v>
      </c>
      <c r="I2688" s="20" t="s">
        <v>323</v>
      </c>
      <c r="J2688" s="20" t="str">
        <f>""</f>
        <v/>
      </c>
      <c r="K2688" s="20" t="str">
        <f>"PFES1162733098_0001"</f>
        <v>PFES1162733098_0001</v>
      </c>
      <c r="L2688" s="20">
        <v>1</v>
      </c>
      <c r="M2688" s="20">
        <v>8</v>
      </c>
    </row>
    <row r="2689" spans="1:13">
      <c r="A2689" s="6">
        <v>43857</v>
      </c>
      <c r="B2689" s="7">
        <v>0.53611111111111109</v>
      </c>
      <c r="C2689" s="20" t="str">
        <f>"FES1162733096"</f>
        <v>FES1162733096</v>
      </c>
      <c r="D2689" s="20" t="s">
        <v>19</v>
      </c>
      <c r="E2689" s="20" t="s">
        <v>74</v>
      </c>
      <c r="F2689" s="20" t="str">
        <f>"217025575 "</f>
        <v xml:space="preserve">217025575 </v>
      </c>
      <c r="G2689" s="20" t="str">
        <f t="shared" si="78"/>
        <v>ON1</v>
      </c>
      <c r="H2689" s="20" t="s">
        <v>21</v>
      </c>
      <c r="I2689" s="20" t="s">
        <v>49</v>
      </c>
      <c r="J2689" s="20" t="str">
        <f>""</f>
        <v/>
      </c>
      <c r="K2689" s="20" t="str">
        <f>"PFES1162733096_0001"</f>
        <v>PFES1162733096_0001</v>
      </c>
      <c r="L2689" s="20">
        <v>1</v>
      </c>
      <c r="M2689" s="20">
        <v>8</v>
      </c>
    </row>
    <row r="2690" spans="1:13">
      <c r="A2690" s="6">
        <v>43857</v>
      </c>
      <c r="B2690" s="7">
        <v>0.53541666666666665</v>
      </c>
      <c r="C2690" s="20" t="str">
        <f>"FES1162733048"</f>
        <v>FES1162733048</v>
      </c>
      <c r="D2690" s="20" t="s">
        <v>19</v>
      </c>
      <c r="E2690" s="20" t="s">
        <v>988</v>
      </c>
      <c r="F2690" s="20" t="str">
        <f>"2170725529 "</f>
        <v xml:space="preserve">2170725529 </v>
      </c>
      <c r="G2690" s="20" t="str">
        <f t="shared" si="78"/>
        <v>ON1</v>
      </c>
      <c r="H2690" s="20" t="s">
        <v>21</v>
      </c>
      <c r="I2690" s="20" t="s">
        <v>379</v>
      </c>
      <c r="J2690" s="20" t="str">
        <f>""</f>
        <v/>
      </c>
      <c r="K2690" s="20" t="str">
        <f>"PFES1162733048_0001"</f>
        <v>PFES1162733048_0001</v>
      </c>
      <c r="L2690" s="20">
        <v>1</v>
      </c>
      <c r="M2690" s="20">
        <v>2</v>
      </c>
    </row>
    <row r="2691" spans="1:13">
      <c r="A2691" s="6">
        <v>43857</v>
      </c>
      <c r="B2691" s="7">
        <v>0.53402777777777777</v>
      </c>
      <c r="C2691" s="20" t="str">
        <f>"FES1162733033"</f>
        <v>FES1162733033</v>
      </c>
      <c r="D2691" s="20" t="s">
        <v>19</v>
      </c>
      <c r="E2691" s="20" t="s">
        <v>989</v>
      </c>
      <c r="F2691" s="20" t="str">
        <f>"2170725513 "</f>
        <v xml:space="preserve">2170725513 </v>
      </c>
      <c r="G2691" s="20" t="str">
        <f t="shared" si="78"/>
        <v>ON1</v>
      </c>
      <c r="H2691" s="20" t="s">
        <v>21</v>
      </c>
      <c r="I2691" s="20" t="s">
        <v>788</v>
      </c>
      <c r="J2691" s="20" t="str">
        <f>""</f>
        <v/>
      </c>
      <c r="K2691" s="20" t="str">
        <f>"PFES1162733033_0001"</f>
        <v>PFES1162733033_0001</v>
      </c>
      <c r="L2691" s="20">
        <v>1</v>
      </c>
      <c r="M2691" s="20">
        <v>5</v>
      </c>
    </row>
    <row r="2692" spans="1:13">
      <c r="A2692" s="6">
        <v>43857</v>
      </c>
      <c r="B2692" s="7">
        <v>0.53402777777777777</v>
      </c>
      <c r="C2692" s="20" t="str">
        <f>"FES1162733049"</f>
        <v>FES1162733049</v>
      </c>
      <c r="D2692" s="20" t="s">
        <v>19</v>
      </c>
      <c r="E2692" s="20" t="s">
        <v>990</v>
      </c>
      <c r="F2692" s="20" t="str">
        <f>"2170725531 "</f>
        <v xml:space="preserve">2170725531 </v>
      </c>
      <c r="G2692" s="20" t="str">
        <f t="shared" si="78"/>
        <v>ON1</v>
      </c>
      <c r="H2692" s="20" t="s">
        <v>21</v>
      </c>
      <c r="I2692" s="20" t="s">
        <v>991</v>
      </c>
      <c r="J2692" s="20" t="str">
        <f>""</f>
        <v/>
      </c>
      <c r="K2692" s="20" t="str">
        <f>"PFES1162733049_0001"</f>
        <v>PFES1162733049_0001</v>
      </c>
      <c r="L2692" s="20">
        <v>1</v>
      </c>
      <c r="M2692" s="20">
        <v>6</v>
      </c>
    </row>
    <row r="2693" spans="1:13">
      <c r="A2693" s="6">
        <v>43857</v>
      </c>
      <c r="B2693" s="7">
        <v>0.53333333333333333</v>
      </c>
      <c r="C2693" s="20" t="str">
        <f>"FES1162733076"</f>
        <v>FES1162733076</v>
      </c>
      <c r="D2693" s="20" t="s">
        <v>19</v>
      </c>
      <c r="E2693" s="20" t="s">
        <v>992</v>
      </c>
      <c r="F2693" s="20" t="str">
        <f>"2170725546 "</f>
        <v xml:space="preserve">2170725546 </v>
      </c>
      <c r="G2693" s="20" t="str">
        <f t="shared" si="78"/>
        <v>ON1</v>
      </c>
      <c r="H2693" s="20" t="s">
        <v>21</v>
      </c>
      <c r="I2693" s="20" t="s">
        <v>993</v>
      </c>
      <c r="J2693" s="20" t="str">
        <f>""</f>
        <v/>
      </c>
      <c r="K2693" s="20" t="str">
        <f>"PFES1162733076_0001"</f>
        <v>PFES1162733076_0001</v>
      </c>
      <c r="L2693" s="20">
        <v>1</v>
      </c>
      <c r="M2693" s="20">
        <v>3</v>
      </c>
    </row>
    <row r="2694" spans="1:13">
      <c r="A2694" s="6">
        <v>43857</v>
      </c>
      <c r="B2694" s="7">
        <v>0.53055555555555556</v>
      </c>
      <c r="C2694" s="20" t="str">
        <f>"FES1162733100"</f>
        <v>FES1162733100</v>
      </c>
      <c r="D2694" s="20" t="s">
        <v>19</v>
      </c>
      <c r="E2694" s="20" t="s">
        <v>199</v>
      </c>
      <c r="F2694" s="20" t="str">
        <f>"2170725579 "</f>
        <v xml:space="preserve">2170725579 </v>
      </c>
      <c r="G2694" s="20" t="str">
        <f t="shared" si="78"/>
        <v>ON1</v>
      </c>
      <c r="H2694" s="20" t="s">
        <v>21</v>
      </c>
      <c r="I2694" s="20" t="s">
        <v>200</v>
      </c>
      <c r="J2694" s="20" t="str">
        <f>""</f>
        <v/>
      </c>
      <c r="K2694" s="20" t="str">
        <f>"PFES1162733100_0001"</f>
        <v>PFES1162733100_0001</v>
      </c>
      <c r="L2694" s="20">
        <v>1</v>
      </c>
      <c r="M2694" s="20">
        <v>7</v>
      </c>
    </row>
    <row r="2695" spans="1:13">
      <c r="A2695" s="6">
        <v>43857</v>
      </c>
      <c r="B2695" s="7">
        <v>0.53055555555555556</v>
      </c>
      <c r="C2695" s="20" t="str">
        <f>"FES1162733123"</f>
        <v>FES1162733123</v>
      </c>
      <c r="D2695" s="20" t="s">
        <v>19</v>
      </c>
      <c r="E2695" s="20" t="s">
        <v>199</v>
      </c>
      <c r="F2695" s="20" t="str">
        <f>"2170725612 "</f>
        <v xml:space="preserve">2170725612 </v>
      </c>
      <c r="G2695" s="20" t="str">
        <f t="shared" si="78"/>
        <v>ON1</v>
      </c>
      <c r="H2695" s="20" t="s">
        <v>21</v>
      </c>
      <c r="I2695" s="20" t="s">
        <v>200</v>
      </c>
      <c r="J2695" s="20" t="str">
        <f>""</f>
        <v/>
      </c>
      <c r="K2695" s="20" t="str">
        <f>"PFES1162733123_0001"</f>
        <v>PFES1162733123_0001</v>
      </c>
      <c r="L2695" s="20">
        <v>1</v>
      </c>
      <c r="M2695" s="20">
        <v>3</v>
      </c>
    </row>
    <row r="2696" spans="1:13">
      <c r="A2696" s="6">
        <v>43857</v>
      </c>
      <c r="B2696" s="7">
        <v>0.52986111111111112</v>
      </c>
      <c r="C2696" s="20" t="str">
        <f>"FES1162733092"</f>
        <v>FES1162733092</v>
      </c>
      <c r="D2696" s="20" t="s">
        <v>19</v>
      </c>
      <c r="E2696" s="20" t="s">
        <v>647</v>
      </c>
      <c r="F2696" s="20" t="str">
        <f>"2170725563 "</f>
        <v xml:space="preserve">2170725563 </v>
      </c>
      <c r="G2696" s="20" t="str">
        <f t="shared" si="78"/>
        <v>ON1</v>
      </c>
      <c r="H2696" s="20" t="s">
        <v>21</v>
      </c>
      <c r="I2696" s="20" t="s">
        <v>403</v>
      </c>
      <c r="J2696" s="20" t="str">
        <f>""</f>
        <v/>
      </c>
      <c r="K2696" s="20" t="str">
        <f>"PFES1162733092_0001"</f>
        <v>PFES1162733092_0001</v>
      </c>
      <c r="L2696" s="20">
        <v>1</v>
      </c>
      <c r="M2696" s="20">
        <v>1</v>
      </c>
    </row>
    <row r="2697" spans="1:13">
      <c r="A2697" s="6">
        <v>43857</v>
      </c>
      <c r="B2697" s="7">
        <v>0.52986111111111112</v>
      </c>
      <c r="C2697" s="20" t="str">
        <f>"FES1162733134"</f>
        <v>FES1162733134</v>
      </c>
      <c r="D2697" s="20" t="s">
        <v>19</v>
      </c>
      <c r="E2697" s="20" t="s">
        <v>67</v>
      </c>
      <c r="F2697" s="20" t="str">
        <f>"2170725627 "</f>
        <v xml:space="preserve">2170725627 </v>
      </c>
      <c r="G2697" s="20" t="str">
        <f t="shared" si="78"/>
        <v>ON1</v>
      </c>
      <c r="H2697" s="20" t="s">
        <v>21</v>
      </c>
      <c r="I2697" s="20" t="s">
        <v>38</v>
      </c>
      <c r="J2697" s="20" t="str">
        <f>""</f>
        <v/>
      </c>
      <c r="K2697" s="20" t="str">
        <f>"PFES1162733134_0001"</f>
        <v>PFES1162733134_0001</v>
      </c>
      <c r="L2697" s="20">
        <v>1</v>
      </c>
      <c r="M2697" s="20">
        <v>3</v>
      </c>
    </row>
    <row r="2698" spans="1:13">
      <c r="A2698" s="6">
        <v>43857</v>
      </c>
      <c r="B2698" s="7">
        <v>0.52916666666666667</v>
      </c>
      <c r="C2698" s="20" t="str">
        <f>"FES1162733097"</f>
        <v>FES1162733097</v>
      </c>
      <c r="D2698" s="20" t="s">
        <v>19</v>
      </c>
      <c r="E2698" s="20" t="s">
        <v>101</v>
      </c>
      <c r="F2698" s="20" t="str">
        <f>"2170725576 "</f>
        <v xml:space="preserve">2170725576 </v>
      </c>
      <c r="G2698" s="20" t="str">
        <f t="shared" si="78"/>
        <v>ON1</v>
      </c>
      <c r="H2698" s="20" t="s">
        <v>21</v>
      </c>
      <c r="I2698" s="20" t="s">
        <v>102</v>
      </c>
      <c r="J2698" s="20" t="str">
        <f>""</f>
        <v/>
      </c>
      <c r="K2698" s="20" t="str">
        <f>"PFES1162733097_0001"</f>
        <v>PFES1162733097_0001</v>
      </c>
      <c r="L2698" s="20">
        <v>1</v>
      </c>
      <c r="M2698" s="20">
        <v>5</v>
      </c>
    </row>
    <row r="2699" spans="1:13">
      <c r="A2699" s="6">
        <v>43857</v>
      </c>
      <c r="B2699" s="7">
        <v>0.52916666666666667</v>
      </c>
      <c r="C2699" s="20" t="str">
        <f>"FES1162733101"</f>
        <v>FES1162733101</v>
      </c>
      <c r="D2699" s="20" t="s">
        <v>19</v>
      </c>
      <c r="E2699" s="20" t="s">
        <v>365</v>
      </c>
      <c r="F2699" s="20" t="str">
        <f>"2170725580 "</f>
        <v xml:space="preserve">2170725580 </v>
      </c>
      <c r="G2699" s="20" t="str">
        <f t="shared" si="78"/>
        <v>ON1</v>
      </c>
      <c r="H2699" s="20" t="s">
        <v>21</v>
      </c>
      <c r="I2699" s="20" t="s">
        <v>366</v>
      </c>
      <c r="J2699" s="20" t="str">
        <f>""</f>
        <v/>
      </c>
      <c r="K2699" s="20" t="str">
        <f>"PFES1162733101_0001"</f>
        <v>PFES1162733101_0001</v>
      </c>
      <c r="L2699" s="20">
        <v>1</v>
      </c>
      <c r="M2699" s="20">
        <v>4</v>
      </c>
    </row>
    <row r="2700" spans="1:13">
      <c r="A2700" s="6">
        <v>43857</v>
      </c>
      <c r="B2700" s="7">
        <v>0.52847222222222223</v>
      </c>
      <c r="C2700" s="20" t="str">
        <f>"FES1162733125"</f>
        <v>FES1162733125</v>
      </c>
      <c r="D2700" s="20" t="s">
        <v>19</v>
      </c>
      <c r="E2700" s="20" t="s">
        <v>199</v>
      </c>
      <c r="F2700" s="20" t="str">
        <f>"2170725618 "</f>
        <v xml:space="preserve">2170725618 </v>
      </c>
      <c r="G2700" s="20" t="str">
        <f t="shared" si="78"/>
        <v>ON1</v>
      </c>
      <c r="H2700" s="20" t="s">
        <v>21</v>
      </c>
      <c r="I2700" s="20" t="s">
        <v>200</v>
      </c>
      <c r="J2700" s="20" t="str">
        <f>""</f>
        <v/>
      </c>
      <c r="K2700" s="20" t="str">
        <f>"PFES1162733125_0001"</f>
        <v>PFES1162733125_0001</v>
      </c>
      <c r="L2700" s="20">
        <v>1</v>
      </c>
      <c r="M2700" s="20">
        <v>2</v>
      </c>
    </row>
    <row r="2701" spans="1:13">
      <c r="A2701" s="6">
        <v>43857</v>
      </c>
      <c r="B2701" s="7">
        <v>0.52847222222222223</v>
      </c>
      <c r="C2701" s="20" t="str">
        <f>"FES1162733129"</f>
        <v>FES1162733129</v>
      </c>
      <c r="D2701" s="20" t="s">
        <v>19</v>
      </c>
      <c r="E2701" s="20" t="s">
        <v>349</v>
      </c>
      <c r="F2701" s="20" t="str">
        <f>"21707248345 "</f>
        <v xml:space="preserve">21707248345 </v>
      </c>
      <c r="G2701" s="20" t="str">
        <f t="shared" si="78"/>
        <v>ON1</v>
      </c>
      <c r="H2701" s="20" t="s">
        <v>21</v>
      </c>
      <c r="I2701" s="20" t="s">
        <v>85</v>
      </c>
      <c r="J2701" s="20" t="str">
        <f>""</f>
        <v/>
      </c>
      <c r="K2701" s="20" t="str">
        <f>"PFES1162733129_0001"</f>
        <v>PFES1162733129_0001</v>
      </c>
      <c r="L2701" s="20">
        <v>2</v>
      </c>
      <c r="M2701" s="20">
        <v>7</v>
      </c>
    </row>
    <row r="2702" spans="1:13">
      <c r="A2702" s="6">
        <v>43857</v>
      </c>
      <c r="B2702" s="7">
        <v>0.52847222222222223</v>
      </c>
      <c r="C2702" s="20" t="str">
        <f>"FES1162733129"</f>
        <v>FES1162733129</v>
      </c>
      <c r="D2702" s="20" t="s">
        <v>19</v>
      </c>
      <c r="E2702" s="20" t="s">
        <v>349</v>
      </c>
      <c r="F2702" s="20" t="str">
        <f>"21707248345 "</f>
        <v xml:space="preserve">21707248345 </v>
      </c>
      <c r="G2702" s="20" t="str">
        <f t="shared" si="78"/>
        <v>ON1</v>
      </c>
      <c r="H2702" s="20" t="s">
        <v>21</v>
      </c>
      <c r="I2702" s="20" t="s">
        <v>85</v>
      </c>
      <c r="J2702" s="20"/>
      <c r="K2702" s="20" t="str">
        <f>"PFES1162733129_0002"</f>
        <v>PFES1162733129_0002</v>
      </c>
      <c r="L2702" s="20">
        <v>2</v>
      </c>
      <c r="M2702" s="20">
        <v>7</v>
      </c>
    </row>
    <row r="2703" spans="1:13">
      <c r="A2703" s="6">
        <v>43857</v>
      </c>
      <c r="B2703" s="7">
        <v>0.52777777777777779</v>
      </c>
      <c r="C2703" s="20" t="str">
        <f>"FES1162733145"</f>
        <v>FES1162733145</v>
      </c>
      <c r="D2703" s="20" t="s">
        <v>19</v>
      </c>
      <c r="E2703" s="20" t="s">
        <v>921</v>
      </c>
      <c r="F2703" s="20" t="str">
        <f>"2170725641 "</f>
        <v xml:space="preserve">2170725641 </v>
      </c>
      <c r="G2703" s="20" t="str">
        <f t="shared" si="78"/>
        <v>ON1</v>
      </c>
      <c r="H2703" s="20" t="s">
        <v>21</v>
      </c>
      <c r="I2703" s="20" t="s">
        <v>531</v>
      </c>
      <c r="J2703" s="20" t="str">
        <f>""</f>
        <v/>
      </c>
      <c r="K2703" s="20" t="str">
        <f>"PFES1162733145_0001"</f>
        <v>PFES1162733145_0001</v>
      </c>
      <c r="L2703" s="20">
        <v>1</v>
      </c>
      <c r="M2703" s="20">
        <v>1</v>
      </c>
    </row>
    <row r="2704" spans="1:13">
      <c r="A2704" s="6">
        <v>43857</v>
      </c>
      <c r="B2704" s="7">
        <v>0.52777777777777779</v>
      </c>
      <c r="C2704" s="20" t="str">
        <f>"FES1162733144"</f>
        <v>FES1162733144</v>
      </c>
      <c r="D2704" s="20" t="s">
        <v>19</v>
      </c>
      <c r="E2704" s="20" t="s">
        <v>994</v>
      </c>
      <c r="F2704" s="20" t="str">
        <f>"2170725530 "</f>
        <v xml:space="preserve">2170725530 </v>
      </c>
      <c r="G2704" s="20" t="str">
        <f t="shared" si="78"/>
        <v>ON1</v>
      </c>
      <c r="H2704" s="20" t="s">
        <v>21</v>
      </c>
      <c r="I2704" s="20" t="s">
        <v>968</v>
      </c>
      <c r="J2704" s="20" t="str">
        <f>""</f>
        <v/>
      </c>
      <c r="K2704" s="20" t="str">
        <f>"PFES1162733144_0001"</f>
        <v>PFES1162733144_0001</v>
      </c>
      <c r="L2704" s="20">
        <v>1</v>
      </c>
      <c r="M2704" s="20">
        <v>1</v>
      </c>
    </row>
    <row r="2705" spans="1:13">
      <c r="A2705" s="6">
        <v>43857</v>
      </c>
      <c r="B2705" s="7">
        <v>0.52708333333333335</v>
      </c>
      <c r="C2705" s="20" t="str">
        <f>"FES1162733138"</f>
        <v>FES1162733138</v>
      </c>
      <c r="D2705" s="20" t="s">
        <v>19</v>
      </c>
      <c r="E2705" s="20" t="s">
        <v>61</v>
      </c>
      <c r="F2705" s="20" t="str">
        <f>"2170725631 "</f>
        <v xml:space="preserve">2170725631 </v>
      </c>
      <c r="G2705" s="20" t="str">
        <f t="shared" si="78"/>
        <v>ON1</v>
      </c>
      <c r="H2705" s="20" t="s">
        <v>21</v>
      </c>
      <c r="I2705" s="20" t="s">
        <v>28</v>
      </c>
      <c r="J2705" s="20" t="str">
        <f>""</f>
        <v/>
      </c>
      <c r="K2705" s="20" t="str">
        <f>"PFES1162733138_0001"</f>
        <v>PFES1162733138_0001</v>
      </c>
      <c r="L2705" s="20">
        <v>1</v>
      </c>
      <c r="M2705" s="20">
        <v>1</v>
      </c>
    </row>
    <row r="2706" spans="1:13">
      <c r="A2706" s="6">
        <v>43857</v>
      </c>
      <c r="B2706" s="7">
        <v>0.52708333333333335</v>
      </c>
      <c r="C2706" s="20" t="str">
        <f>"FES1162733032"</f>
        <v>FES1162733032</v>
      </c>
      <c r="D2706" s="20" t="s">
        <v>19</v>
      </c>
      <c r="E2706" s="20" t="s">
        <v>995</v>
      </c>
      <c r="F2706" s="20" t="str">
        <f>"2170725313 "</f>
        <v xml:space="preserve">2170725313 </v>
      </c>
      <c r="G2706" s="20" t="str">
        <f t="shared" si="78"/>
        <v>ON1</v>
      </c>
      <c r="H2706" s="20" t="s">
        <v>21</v>
      </c>
      <c r="I2706" s="20" t="s">
        <v>34</v>
      </c>
      <c r="J2706" s="20" t="str">
        <f>""</f>
        <v/>
      </c>
      <c r="K2706" s="20" t="str">
        <f>"PFES1162733032_0001"</f>
        <v>PFES1162733032_0001</v>
      </c>
      <c r="L2706" s="20">
        <v>1</v>
      </c>
      <c r="M2706" s="20">
        <v>1</v>
      </c>
    </row>
    <row r="2707" spans="1:13">
      <c r="A2707" s="6">
        <v>43857</v>
      </c>
      <c r="B2707" s="7">
        <v>0.52638888888888891</v>
      </c>
      <c r="C2707" s="20" t="str">
        <f>"FES1162733148"</f>
        <v>FES1162733148</v>
      </c>
      <c r="D2707" s="20" t="s">
        <v>19</v>
      </c>
      <c r="E2707" s="20" t="s">
        <v>996</v>
      </c>
      <c r="F2707" s="20" t="str">
        <f>"2170725646 "</f>
        <v xml:space="preserve">2170725646 </v>
      </c>
      <c r="G2707" s="20" t="str">
        <f t="shared" si="78"/>
        <v>ON1</v>
      </c>
      <c r="H2707" s="20" t="s">
        <v>21</v>
      </c>
      <c r="I2707" s="20" t="s">
        <v>45</v>
      </c>
      <c r="J2707" s="20" t="str">
        <f>""</f>
        <v/>
      </c>
      <c r="K2707" s="20" t="str">
        <f>"PFES1162733148_0001"</f>
        <v>PFES1162733148_0001</v>
      </c>
      <c r="L2707" s="20">
        <v>1</v>
      </c>
      <c r="M2707" s="20">
        <v>1</v>
      </c>
    </row>
    <row r="2708" spans="1:13">
      <c r="A2708" s="6">
        <v>43857</v>
      </c>
      <c r="B2708" s="7">
        <v>0.52638888888888891</v>
      </c>
      <c r="C2708" s="20" t="str">
        <f>"FES1162733102"</f>
        <v>FES1162733102</v>
      </c>
      <c r="D2708" s="20" t="s">
        <v>19</v>
      </c>
      <c r="E2708" s="20" t="s">
        <v>218</v>
      </c>
      <c r="F2708" s="20" t="str">
        <f>"2170725581 "</f>
        <v xml:space="preserve">2170725581 </v>
      </c>
      <c r="G2708" s="20" t="str">
        <f t="shared" si="78"/>
        <v>ON1</v>
      </c>
      <c r="H2708" s="20" t="s">
        <v>21</v>
      </c>
      <c r="I2708" s="20" t="s">
        <v>49</v>
      </c>
      <c r="J2708" s="20" t="str">
        <f>""</f>
        <v/>
      </c>
      <c r="K2708" s="20" t="str">
        <f>"PFES1162733102_0001"</f>
        <v>PFES1162733102_0001</v>
      </c>
      <c r="L2708" s="20">
        <v>1</v>
      </c>
      <c r="M2708" s="20">
        <v>1</v>
      </c>
    </row>
    <row r="2709" spans="1:13">
      <c r="A2709" s="6">
        <v>43857</v>
      </c>
      <c r="B2709" s="7">
        <v>0.52569444444444446</v>
      </c>
      <c r="C2709" s="20" t="str">
        <f>"FES1162733078"</f>
        <v>FES1162733078</v>
      </c>
      <c r="D2709" s="20" t="s">
        <v>19</v>
      </c>
      <c r="E2709" s="20" t="s">
        <v>308</v>
      </c>
      <c r="F2709" s="20" t="str">
        <f>"2170725556 "</f>
        <v xml:space="preserve">2170725556 </v>
      </c>
      <c r="G2709" s="20" t="str">
        <f t="shared" si="78"/>
        <v>ON1</v>
      </c>
      <c r="H2709" s="20" t="s">
        <v>21</v>
      </c>
      <c r="I2709" s="20" t="s">
        <v>309</v>
      </c>
      <c r="J2709" s="20" t="str">
        <f>""</f>
        <v/>
      </c>
      <c r="K2709" s="20" t="str">
        <f>"PFES1162733078_0001"</f>
        <v>PFES1162733078_0001</v>
      </c>
      <c r="L2709" s="20">
        <v>1</v>
      </c>
      <c r="M2709" s="20">
        <v>1</v>
      </c>
    </row>
    <row r="2710" spans="1:13">
      <c r="A2710" s="6">
        <v>43857</v>
      </c>
      <c r="B2710" s="7">
        <v>0.52569444444444446</v>
      </c>
      <c r="C2710" s="20" t="str">
        <f>"FES1162733140"</f>
        <v>FES1162733140</v>
      </c>
      <c r="D2710" s="20" t="s">
        <v>19</v>
      </c>
      <c r="E2710" s="20" t="s">
        <v>180</v>
      </c>
      <c r="F2710" s="20" t="str">
        <f>"2170725633 "</f>
        <v xml:space="preserve">2170725633 </v>
      </c>
      <c r="G2710" s="20" t="str">
        <f t="shared" si="78"/>
        <v>ON1</v>
      </c>
      <c r="H2710" s="20" t="s">
        <v>21</v>
      </c>
      <c r="I2710" s="20" t="s">
        <v>28</v>
      </c>
      <c r="J2710" s="20" t="str">
        <f>""</f>
        <v/>
      </c>
      <c r="K2710" s="20" t="str">
        <f>"PFES1162733140_0001"</f>
        <v>PFES1162733140_0001</v>
      </c>
      <c r="L2710" s="20">
        <v>1</v>
      </c>
      <c r="M2710" s="20">
        <v>1</v>
      </c>
    </row>
    <row r="2711" spans="1:13">
      <c r="A2711" s="6">
        <v>43857</v>
      </c>
      <c r="B2711" s="7">
        <v>0.52500000000000002</v>
      </c>
      <c r="C2711" s="20" t="str">
        <f>"FES1162733146"</f>
        <v>FES1162733146</v>
      </c>
      <c r="D2711" s="20" t="s">
        <v>19</v>
      </c>
      <c r="E2711" s="20" t="s">
        <v>153</v>
      </c>
      <c r="F2711" s="20" t="str">
        <f>"2170725644 "</f>
        <v xml:space="preserve">2170725644 </v>
      </c>
      <c r="G2711" s="20" t="str">
        <f t="shared" si="78"/>
        <v>ON1</v>
      </c>
      <c r="H2711" s="20" t="s">
        <v>21</v>
      </c>
      <c r="I2711" s="20" t="s">
        <v>146</v>
      </c>
      <c r="J2711" s="20" t="str">
        <f>""</f>
        <v/>
      </c>
      <c r="K2711" s="20" t="str">
        <f>"PFES1162733146_0001"</f>
        <v>PFES1162733146_0001</v>
      </c>
      <c r="L2711" s="20">
        <v>1</v>
      </c>
      <c r="M2711" s="20">
        <v>1</v>
      </c>
    </row>
    <row r="2712" spans="1:13">
      <c r="A2712" s="6">
        <v>43857</v>
      </c>
      <c r="B2712" s="7">
        <v>0.52500000000000002</v>
      </c>
      <c r="C2712" s="20" t="str">
        <f>"FES1162733064"</f>
        <v>FES1162733064</v>
      </c>
      <c r="D2712" s="20" t="s">
        <v>19</v>
      </c>
      <c r="E2712" s="20" t="s">
        <v>224</v>
      </c>
      <c r="F2712" s="20" t="str">
        <f>"2170725287 "</f>
        <v xml:space="preserve">2170725287 </v>
      </c>
      <c r="G2712" s="20" t="str">
        <f t="shared" si="78"/>
        <v>ON1</v>
      </c>
      <c r="H2712" s="20" t="s">
        <v>21</v>
      </c>
      <c r="I2712" s="20" t="s">
        <v>500</v>
      </c>
      <c r="J2712" s="20" t="str">
        <f>""</f>
        <v/>
      </c>
      <c r="K2712" s="20" t="str">
        <f>"PFES1162733064_0001"</f>
        <v>PFES1162733064_0001</v>
      </c>
      <c r="L2712" s="20">
        <v>1</v>
      </c>
      <c r="M2712" s="20">
        <v>1</v>
      </c>
    </row>
    <row r="2713" spans="1:13">
      <c r="A2713" s="6">
        <v>43857</v>
      </c>
      <c r="B2713" s="7">
        <v>0.52083333333333337</v>
      </c>
      <c r="C2713" s="20" t="str">
        <f>"FES1162733056"</f>
        <v>FES1162733056</v>
      </c>
      <c r="D2713" s="20" t="s">
        <v>19</v>
      </c>
      <c r="E2713" s="20" t="s">
        <v>44</v>
      </c>
      <c r="F2713" s="20" t="str">
        <f>"2170723026 "</f>
        <v xml:space="preserve">2170723026 </v>
      </c>
      <c r="G2713" s="20" t="str">
        <f t="shared" si="78"/>
        <v>ON1</v>
      </c>
      <c r="H2713" s="20" t="s">
        <v>21</v>
      </c>
      <c r="I2713" s="20" t="s">
        <v>85</v>
      </c>
      <c r="J2713" s="20" t="str">
        <f>""</f>
        <v/>
      </c>
      <c r="K2713" s="20" t="str">
        <f>"PFES1162733056_0001"</f>
        <v>PFES1162733056_0001</v>
      </c>
      <c r="L2713" s="20">
        <v>1</v>
      </c>
      <c r="M2713" s="20">
        <v>1</v>
      </c>
    </row>
    <row r="2714" spans="1:13">
      <c r="A2714" s="6">
        <v>43857</v>
      </c>
      <c r="B2714" s="7">
        <v>0.52083333333333337</v>
      </c>
      <c r="C2714" s="20" t="str">
        <f>"FES1162733058"</f>
        <v>FES1162733058</v>
      </c>
      <c r="D2714" s="20" t="s">
        <v>19</v>
      </c>
      <c r="E2714" s="20" t="s">
        <v>224</v>
      </c>
      <c r="F2714" s="20" t="str">
        <f>"2170723825 "</f>
        <v xml:space="preserve">2170723825 </v>
      </c>
      <c r="G2714" s="20" t="str">
        <f t="shared" si="78"/>
        <v>ON1</v>
      </c>
      <c r="H2714" s="20" t="s">
        <v>21</v>
      </c>
      <c r="I2714" s="20" t="s">
        <v>500</v>
      </c>
      <c r="J2714" s="20" t="str">
        <f>""</f>
        <v/>
      </c>
      <c r="K2714" s="20" t="str">
        <f>"PFES1162733058_0001"</f>
        <v>PFES1162733058_0001</v>
      </c>
      <c r="L2714" s="20">
        <v>1</v>
      </c>
      <c r="M2714" s="20">
        <v>1</v>
      </c>
    </row>
    <row r="2715" spans="1:13">
      <c r="A2715" s="6">
        <v>43857</v>
      </c>
      <c r="B2715" s="7">
        <v>0.52013888888888882</v>
      </c>
      <c r="C2715" s="20" t="str">
        <f>"FES1162733031"</f>
        <v>FES1162733031</v>
      </c>
      <c r="D2715" s="20" t="s">
        <v>19</v>
      </c>
      <c r="E2715" s="20" t="s">
        <v>997</v>
      </c>
      <c r="F2715" s="20" t="str">
        <f>"2170725312 "</f>
        <v xml:space="preserve">2170725312 </v>
      </c>
      <c r="G2715" s="20" t="str">
        <f t="shared" si="78"/>
        <v>ON1</v>
      </c>
      <c r="H2715" s="20" t="s">
        <v>21</v>
      </c>
      <c r="I2715" s="20" t="s">
        <v>34</v>
      </c>
      <c r="J2715" s="20" t="str">
        <f>""</f>
        <v/>
      </c>
      <c r="K2715" s="20" t="str">
        <f>"PFES1162733031_0001"</f>
        <v>PFES1162733031_0001</v>
      </c>
      <c r="L2715" s="20">
        <v>1</v>
      </c>
      <c r="M2715" s="20">
        <v>1</v>
      </c>
    </row>
    <row r="2716" spans="1:13">
      <c r="A2716" s="6">
        <v>43857</v>
      </c>
      <c r="B2716" s="7">
        <v>0.52013888888888882</v>
      </c>
      <c r="C2716" s="20" t="str">
        <f>"FES1162733055"</f>
        <v>FES1162733055</v>
      </c>
      <c r="D2716" s="20" t="s">
        <v>19</v>
      </c>
      <c r="E2716" s="20" t="s">
        <v>44</v>
      </c>
      <c r="F2716" s="20" t="str">
        <f>"2170722706 "</f>
        <v xml:space="preserve">2170722706 </v>
      </c>
      <c r="G2716" s="20" t="str">
        <f t="shared" si="78"/>
        <v>ON1</v>
      </c>
      <c r="H2716" s="20" t="s">
        <v>21</v>
      </c>
      <c r="I2716" s="20" t="s">
        <v>85</v>
      </c>
      <c r="J2716" s="20" t="str">
        <f>""</f>
        <v/>
      </c>
      <c r="K2716" s="20" t="str">
        <f>"PFES1162733055_0001"</f>
        <v>PFES1162733055_0001</v>
      </c>
      <c r="L2716" s="20">
        <v>1</v>
      </c>
      <c r="M2716" s="20">
        <v>1</v>
      </c>
    </row>
    <row r="2717" spans="1:13">
      <c r="A2717" s="6">
        <v>43857</v>
      </c>
      <c r="B2717" s="7">
        <v>0.52013888888888882</v>
      </c>
      <c r="C2717" s="20" t="str">
        <f>"FES1162733061"</f>
        <v>FES1162733061</v>
      </c>
      <c r="D2717" s="20" t="s">
        <v>19</v>
      </c>
      <c r="E2717" s="20" t="s">
        <v>33</v>
      </c>
      <c r="F2717" s="20" t="str">
        <f>"217072422 "</f>
        <v xml:space="preserve">217072422 </v>
      </c>
      <c r="G2717" s="20" t="str">
        <f t="shared" si="78"/>
        <v>ON1</v>
      </c>
      <c r="H2717" s="20" t="s">
        <v>21</v>
      </c>
      <c r="I2717" s="20" t="s">
        <v>34</v>
      </c>
      <c r="J2717" s="20" t="str">
        <f>""</f>
        <v/>
      </c>
      <c r="K2717" s="20" t="str">
        <f>"PFES1162733061_0001"</f>
        <v>PFES1162733061_0001</v>
      </c>
      <c r="L2717" s="20">
        <v>1</v>
      </c>
      <c r="M2717" s="20">
        <v>1</v>
      </c>
    </row>
    <row r="2718" spans="1:13">
      <c r="A2718" s="6">
        <v>43857</v>
      </c>
      <c r="B2718" s="7">
        <v>0.51944444444444449</v>
      </c>
      <c r="C2718" s="20" t="str">
        <f>"FES1162733128"</f>
        <v>FES1162733128</v>
      </c>
      <c r="D2718" s="20" t="s">
        <v>19</v>
      </c>
      <c r="E2718" s="20" t="s">
        <v>349</v>
      </c>
      <c r="F2718" s="20" t="str">
        <f>"2170724840 "</f>
        <v xml:space="preserve">2170724840 </v>
      </c>
      <c r="G2718" s="20" t="str">
        <f t="shared" si="78"/>
        <v>ON1</v>
      </c>
      <c r="H2718" s="20" t="s">
        <v>21</v>
      </c>
      <c r="I2718" s="20" t="s">
        <v>85</v>
      </c>
      <c r="J2718" s="20" t="str">
        <f>""</f>
        <v/>
      </c>
      <c r="K2718" s="20" t="str">
        <f>"PFES1162733128_0001"</f>
        <v>PFES1162733128_0001</v>
      </c>
      <c r="L2718" s="20">
        <v>1</v>
      </c>
      <c r="M2718" s="20">
        <v>1</v>
      </c>
    </row>
    <row r="2719" spans="1:13">
      <c r="A2719" s="6">
        <v>43857</v>
      </c>
      <c r="B2719" s="7">
        <v>0.51944444444444449</v>
      </c>
      <c r="C2719" s="20" t="str">
        <f>"FES1162733059"</f>
        <v>FES1162733059</v>
      </c>
      <c r="D2719" s="20" t="s">
        <v>19</v>
      </c>
      <c r="E2719" s="20" t="s">
        <v>224</v>
      </c>
      <c r="F2719" s="20" t="str">
        <f>"2170723826 "</f>
        <v xml:space="preserve">2170723826 </v>
      </c>
      <c r="G2719" s="20" t="str">
        <f t="shared" si="78"/>
        <v>ON1</v>
      </c>
      <c r="H2719" s="20" t="s">
        <v>21</v>
      </c>
      <c r="I2719" s="20" t="s">
        <v>500</v>
      </c>
      <c r="J2719" s="20" t="str">
        <f>""</f>
        <v/>
      </c>
      <c r="K2719" s="20" t="str">
        <f>"PFES1162733059_0001"</f>
        <v>PFES1162733059_0001</v>
      </c>
      <c r="L2719" s="20">
        <v>1</v>
      </c>
      <c r="M2719" s="20">
        <v>1</v>
      </c>
    </row>
    <row r="2720" spans="1:13">
      <c r="A2720" s="6">
        <v>43857</v>
      </c>
      <c r="B2720" s="7">
        <v>0.51944444444444449</v>
      </c>
      <c r="C2720" s="20" t="str">
        <f>"FES1162733009"</f>
        <v>FES1162733009</v>
      </c>
      <c r="D2720" s="20" t="s">
        <v>19</v>
      </c>
      <c r="E2720" s="20" t="s">
        <v>111</v>
      </c>
      <c r="F2720" s="20" t="str">
        <f>"21707244971 "</f>
        <v xml:space="preserve">21707244971 </v>
      </c>
      <c r="G2720" s="20" t="str">
        <f t="shared" si="78"/>
        <v>ON1</v>
      </c>
      <c r="H2720" s="20" t="s">
        <v>21</v>
      </c>
      <c r="I2720" s="20" t="s">
        <v>112</v>
      </c>
      <c r="J2720" s="20" t="str">
        <f>""</f>
        <v/>
      </c>
      <c r="K2720" s="20" t="str">
        <f>"PFES1162733009_0001"</f>
        <v>PFES1162733009_0001</v>
      </c>
      <c r="L2720" s="20">
        <v>1</v>
      </c>
      <c r="M2720" s="20">
        <v>1</v>
      </c>
    </row>
    <row r="2721" spans="1:13">
      <c r="A2721" s="6">
        <v>43857</v>
      </c>
      <c r="B2721" s="7">
        <v>0.51874999999999993</v>
      </c>
      <c r="C2721" s="20" t="str">
        <f>"FES1162733110"</f>
        <v>FES1162733110</v>
      </c>
      <c r="D2721" s="20" t="s">
        <v>19</v>
      </c>
      <c r="E2721" s="20" t="s">
        <v>101</v>
      </c>
      <c r="F2721" s="20" t="str">
        <f>"21707215590 "</f>
        <v xml:space="preserve">21707215590 </v>
      </c>
      <c r="G2721" s="20" t="str">
        <f t="shared" si="78"/>
        <v>ON1</v>
      </c>
      <c r="H2721" s="20" t="s">
        <v>21</v>
      </c>
      <c r="I2721" s="20" t="s">
        <v>102</v>
      </c>
      <c r="J2721" s="20" t="str">
        <f>""</f>
        <v/>
      </c>
      <c r="K2721" s="20" t="str">
        <f>"PFES1162733110_0001"</f>
        <v>PFES1162733110_0001</v>
      </c>
      <c r="L2721" s="20">
        <v>1</v>
      </c>
      <c r="M2721" s="20">
        <v>1</v>
      </c>
    </row>
    <row r="2722" spans="1:13">
      <c r="A2722" s="6">
        <v>43857</v>
      </c>
      <c r="B2722" s="7">
        <v>0.51874999999999993</v>
      </c>
      <c r="C2722" s="20" t="str">
        <f>"FES1162733161"</f>
        <v>FES1162733161</v>
      </c>
      <c r="D2722" s="20" t="s">
        <v>19</v>
      </c>
      <c r="E2722" s="20" t="s">
        <v>998</v>
      </c>
      <c r="F2722" s="20" t="str">
        <f>"2170725667 "</f>
        <v xml:space="preserve">2170725667 </v>
      </c>
      <c r="G2722" s="20" t="str">
        <f t="shared" si="78"/>
        <v>ON1</v>
      </c>
      <c r="H2722" s="20" t="s">
        <v>21</v>
      </c>
      <c r="I2722" s="20" t="s">
        <v>31</v>
      </c>
      <c r="J2722" s="20" t="str">
        <f>""</f>
        <v/>
      </c>
      <c r="K2722" s="20" t="str">
        <f>"PFES1162733161_0001"</f>
        <v>PFES1162733161_0001</v>
      </c>
      <c r="L2722" s="20">
        <v>1</v>
      </c>
      <c r="M2722" s="20">
        <v>1</v>
      </c>
    </row>
    <row r="2723" spans="1:13">
      <c r="A2723" s="6">
        <v>43857</v>
      </c>
      <c r="B2723" s="7">
        <v>0.51874999999999993</v>
      </c>
      <c r="C2723" s="20" t="str">
        <f>"FES1162733118"</f>
        <v>FES1162733118</v>
      </c>
      <c r="D2723" s="20" t="s">
        <v>19</v>
      </c>
      <c r="E2723" s="20" t="s">
        <v>23</v>
      </c>
      <c r="F2723" s="20" t="str">
        <f>"217072557 "</f>
        <v xml:space="preserve">217072557 </v>
      </c>
      <c r="G2723" s="20" t="str">
        <f t="shared" si="78"/>
        <v>ON1</v>
      </c>
      <c r="H2723" s="20" t="s">
        <v>21</v>
      </c>
      <c r="I2723" s="20" t="s">
        <v>127</v>
      </c>
      <c r="J2723" s="20" t="str">
        <f>""</f>
        <v/>
      </c>
      <c r="K2723" s="20" t="str">
        <f>"PFES1162733118_0001"</f>
        <v>PFES1162733118_0001</v>
      </c>
      <c r="L2723" s="20">
        <v>1</v>
      </c>
      <c r="M2723" s="20">
        <v>1</v>
      </c>
    </row>
    <row r="2724" spans="1:13">
      <c r="A2724" s="6">
        <v>43857</v>
      </c>
      <c r="B2724" s="7">
        <v>0.5180555555555556</v>
      </c>
      <c r="C2724" s="20" t="str">
        <f>"FES1162733093"</f>
        <v>FES1162733093</v>
      </c>
      <c r="D2724" s="20" t="s">
        <v>19</v>
      </c>
      <c r="E2724" s="20" t="s">
        <v>413</v>
      </c>
      <c r="F2724" s="20" t="str">
        <f>"2170725565 "</f>
        <v xml:space="preserve">2170725565 </v>
      </c>
      <c r="G2724" s="20" t="str">
        <f t="shared" si="78"/>
        <v>ON1</v>
      </c>
      <c r="H2724" s="20" t="s">
        <v>21</v>
      </c>
      <c r="I2724" s="20" t="s">
        <v>414</v>
      </c>
      <c r="J2724" s="20" t="str">
        <f>""</f>
        <v/>
      </c>
      <c r="K2724" s="20" t="str">
        <f>"PFES1162733093_0001"</f>
        <v>PFES1162733093_0001</v>
      </c>
      <c r="L2724" s="20">
        <v>1</v>
      </c>
      <c r="M2724" s="20">
        <v>1</v>
      </c>
    </row>
    <row r="2725" spans="1:13">
      <c r="A2725" s="6">
        <v>43857</v>
      </c>
      <c r="B2725" s="7">
        <v>0.5180555555555556</v>
      </c>
      <c r="C2725" s="20" t="str">
        <f>"FES1162733075"</f>
        <v>FES1162733075</v>
      </c>
      <c r="D2725" s="20" t="s">
        <v>19</v>
      </c>
      <c r="E2725" s="20" t="s">
        <v>101</v>
      </c>
      <c r="F2725" s="20" t="str">
        <f>"2170725545 "</f>
        <v xml:space="preserve">2170725545 </v>
      </c>
      <c r="G2725" s="20" t="str">
        <f t="shared" si="78"/>
        <v>ON1</v>
      </c>
      <c r="H2725" s="20" t="s">
        <v>21</v>
      </c>
      <c r="I2725" s="20" t="s">
        <v>102</v>
      </c>
      <c r="J2725" s="20" t="str">
        <f>""</f>
        <v/>
      </c>
      <c r="K2725" s="20" t="str">
        <f>"PFES1162733075_0001"</f>
        <v>PFES1162733075_0001</v>
      </c>
      <c r="L2725" s="20">
        <v>1</v>
      </c>
      <c r="M2725" s="20">
        <v>1</v>
      </c>
    </row>
    <row r="2726" spans="1:13">
      <c r="A2726" s="6">
        <v>43857</v>
      </c>
      <c r="B2726" s="7">
        <v>0.51736111111111105</v>
      </c>
      <c r="C2726" s="20" t="str">
        <f>"FES1162733117"</f>
        <v>FES1162733117</v>
      </c>
      <c r="D2726" s="20" t="s">
        <v>19</v>
      </c>
      <c r="E2726" s="20" t="s">
        <v>920</v>
      </c>
      <c r="F2726" s="20" t="str">
        <f>"2170725600 "</f>
        <v xml:space="preserve">2170725600 </v>
      </c>
      <c r="G2726" s="20" t="str">
        <f t="shared" si="78"/>
        <v>ON1</v>
      </c>
      <c r="H2726" s="20" t="s">
        <v>21</v>
      </c>
      <c r="I2726" s="20" t="s">
        <v>202</v>
      </c>
      <c r="J2726" s="20" t="str">
        <f>""</f>
        <v/>
      </c>
      <c r="K2726" s="20" t="str">
        <f>"PFES1162733117_0001"</f>
        <v>PFES1162733117_0001</v>
      </c>
      <c r="L2726" s="20">
        <v>1</v>
      </c>
      <c r="M2726" s="20">
        <v>1</v>
      </c>
    </row>
    <row r="2727" spans="1:13">
      <c r="A2727" s="6">
        <v>43857</v>
      </c>
      <c r="B2727" s="7">
        <v>0.51736111111111105</v>
      </c>
      <c r="C2727" s="20" t="str">
        <f>"FES1162733099"</f>
        <v>FES1162733099</v>
      </c>
      <c r="D2727" s="20" t="s">
        <v>19</v>
      </c>
      <c r="E2727" s="20" t="s">
        <v>999</v>
      </c>
      <c r="F2727" s="20" t="str">
        <f>"2170725555 "</f>
        <v xml:space="preserve">2170725555 </v>
      </c>
      <c r="G2727" s="20" t="str">
        <f t="shared" si="78"/>
        <v>ON1</v>
      </c>
      <c r="H2727" s="20" t="s">
        <v>21</v>
      </c>
      <c r="I2727" s="20" t="s">
        <v>202</v>
      </c>
      <c r="J2727" s="20" t="str">
        <f>""</f>
        <v/>
      </c>
      <c r="K2727" s="20" t="str">
        <f>"PFES1162733099_0001"</f>
        <v>PFES1162733099_0001</v>
      </c>
      <c r="L2727" s="20">
        <v>1</v>
      </c>
      <c r="M2727" s="20">
        <v>1</v>
      </c>
    </row>
    <row r="2728" spans="1:13">
      <c r="A2728" s="6">
        <v>43857</v>
      </c>
      <c r="B2728" s="7">
        <v>0.51736111111111105</v>
      </c>
      <c r="C2728" s="20" t="str">
        <f>"FES1162733065"</f>
        <v>FES1162733065</v>
      </c>
      <c r="D2728" s="20" t="s">
        <v>19</v>
      </c>
      <c r="E2728" s="20" t="s">
        <v>140</v>
      </c>
      <c r="F2728" s="20" t="str">
        <f>"2170723537 "</f>
        <v xml:space="preserve">2170723537 </v>
      </c>
      <c r="G2728" s="20" t="str">
        <f t="shared" si="78"/>
        <v>ON1</v>
      </c>
      <c r="H2728" s="20" t="s">
        <v>21</v>
      </c>
      <c r="I2728" s="20" t="s">
        <v>78</v>
      </c>
      <c r="J2728" s="20" t="str">
        <f>""</f>
        <v/>
      </c>
      <c r="K2728" s="20" t="str">
        <f>"PFES1162733065_0001"</f>
        <v>PFES1162733065_0001</v>
      </c>
      <c r="L2728" s="20">
        <v>1</v>
      </c>
      <c r="M2728" s="20">
        <v>1</v>
      </c>
    </row>
    <row r="2729" spans="1:13">
      <c r="A2729" s="6">
        <v>43857</v>
      </c>
      <c r="B2729" s="7">
        <v>0.51666666666666672</v>
      </c>
      <c r="C2729" s="20" t="str">
        <f>"FES1162733073"</f>
        <v>FES1162733073</v>
      </c>
      <c r="D2729" s="20" t="s">
        <v>19</v>
      </c>
      <c r="E2729" s="20" t="s">
        <v>201</v>
      </c>
      <c r="F2729" s="20" t="str">
        <f>"2170725543 "</f>
        <v xml:space="preserve">2170725543 </v>
      </c>
      <c r="G2729" s="20" t="str">
        <f t="shared" si="78"/>
        <v>ON1</v>
      </c>
      <c r="H2729" s="20" t="s">
        <v>21</v>
      </c>
      <c r="I2729" s="20" t="s">
        <v>202</v>
      </c>
      <c r="J2729" s="20" t="str">
        <f>""</f>
        <v/>
      </c>
      <c r="K2729" s="20" t="str">
        <f>"PFES1162733073_0001"</f>
        <v>PFES1162733073_0001</v>
      </c>
      <c r="L2729" s="20">
        <v>1</v>
      </c>
      <c r="M2729" s="20">
        <v>1</v>
      </c>
    </row>
    <row r="2730" spans="1:13">
      <c r="A2730" s="6">
        <v>43857</v>
      </c>
      <c r="B2730" s="7">
        <v>0.51666666666666672</v>
      </c>
      <c r="C2730" s="20" t="str">
        <f>"FES1162733037"</f>
        <v>FES1162733037</v>
      </c>
      <c r="D2730" s="20" t="s">
        <v>19</v>
      </c>
      <c r="E2730" s="20" t="s">
        <v>101</v>
      </c>
      <c r="F2730" s="20" t="str">
        <f>"2170725519 "</f>
        <v xml:space="preserve">2170725519 </v>
      </c>
      <c r="G2730" s="20" t="str">
        <f t="shared" si="78"/>
        <v>ON1</v>
      </c>
      <c r="H2730" s="20" t="s">
        <v>21</v>
      </c>
      <c r="I2730" s="20" t="s">
        <v>102</v>
      </c>
      <c r="J2730" s="20" t="str">
        <f>""</f>
        <v/>
      </c>
      <c r="K2730" s="20" t="str">
        <f>"PFES1162733037_0001"</f>
        <v>PFES1162733037_0001</v>
      </c>
      <c r="L2730" s="20">
        <v>1</v>
      </c>
      <c r="M2730" s="20">
        <v>1</v>
      </c>
    </row>
    <row r="2731" spans="1:13">
      <c r="A2731" s="6">
        <v>43857</v>
      </c>
      <c r="B2731" s="7">
        <v>0.51597222222222217</v>
      </c>
      <c r="C2731" s="20" t="str">
        <f>"FES1162733060"</f>
        <v>FES1162733060</v>
      </c>
      <c r="D2731" s="20" t="s">
        <v>19</v>
      </c>
      <c r="E2731" s="20" t="s">
        <v>321</v>
      </c>
      <c r="F2731" s="20" t="str">
        <f>"2170723875 "</f>
        <v xml:space="preserve">2170723875 </v>
      </c>
      <c r="G2731" s="20" t="str">
        <f t="shared" si="78"/>
        <v>ON1</v>
      </c>
      <c r="H2731" s="20" t="s">
        <v>21</v>
      </c>
      <c r="I2731" s="20" t="s">
        <v>127</v>
      </c>
      <c r="J2731" s="20" t="str">
        <f>""</f>
        <v/>
      </c>
      <c r="K2731" s="20" t="str">
        <f>"PFES1162733060_0001"</f>
        <v>PFES1162733060_0001</v>
      </c>
      <c r="L2731" s="20">
        <v>1</v>
      </c>
      <c r="M2731" s="20">
        <v>1</v>
      </c>
    </row>
    <row r="2732" spans="1:13">
      <c r="A2732" s="6">
        <v>43857</v>
      </c>
      <c r="B2732" s="7">
        <v>0.51597222222222217</v>
      </c>
      <c r="C2732" s="20" t="str">
        <f>"FES1162733036"</f>
        <v>FES1162733036</v>
      </c>
      <c r="D2732" s="20" t="s">
        <v>19</v>
      </c>
      <c r="E2732" s="20" t="s">
        <v>1000</v>
      </c>
      <c r="F2732" s="20" t="str">
        <f>"2170725510 "</f>
        <v xml:space="preserve">2170725510 </v>
      </c>
      <c r="G2732" s="20" t="str">
        <f t="shared" ref="G2732:G2785" si="79">"ON1"</f>
        <v>ON1</v>
      </c>
      <c r="H2732" s="20" t="s">
        <v>21</v>
      </c>
      <c r="I2732" s="20" t="s">
        <v>1001</v>
      </c>
      <c r="J2732" s="20" t="str">
        <f>""</f>
        <v/>
      </c>
      <c r="K2732" s="20" t="str">
        <f>"PFES1162733036_0001"</f>
        <v>PFES1162733036_0001</v>
      </c>
      <c r="L2732" s="20">
        <v>1</v>
      </c>
      <c r="M2732" s="20">
        <v>1</v>
      </c>
    </row>
    <row r="2733" spans="1:13">
      <c r="A2733" s="6">
        <v>43857</v>
      </c>
      <c r="B2733" s="7">
        <v>0.50624999999999998</v>
      </c>
      <c r="C2733" s="20" t="str">
        <f>"FES1162733104"</f>
        <v>FES1162733104</v>
      </c>
      <c r="D2733" s="20" t="s">
        <v>19</v>
      </c>
      <c r="E2733" s="20" t="s">
        <v>359</v>
      </c>
      <c r="F2733" s="20" t="str">
        <f>"2170725584 "</f>
        <v xml:space="preserve">2170725584 </v>
      </c>
      <c r="G2733" s="20" t="str">
        <f t="shared" si="79"/>
        <v>ON1</v>
      </c>
      <c r="H2733" s="20" t="s">
        <v>21</v>
      </c>
      <c r="I2733" s="20" t="s">
        <v>165</v>
      </c>
      <c r="J2733" s="20" t="str">
        <f>""</f>
        <v/>
      </c>
      <c r="K2733" s="20" t="str">
        <f>"PFES1162733104_0001"</f>
        <v>PFES1162733104_0001</v>
      </c>
      <c r="L2733" s="20">
        <v>1</v>
      </c>
      <c r="M2733" s="20">
        <v>1</v>
      </c>
    </row>
    <row r="2734" spans="1:13">
      <c r="A2734" s="6">
        <v>43857</v>
      </c>
      <c r="B2734" s="7">
        <v>0.50624999999999998</v>
      </c>
      <c r="C2734" s="20" t="str">
        <f>"FES1162733039"</f>
        <v>FES1162733039</v>
      </c>
      <c r="D2734" s="20" t="s">
        <v>19</v>
      </c>
      <c r="E2734" s="20" t="s">
        <v>588</v>
      </c>
      <c r="F2734" s="20" t="str">
        <f>"2170725523 "</f>
        <v xml:space="preserve">2170725523 </v>
      </c>
      <c r="G2734" s="20" t="str">
        <f t="shared" si="79"/>
        <v>ON1</v>
      </c>
      <c r="H2734" s="20" t="s">
        <v>21</v>
      </c>
      <c r="I2734" s="20" t="s">
        <v>408</v>
      </c>
      <c r="J2734" s="20" t="str">
        <f>""</f>
        <v/>
      </c>
      <c r="K2734" s="20" t="str">
        <f>"PFES1162733039_0001"</f>
        <v>PFES1162733039_0001</v>
      </c>
      <c r="L2734" s="20">
        <v>1</v>
      </c>
      <c r="M2734" s="20">
        <v>1</v>
      </c>
    </row>
    <row r="2735" spans="1:13">
      <c r="A2735" s="6">
        <v>43857</v>
      </c>
      <c r="B2735" s="7">
        <v>0.50555555555555554</v>
      </c>
      <c r="C2735" s="20" t="str">
        <f>"FES1162733105"</f>
        <v>FES1162733105</v>
      </c>
      <c r="D2735" s="20" t="s">
        <v>19</v>
      </c>
      <c r="E2735" s="20" t="s">
        <v>789</v>
      </c>
      <c r="F2735" s="20" t="str">
        <f>"2170725585 "</f>
        <v xml:space="preserve">2170725585 </v>
      </c>
      <c r="G2735" s="20" t="str">
        <f t="shared" si="79"/>
        <v>ON1</v>
      </c>
      <c r="H2735" s="20" t="s">
        <v>21</v>
      </c>
      <c r="I2735" s="20" t="s">
        <v>217</v>
      </c>
      <c r="J2735" s="20" t="str">
        <f>""</f>
        <v/>
      </c>
      <c r="K2735" s="20" t="str">
        <f>"PFES1162733105_0001"</f>
        <v>PFES1162733105_0001</v>
      </c>
      <c r="L2735" s="20">
        <v>1</v>
      </c>
      <c r="M2735" s="20">
        <v>1</v>
      </c>
    </row>
    <row r="2736" spans="1:13">
      <c r="A2736" s="6">
        <v>43857</v>
      </c>
      <c r="B2736" s="7">
        <v>0.50486111111111109</v>
      </c>
      <c r="C2736" s="20" t="str">
        <f>"FES1162733066"</f>
        <v>FES1162733066</v>
      </c>
      <c r="D2736" s="20" t="s">
        <v>19</v>
      </c>
      <c r="E2736" s="20" t="s">
        <v>42</v>
      </c>
      <c r="F2736" s="20" t="str">
        <f>"2170725385 "</f>
        <v xml:space="preserve">2170725385 </v>
      </c>
      <c r="G2736" s="20" t="str">
        <f t="shared" si="79"/>
        <v>ON1</v>
      </c>
      <c r="H2736" s="20" t="s">
        <v>21</v>
      </c>
      <c r="I2736" s="20" t="s">
        <v>43</v>
      </c>
      <c r="J2736" s="20" t="str">
        <f>""</f>
        <v/>
      </c>
      <c r="K2736" s="20" t="str">
        <f>"PFES1162733066_0001"</f>
        <v>PFES1162733066_0001</v>
      </c>
      <c r="L2736" s="20">
        <v>1</v>
      </c>
      <c r="M2736" s="20">
        <v>1</v>
      </c>
    </row>
    <row r="2737" spans="1:13">
      <c r="A2737" s="6">
        <v>43857</v>
      </c>
      <c r="B2737" s="7">
        <v>0.50277777777777777</v>
      </c>
      <c r="C2737" s="20" t="str">
        <f>"FES1162733045"</f>
        <v>FES1162733045</v>
      </c>
      <c r="D2737" s="20" t="s">
        <v>19</v>
      </c>
      <c r="E2737" s="20" t="s">
        <v>1002</v>
      </c>
      <c r="F2737" s="20" t="str">
        <f>"2170725525 "</f>
        <v xml:space="preserve">2170725525 </v>
      </c>
      <c r="G2737" s="20" t="str">
        <f t="shared" si="79"/>
        <v>ON1</v>
      </c>
      <c r="H2737" s="20" t="s">
        <v>21</v>
      </c>
      <c r="I2737" s="20" t="s">
        <v>150</v>
      </c>
      <c r="J2737" s="20" t="str">
        <f>""</f>
        <v/>
      </c>
      <c r="K2737" s="20" t="str">
        <f>"PFES1162733045_0001"</f>
        <v>PFES1162733045_0001</v>
      </c>
      <c r="L2737" s="20">
        <v>1</v>
      </c>
      <c r="M2737" s="20">
        <v>1</v>
      </c>
    </row>
    <row r="2738" spans="1:13">
      <c r="A2738" s="6">
        <v>43857</v>
      </c>
      <c r="B2738" s="7">
        <v>0.50208333333333333</v>
      </c>
      <c r="C2738" s="20" t="str">
        <f>"FES1162733062"</f>
        <v>FES1162733062</v>
      </c>
      <c r="D2738" s="20" t="s">
        <v>19</v>
      </c>
      <c r="E2738" s="20" t="s">
        <v>759</v>
      </c>
      <c r="F2738" s="20" t="str">
        <f>"2170724713 "</f>
        <v xml:space="preserve">2170724713 </v>
      </c>
      <c r="G2738" s="20" t="str">
        <f t="shared" si="79"/>
        <v>ON1</v>
      </c>
      <c r="H2738" s="20" t="s">
        <v>21</v>
      </c>
      <c r="I2738" s="20" t="s">
        <v>49</v>
      </c>
      <c r="J2738" s="20" t="str">
        <f>""</f>
        <v/>
      </c>
      <c r="K2738" s="20" t="str">
        <f>"PFES1162733062_0001"</f>
        <v>PFES1162733062_0001</v>
      </c>
      <c r="L2738" s="20">
        <v>1</v>
      </c>
      <c r="M2738" s="20">
        <v>1</v>
      </c>
    </row>
    <row r="2739" spans="1:13">
      <c r="A2739" s="6">
        <v>43857</v>
      </c>
      <c r="B2739" s="7">
        <v>0.50138888888888888</v>
      </c>
      <c r="C2739" s="20" t="str">
        <f>"FES1162733080"</f>
        <v>FES1162733080</v>
      </c>
      <c r="D2739" s="20" t="s">
        <v>19</v>
      </c>
      <c r="E2739" s="20" t="s">
        <v>308</v>
      </c>
      <c r="F2739" s="20" t="str">
        <f>"2170725559 "</f>
        <v xml:space="preserve">2170725559 </v>
      </c>
      <c r="G2739" s="20" t="str">
        <f t="shared" si="79"/>
        <v>ON1</v>
      </c>
      <c r="H2739" s="20" t="s">
        <v>21</v>
      </c>
      <c r="I2739" s="20" t="s">
        <v>309</v>
      </c>
      <c r="J2739" s="20" t="str">
        <f>""</f>
        <v/>
      </c>
      <c r="K2739" s="20" t="str">
        <f>"PFES1162733080_0001"</f>
        <v>PFES1162733080_0001</v>
      </c>
      <c r="L2739" s="20">
        <v>1</v>
      </c>
      <c r="M2739" s="20">
        <v>1</v>
      </c>
    </row>
    <row r="2740" spans="1:13">
      <c r="A2740" s="6">
        <v>43857</v>
      </c>
      <c r="B2740" s="7">
        <v>0.50138888888888888</v>
      </c>
      <c r="C2740" s="20" t="str">
        <f>"FES1162733121"</f>
        <v>FES1162733121</v>
      </c>
      <c r="D2740" s="20" t="s">
        <v>19</v>
      </c>
      <c r="E2740" s="20" t="s">
        <v>1003</v>
      </c>
      <c r="F2740" s="20" t="str">
        <f>"2170725609 "</f>
        <v xml:space="preserve">2170725609 </v>
      </c>
      <c r="G2740" s="20" t="str">
        <f t="shared" si="79"/>
        <v>ON1</v>
      </c>
      <c r="H2740" s="20" t="s">
        <v>21</v>
      </c>
      <c r="I2740" s="20" t="s">
        <v>1004</v>
      </c>
      <c r="J2740" s="20" t="str">
        <f>""</f>
        <v/>
      </c>
      <c r="K2740" s="20" t="str">
        <f>"PFES1162733121_0001"</f>
        <v>PFES1162733121_0001</v>
      </c>
      <c r="L2740" s="20">
        <v>1</v>
      </c>
      <c r="M2740" s="20">
        <v>1</v>
      </c>
    </row>
    <row r="2741" spans="1:13">
      <c r="A2741" s="6">
        <v>43857</v>
      </c>
      <c r="B2741" s="7">
        <v>0.5</v>
      </c>
      <c r="C2741" s="20" t="str">
        <f>"FES1162733030"</f>
        <v>FES1162733030</v>
      </c>
      <c r="D2741" s="20" t="s">
        <v>19</v>
      </c>
      <c r="E2741" s="20" t="s">
        <v>59</v>
      </c>
      <c r="F2741" s="20" t="str">
        <f>"2170725008 "</f>
        <v xml:space="preserve">2170725008 </v>
      </c>
      <c r="G2741" s="20" t="str">
        <f t="shared" si="79"/>
        <v>ON1</v>
      </c>
      <c r="H2741" s="20" t="s">
        <v>21</v>
      </c>
      <c r="I2741" s="20" t="s">
        <v>60</v>
      </c>
      <c r="J2741" s="20" t="str">
        <f>""</f>
        <v/>
      </c>
      <c r="K2741" s="20" t="str">
        <f>"PFES1162733030_0001"</f>
        <v>PFES1162733030_0001</v>
      </c>
      <c r="L2741" s="20">
        <v>1</v>
      </c>
      <c r="M2741" s="20">
        <v>1</v>
      </c>
    </row>
    <row r="2742" spans="1:13">
      <c r="A2742" s="6">
        <v>43857</v>
      </c>
      <c r="B2742" s="7">
        <v>0.4993055555555555</v>
      </c>
      <c r="C2742" s="20" t="str">
        <f>"FES1162733040"</f>
        <v>FES1162733040</v>
      </c>
      <c r="D2742" s="20" t="s">
        <v>19</v>
      </c>
      <c r="E2742" s="20" t="s">
        <v>1005</v>
      </c>
      <c r="F2742" s="20" t="str">
        <f>"2170719280 "</f>
        <v xml:space="preserve">2170719280 </v>
      </c>
      <c r="G2742" s="20" t="str">
        <f t="shared" si="79"/>
        <v>ON1</v>
      </c>
      <c r="H2742" s="20" t="s">
        <v>21</v>
      </c>
      <c r="I2742" s="20" t="s">
        <v>114</v>
      </c>
      <c r="J2742" s="20" t="str">
        <f>""</f>
        <v/>
      </c>
      <c r="K2742" s="20" t="str">
        <f>"PFES1162733040_0001"</f>
        <v>PFES1162733040_0001</v>
      </c>
      <c r="L2742" s="20">
        <v>1</v>
      </c>
      <c r="M2742" s="20">
        <v>1</v>
      </c>
    </row>
    <row r="2743" spans="1:13">
      <c r="A2743" s="6">
        <v>43857</v>
      </c>
      <c r="B2743" s="7">
        <v>0.49861111111111112</v>
      </c>
      <c r="C2743" s="20" t="str">
        <f>"FES1162733090"</f>
        <v>FES1162733090</v>
      </c>
      <c r="D2743" s="20" t="s">
        <v>19</v>
      </c>
      <c r="E2743" s="20" t="s">
        <v>611</v>
      </c>
      <c r="F2743" s="20" t="str">
        <f>"2170725539 "</f>
        <v xml:space="preserve">2170725539 </v>
      </c>
      <c r="G2743" s="20" t="str">
        <f t="shared" si="79"/>
        <v>ON1</v>
      </c>
      <c r="H2743" s="20" t="s">
        <v>21</v>
      </c>
      <c r="I2743" s="20" t="s">
        <v>36</v>
      </c>
      <c r="J2743" s="20" t="str">
        <f>""</f>
        <v/>
      </c>
      <c r="K2743" s="20" t="str">
        <f>"PFES1162733090_0001"</f>
        <v>PFES1162733090_0001</v>
      </c>
      <c r="L2743" s="20">
        <v>1</v>
      </c>
      <c r="M2743" s="20">
        <v>1</v>
      </c>
    </row>
    <row r="2744" spans="1:13">
      <c r="A2744" s="6">
        <v>43857</v>
      </c>
      <c r="B2744" s="7">
        <v>0.49791666666666662</v>
      </c>
      <c r="C2744" s="20" t="str">
        <f>"FES1162733079"</f>
        <v>FES1162733079</v>
      </c>
      <c r="D2744" s="20" t="s">
        <v>19</v>
      </c>
      <c r="E2744" s="20" t="s">
        <v>308</v>
      </c>
      <c r="F2744" s="20" t="str">
        <f>"2170725558 "</f>
        <v xml:space="preserve">2170725558 </v>
      </c>
      <c r="G2744" s="20" t="str">
        <f t="shared" si="79"/>
        <v>ON1</v>
      </c>
      <c r="H2744" s="20" t="s">
        <v>21</v>
      </c>
      <c r="I2744" s="20" t="s">
        <v>309</v>
      </c>
      <c r="J2744" s="20" t="str">
        <f>""</f>
        <v/>
      </c>
      <c r="K2744" s="20" t="str">
        <f>"PFES1162733079_0001"</f>
        <v>PFES1162733079_0001</v>
      </c>
      <c r="L2744" s="20">
        <v>1</v>
      </c>
      <c r="M2744" s="20">
        <v>1</v>
      </c>
    </row>
    <row r="2745" spans="1:13">
      <c r="A2745" s="6">
        <v>43857</v>
      </c>
      <c r="B2745" s="7">
        <v>0.49791666666666662</v>
      </c>
      <c r="C2745" s="20" t="str">
        <f>"FES1162733047"</f>
        <v>FES1162733047</v>
      </c>
      <c r="D2745" s="20" t="s">
        <v>19</v>
      </c>
      <c r="E2745" s="20" t="s">
        <v>86</v>
      </c>
      <c r="F2745" s="20" t="str">
        <f>"2170725528 "</f>
        <v xml:space="preserve">2170725528 </v>
      </c>
      <c r="G2745" s="20" t="str">
        <f t="shared" si="79"/>
        <v>ON1</v>
      </c>
      <c r="H2745" s="20" t="s">
        <v>21</v>
      </c>
      <c r="I2745" s="20" t="s">
        <v>63</v>
      </c>
      <c r="J2745" s="20" t="str">
        <f>""</f>
        <v/>
      </c>
      <c r="K2745" s="20" t="str">
        <f>"PFES1162733047_0001"</f>
        <v>PFES1162733047_0001</v>
      </c>
      <c r="L2745" s="20">
        <v>1</v>
      </c>
      <c r="M2745" s="20">
        <v>1</v>
      </c>
    </row>
    <row r="2746" spans="1:13">
      <c r="A2746" s="6">
        <v>43857</v>
      </c>
      <c r="B2746" s="7">
        <v>0.49722222222222223</v>
      </c>
      <c r="C2746" s="20" t="str">
        <f>"FES1162733063"</f>
        <v>FES1162733063</v>
      </c>
      <c r="D2746" s="20" t="s">
        <v>19</v>
      </c>
      <c r="E2746" s="20" t="s">
        <v>185</v>
      </c>
      <c r="F2746" s="20" t="str">
        <f>"2170725273 "</f>
        <v xml:space="preserve">2170725273 </v>
      </c>
      <c r="G2746" s="20" t="str">
        <f t="shared" si="79"/>
        <v>ON1</v>
      </c>
      <c r="H2746" s="20" t="s">
        <v>21</v>
      </c>
      <c r="I2746" s="20" t="s">
        <v>47</v>
      </c>
      <c r="J2746" s="20" t="str">
        <f>""</f>
        <v/>
      </c>
      <c r="K2746" s="20" t="str">
        <f>"PFES1162733063_0001"</f>
        <v>PFES1162733063_0001</v>
      </c>
      <c r="L2746" s="20">
        <v>1</v>
      </c>
      <c r="M2746" s="20">
        <v>1</v>
      </c>
    </row>
    <row r="2747" spans="1:13">
      <c r="A2747" s="6">
        <v>43857</v>
      </c>
      <c r="B2747" s="7">
        <v>0.49583333333333335</v>
      </c>
      <c r="C2747" s="20" t="str">
        <f>"FES1162733070"</f>
        <v>FES1162733070</v>
      </c>
      <c r="D2747" s="20" t="s">
        <v>19</v>
      </c>
      <c r="E2747" s="20" t="s">
        <v>1006</v>
      </c>
      <c r="F2747" s="20" t="str">
        <f>"2170725536 "</f>
        <v xml:space="preserve">2170725536 </v>
      </c>
      <c r="G2747" s="20" t="str">
        <f t="shared" si="79"/>
        <v>ON1</v>
      </c>
      <c r="H2747" s="20" t="s">
        <v>21</v>
      </c>
      <c r="I2747" s="20" t="s">
        <v>272</v>
      </c>
      <c r="J2747" s="20" t="str">
        <f>""</f>
        <v/>
      </c>
      <c r="K2747" s="20" t="str">
        <f>"PFES1162733070_0001"</f>
        <v>PFES1162733070_0001</v>
      </c>
      <c r="L2747" s="20">
        <v>1</v>
      </c>
      <c r="M2747" s="20">
        <v>1</v>
      </c>
    </row>
    <row r="2748" spans="1:13">
      <c r="A2748" s="6">
        <v>43857</v>
      </c>
      <c r="B2748" s="7">
        <v>0.49513888888888885</v>
      </c>
      <c r="C2748" s="20" t="str">
        <f>"FES1162733130"</f>
        <v>FES1162733130</v>
      </c>
      <c r="D2748" s="20" t="s">
        <v>19</v>
      </c>
      <c r="E2748" s="20" t="s">
        <v>502</v>
      </c>
      <c r="F2748" s="20" t="str">
        <f>"2170725622 "</f>
        <v xml:space="preserve">2170725622 </v>
      </c>
      <c r="G2748" s="20" t="str">
        <f t="shared" si="79"/>
        <v>ON1</v>
      </c>
      <c r="H2748" s="20" t="s">
        <v>21</v>
      </c>
      <c r="I2748" s="20" t="s">
        <v>503</v>
      </c>
      <c r="J2748" s="20" t="str">
        <f>""</f>
        <v/>
      </c>
      <c r="K2748" s="20" t="str">
        <f>"PFES1162733130_0001"</f>
        <v>PFES1162733130_0001</v>
      </c>
      <c r="L2748" s="20">
        <v>1</v>
      </c>
      <c r="M2748" s="20">
        <v>1</v>
      </c>
    </row>
    <row r="2749" spans="1:13">
      <c r="A2749" s="6">
        <v>43857</v>
      </c>
      <c r="B2749" s="7">
        <v>0.49374999999999997</v>
      </c>
      <c r="C2749" s="20" t="str">
        <f>"FES1162733133"</f>
        <v>FES1162733133</v>
      </c>
      <c r="D2749" s="20" t="s">
        <v>19</v>
      </c>
      <c r="E2749" s="20" t="s">
        <v>643</v>
      </c>
      <c r="F2749" s="20" t="str">
        <f>"2170725626 "</f>
        <v xml:space="preserve">2170725626 </v>
      </c>
      <c r="G2749" s="20" t="str">
        <f t="shared" si="79"/>
        <v>ON1</v>
      </c>
      <c r="H2749" s="20" t="s">
        <v>21</v>
      </c>
      <c r="I2749" s="20" t="s">
        <v>644</v>
      </c>
      <c r="J2749" s="20" t="str">
        <f>""</f>
        <v/>
      </c>
      <c r="K2749" s="20" t="str">
        <f>"PFES1162733133_0001"</f>
        <v>PFES1162733133_0001</v>
      </c>
      <c r="L2749" s="20">
        <v>1</v>
      </c>
      <c r="M2749" s="20">
        <v>1</v>
      </c>
    </row>
    <row r="2750" spans="1:13">
      <c r="A2750" s="6">
        <v>43857</v>
      </c>
      <c r="B2750" s="7">
        <v>0.49305555555555558</v>
      </c>
      <c r="C2750" s="20" t="str">
        <f>"FES1162733122"</f>
        <v>FES1162733122</v>
      </c>
      <c r="D2750" s="20" t="s">
        <v>19</v>
      </c>
      <c r="E2750" s="20" t="s">
        <v>61</v>
      </c>
      <c r="F2750" s="20" t="str">
        <f>"2170725611 "</f>
        <v xml:space="preserve">2170725611 </v>
      </c>
      <c r="G2750" s="20" t="str">
        <f t="shared" si="79"/>
        <v>ON1</v>
      </c>
      <c r="H2750" s="20" t="s">
        <v>21</v>
      </c>
      <c r="I2750" s="20" t="s">
        <v>28</v>
      </c>
      <c r="J2750" s="20" t="str">
        <f>""</f>
        <v/>
      </c>
      <c r="K2750" s="20" t="str">
        <f>"PFES1162733122_0001"</f>
        <v>PFES1162733122_0001</v>
      </c>
      <c r="L2750" s="20">
        <v>1</v>
      </c>
      <c r="M2750" s="20">
        <v>1</v>
      </c>
    </row>
    <row r="2751" spans="1:13">
      <c r="A2751" s="6">
        <v>43858</v>
      </c>
      <c r="B2751" s="7">
        <v>0.68541666666666667</v>
      </c>
      <c r="C2751" s="21" t="str">
        <f>"FES1162733419"</f>
        <v>FES1162733419</v>
      </c>
      <c r="D2751" s="21" t="s">
        <v>19</v>
      </c>
      <c r="E2751" s="21" t="s">
        <v>343</v>
      </c>
      <c r="F2751" s="21" t="str">
        <f>"2170721613 "</f>
        <v xml:space="preserve">2170721613 </v>
      </c>
      <c r="G2751" s="21" t="str">
        <f t="shared" si="79"/>
        <v>ON1</v>
      </c>
      <c r="H2751" s="21" t="s">
        <v>21</v>
      </c>
      <c r="I2751" s="21" t="s">
        <v>344</v>
      </c>
      <c r="J2751" s="21" t="str">
        <f>""</f>
        <v/>
      </c>
      <c r="K2751" s="21" t="str">
        <f>"PFES1162733419_0001"</f>
        <v>PFES1162733419_0001</v>
      </c>
      <c r="L2751" s="21">
        <v>1</v>
      </c>
      <c r="M2751" s="21">
        <v>10</v>
      </c>
    </row>
    <row r="2752" spans="1:13">
      <c r="A2752" s="6">
        <v>43858</v>
      </c>
      <c r="B2752" s="7">
        <v>0.68333333333333324</v>
      </c>
      <c r="C2752" s="21" t="str">
        <f>"FES1162733417"</f>
        <v>FES1162733417</v>
      </c>
      <c r="D2752" s="21" t="s">
        <v>19</v>
      </c>
      <c r="E2752" s="21" t="s">
        <v>560</v>
      </c>
      <c r="F2752" s="21" t="str">
        <f>"2170725497 "</f>
        <v xml:space="preserve">2170725497 </v>
      </c>
      <c r="G2752" s="21" t="str">
        <f t="shared" si="79"/>
        <v>ON1</v>
      </c>
      <c r="H2752" s="21" t="s">
        <v>21</v>
      </c>
      <c r="I2752" s="21" t="s">
        <v>191</v>
      </c>
      <c r="J2752" s="21" t="str">
        <f>""</f>
        <v/>
      </c>
      <c r="K2752" s="21" t="str">
        <f>"PFES1162733417_0001"</f>
        <v>PFES1162733417_0001</v>
      </c>
      <c r="L2752" s="21">
        <v>1</v>
      </c>
      <c r="M2752" s="21">
        <v>4</v>
      </c>
    </row>
    <row r="2753" spans="1:13">
      <c r="A2753" s="6">
        <v>43858</v>
      </c>
      <c r="B2753" s="7">
        <v>0.68125000000000002</v>
      </c>
      <c r="C2753" s="21" t="str">
        <f>"FES1162733404"</f>
        <v>FES1162733404</v>
      </c>
      <c r="D2753" s="21" t="s">
        <v>19</v>
      </c>
      <c r="E2753" s="21" t="s">
        <v>101</v>
      </c>
      <c r="F2753" s="21" t="str">
        <f>"2170725137 "</f>
        <v xml:space="preserve">2170725137 </v>
      </c>
      <c r="G2753" s="21" t="str">
        <f t="shared" si="79"/>
        <v>ON1</v>
      </c>
      <c r="H2753" s="21" t="s">
        <v>21</v>
      </c>
      <c r="I2753" s="21" t="s">
        <v>102</v>
      </c>
      <c r="J2753" s="21" t="str">
        <f>""</f>
        <v/>
      </c>
      <c r="K2753" s="21" t="str">
        <f>"PFES1162733404_0001"</f>
        <v>PFES1162733404_0001</v>
      </c>
      <c r="L2753" s="21">
        <v>1</v>
      </c>
      <c r="M2753" s="21">
        <v>1</v>
      </c>
    </row>
    <row r="2754" spans="1:13">
      <c r="A2754" s="6">
        <v>43858</v>
      </c>
      <c r="B2754" s="7">
        <v>0.68055555555555547</v>
      </c>
      <c r="C2754" s="21" t="str">
        <f>"FES1162733405"</f>
        <v>FES1162733405</v>
      </c>
      <c r="D2754" s="21" t="s">
        <v>19</v>
      </c>
      <c r="E2754" s="21" t="s">
        <v>101</v>
      </c>
      <c r="F2754" s="21" t="str">
        <f>"2170725138 "</f>
        <v xml:space="preserve">2170725138 </v>
      </c>
      <c r="G2754" s="21" t="str">
        <f t="shared" si="79"/>
        <v>ON1</v>
      </c>
      <c r="H2754" s="21" t="s">
        <v>21</v>
      </c>
      <c r="I2754" s="21" t="s">
        <v>102</v>
      </c>
      <c r="J2754" s="21" t="str">
        <f>""</f>
        <v/>
      </c>
      <c r="K2754" s="21" t="str">
        <f>"PFES1162733405_0001"</f>
        <v>PFES1162733405_0001</v>
      </c>
      <c r="L2754" s="21">
        <v>1</v>
      </c>
      <c r="M2754" s="21">
        <v>1</v>
      </c>
    </row>
    <row r="2755" spans="1:13">
      <c r="A2755" s="6">
        <v>43858</v>
      </c>
      <c r="B2755" s="7">
        <v>0.6791666666666667</v>
      </c>
      <c r="C2755" s="21" t="str">
        <f>"FES1162733420"</f>
        <v>FES1162733420</v>
      </c>
      <c r="D2755" s="21" t="s">
        <v>19</v>
      </c>
      <c r="E2755" s="21" t="s">
        <v>1007</v>
      </c>
      <c r="F2755" s="21" t="str">
        <f>"2170725914 "</f>
        <v xml:space="preserve">2170725914 </v>
      </c>
      <c r="G2755" s="21" t="str">
        <f t="shared" si="79"/>
        <v>ON1</v>
      </c>
      <c r="H2755" s="21" t="s">
        <v>21</v>
      </c>
      <c r="I2755" s="21" t="s">
        <v>731</v>
      </c>
      <c r="J2755" s="21" t="str">
        <f>""</f>
        <v/>
      </c>
      <c r="K2755" s="21" t="str">
        <f>"PFES1162733420_0001"</f>
        <v>PFES1162733420_0001</v>
      </c>
      <c r="L2755" s="21">
        <v>1</v>
      </c>
      <c r="M2755" s="21">
        <v>1</v>
      </c>
    </row>
    <row r="2756" spans="1:13">
      <c r="A2756" s="6">
        <v>43858</v>
      </c>
      <c r="B2756" s="7">
        <v>0.67847222222222225</v>
      </c>
      <c r="C2756" s="21" t="str">
        <f>"FES1162733425"</f>
        <v>FES1162733425</v>
      </c>
      <c r="D2756" s="21" t="s">
        <v>19</v>
      </c>
      <c r="E2756" s="21" t="s">
        <v>61</v>
      </c>
      <c r="F2756" s="21" t="str">
        <f>"2170725955 "</f>
        <v xml:space="preserve">2170725955 </v>
      </c>
      <c r="G2756" s="21" t="str">
        <f t="shared" si="79"/>
        <v>ON1</v>
      </c>
      <c r="H2756" s="21" t="s">
        <v>21</v>
      </c>
      <c r="I2756" s="21" t="s">
        <v>28</v>
      </c>
      <c r="J2756" s="21" t="str">
        <f>""</f>
        <v/>
      </c>
      <c r="K2756" s="21" t="str">
        <f>"PFES1162733425_0001"</f>
        <v>PFES1162733425_0001</v>
      </c>
      <c r="L2756" s="21">
        <v>1</v>
      </c>
      <c r="M2756" s="21">
        <v>1</v>
      </c>
    </row>
    <row r="2757" spans="1:13">
      <c r="A2757" s="6">
        <v>43858</v>
      </c>
      <c r="B2757" s="7">
        <v>0.6694444444444444</v>
      </c>
      <c r="C2757" s="21" t="str">
        <f>"FES1162733418"</f>
        <v>FES1162733418</v>
      </c>
      <c r="D2757" s="21" t="s">
        <v>19</v>
      </c>
      <c r="E2757" s="21" t="s">
        <v>216</v>
      </c>
      <c r="F2757" s="21" t="str">
        <f>"2170725948 "</f>
        <v xml:space="preserve">2170725948 </v>
      </c>
      <c r="G2757" s="21" t="str">
        <f t="shared" si="79"/>
        <v>ON1</v>
      </c>
      <c r="H2757" s="21" t="s">
        <v>21</v>
      </c>
      <c r="I2757" s="21" t="s">
        <v>217</v>
      </c>
      <c r="J2757" s="21" t="str">
        <f>""</f>
        <v/>
      </c>
      <c r="K2757" s="21" t="str">
        <f>"PFES1162733418_0001"</f>
        <v>PFES1162733418_0001</v>
      </c>
      <c r="L2757" s="21">
        <v>1</v>
      </c>
      <c r="M2757" s="21">
        <v>1</v>
      </c>
    </row>
    <row r="2758" spans="1:13">
      <c r="A2758" s="6">
        <v>43858</v>
      </c>
      <c r="B2758" s="7">
        <v>0.66875000000000007</v>
      </c>
      <c r="C2758" s="21" t="str">
        <f>"FES1162733416"</f>
        <v>FES1162733416</v>
      </c>
      <c r="D2758" s="21" t="s">
        <v>19</v>
      </c>
      <c r="E2758" s="21" t="s">
        <v>262</v>
      </c>
      <c r="F2758" s="21" t="str">
        <f>"2170725946 "</f>
        <v xml:space="preserve">2170725946 </v>
      </c>
      <c r="G2758" s="21" t="str">
        <f t="shared" si="79"/>
        <v>ON1</v>
      </c>
      <c r="H2758" s="21" t="s">
        <v>21</v>
      </c>
      <c r="I2758" s="21" t="s">
        <v>114</v>
      </c>
      <c r="J2758" s="21" t="str">
        <f>""</f>
        <v/>
      </c>
      <c r="K2758" s="21" t="str">
        <f>"PFES1162733416_0001"</f>
        <v>PFES1162733416_0001</v>
      </c>
      <c r="L2758" s="21">
        <v>1</v>
      </c>
      <c r="M2758" s="21">
        <v>1</v>
      </c>
    </row>
    <row r="2759" spans="1:13">
      <c r="A2759" s="6">
        <v>43858</v>
      </c>
      <c r="B2759" s="7">
        <v>0.66388888888888886</v>
      </c>
      <c r="C2759" s="21" t="str">
        <f>"FES1162733368"</f>
        <v>FES1162733368</v>
      </c>
      <c r="D2759" s="21" t="s">
        <v>19</v>
      </c>
      <c r="E2759" s="21" t="s">
        <v>1008</v>
      </c>
      <c r="F2759" s="21" t="str">
        <f>"2170725897 "</f>
        <v xml:space="preserve">2170725897 </v>
      </c>
      <c r="G2759" s="21" t="str">
        <f t="shared" si="79"/>
        <v>ON1</v>
      </c>
      <c r="H2759" s="21" t="s">
        <v>21</v>
      </c>
      <c r="I2759" s="21" t="s">
        <v>366</v>
      </c>
      <c r="J2759" s="21" t="str">
        <f>""</f>
        <v/>
      </c>
      <c r="K2759" s="21" t="str">
        <f>"PFES1162733368_0001"</f>
        <v>PFES1162733368_0001</v>
      </c>
      <c r="L2759" s="21">
        <v>2</v>
      </c>
      <c r="M2759" s="21">
        <v>17</v>
      </c>
    </row>
    <row r="2760" spans="1:13">
      <c r="A2760" s="6">
        <v>43496</v>
      </c>
      <c r="B2760" s="7">
        <v>0.68194444444444446</v>
      </c>
      <c r="C2760" s="21" t="str">
        <f>"FES1162733368"</f>
        <v>FES1162733368</v>
      </c>
      <c r="D2760" s="21" t="s">
        <v>19</v>
      </c>
      <c r="E2760" s="21" t="s">
        <v>588</v>
      </c>
      <c r="F2760" s="21" t="str">
        <f>"2170672045 "</f>
        <v xml:space="preserve">2170672045 </v>
      </c>
      <c r="G2760" s="21" t="str">
        <f t="shared" si="79"/>
        <v>ON1</v>
      </c>
      <c r="H2760" s="21" t="s">
        <v>21</v>
      </c>
      <c r="I2760" s="21" t="s">
        <v>408</v>
      </c>
      <c r="J2760" s="21" t="str">
        <f>""</f>
        <v/>
      </c>
      <c r="K2760" s="21" t="str">
        <f>"PFES1162733368_0002"</f>
        <v>PFES1162733368_0002</v>
      </c>
      <c r="L2760" s="21">
        <v>1</v>
      </c>
      <c r="M2760" s="21">
        <v>5</v>
      </c>
    </row>
    <row r="2761" spans="1:13">
      <c r="A2761" s="6">
        <v>43858</v>
      </c>
      <c r="B2761" s="7">
        <v>0.65208333333333335</v>
      </c>
      <c r="C2761" s="21" t="str">
        <f>"FES1162733407"</f>
        <v>FES1162733407</v>
      </c>
      <c r="D2761" s="21" t="s">
        <v>19</v>
      </c>
      <c r="E2761" s="21" t="s">
        <v>64</v>
      </c>
      <c r="F2761" s="21" t="str">
        <f>"2170725874 "</f>
        <v xml:space="preserve">2170725874 </v>
      </c>
      <c r="G2761" s="21" t="str">
        <f t="shared" si="79"/>
        <v>ON1</v>
      </c>
      <c r="H2761" s="21" t="s">
        <v>21</v>
      </c>
      <c r="I2761" s="21" t="s">
        <v>60</v>
      </c>
      <c r="J2761" s="21" t="str">
        <f>""</f>
        <v/>
      </c>
      <c r="K2761" s="21" t="str">
        <f>"PFES1162733407_0001"</f>
        <v>PFES1162733407_0001</v>
      </c>
      <c r="L2761" s="21">
        <v>1</v>
      </c>
      <c r="M2761" s="21">
        <v>4</v>
      </c>
    </row>
    <row r="2762" spans="1:13">
      <c r="A2762" s="6">
        <v>43858</v>
      </c>
      <c r="B2762" s="7">
        <v>0.65138888888888891</v>
      </c>
      <c r="C2762" s="21" t="str">
        <f>"FES1162733406"</f>
        <v>FES1162733406</v>
      </c>
      <c r="D2762" s="21" t="s">
        <v>19</v>
      </c>
      <c r="E2762" s="21" t="s">
        <v>111</v>
      </c>
      <c r="F2762" s="21" t="str">
        <f>"2170724220 "</f>
        <v xml:space="preserve">2170724220 </v>
      </c>
      <c r="G2762" s="21" t="str">
        <f t="shared" si="79"/>
        <v>ON1</v>
      </c>
      <c r="H2762" s="21" t="s">
        <v>21</v>
      </c>
      <c r="I2762" s="21" t="s">
        <v>320</v>
      </c>
      <c r="J2762" s="21" t="str">
        <f>""</f>
        <v/>
      </c>
      <c r="K2762" s="21" t="str">
        <f>"PFES1162733406_0001"</f>
        <v>PFES1162733406_0001</v>
      </c>
      <c r="L2762" s="21">
        <v>1</v>
      </c>
      <c r="M2762" s="21">
        <v>4</v>
      </c>
    </row>
    <row r="2763" spans="1:13">
      <c r="A2763" s="6">
        <v>43858</v>
      </c>
      <c r="B2763" s="7">
        <v>0.65138888888888891</v>
      </c>
      <c r="C2763" s="21" t="str">
        <f>"FES1162733390"</f>
        <v>FES1162733390</v>
      </c>
      <c r="D2763" s="21" t="s">
        <v>19</v>
      </c>
      <c r="E2763" s="21" t="s">
        <v>101</v>
      </c>
      <c r="F2763" s="21" t="str">
        <f>"2170725921 "</f>
        <v xml:space="preserve">2170725921 </v>
      </c>
      <c r="G2763" s="21" t="str">
        <f t="shared" si="79"/>
        <v>ON1</v>
      </c>
      <c r="H2763" s="21" t="s">
        <v>21</v>
      </c>
      <c r="I2763" s="21" t="s">
        <v>102</v>
      </c>
      <c r="J2763" s="21" t="str">
        <f>""</f>
        <v/>
      </c>
      <c r="K2763" s="21" t="str">
        <f>"PFES1162733390_0001"</f>
        <v>PFES1162733390_0001</v>
      </c>
      <c r="L2763" s="21">
        <v>1</v>
      </c>
      <c r="M2763" s="21">
        <v>2</v>
      </c>
    </row>
    <row r="2764" spans="1:13">
      <c r="A2764" s="6">
        <v>43858</v>
      </c>
      <c r="B2764" s="7">
        <v>0.65069444444444446</v>
      </c>
      <c r="C2764" s="21" t="str">
        <f>"FES1162733391"</f>
        <v>FES1162733391</v>
      </c>
      <c r="D2764" s="21" t="s">
        <v>19</v>
      </c>
      <c r="E2764" s="21" t="s">
        <v>540</v>
      </c>
      <c r="F2764" s="21" t="str">
        <f>"2170725923 "</f>
        <v xml:space="preserve">2170725923 </v>
      </c>
      <c r="G2764" s="21" t="str">
        <f t="shared" si="79"/>
        <v>ON1</v>
      </c>
      <c r="H2764" s="21" t="s">
        <v>21</v>
      </c>
      <c r="I2764" s="21" t="s">
        <v>403</v>
      </c>
      <c r="J2764" s="21" t="str">
        <f>""</f>
        <v/>
      </c>
      <c r="K2764" s="21" t="str">
        <f>"PFES1162733391_0001"</f>
        <v>PFES1162733391_0001</v>
      </c>
      <c r="L2764" s="21">
        <v>1</v>
      </c>
      <c r="M2764" s="21">
        <v>1</v>
      </c>
    </row>
    <row r="2765" spans="1:13">
      <c r="A2765" s="6">
        <v>43858</v>
      </c>
      <c r="B2765" s="7">
        <v>0.65069444444444446</v>
      </c>
      <c r="C2765" s="21" t="str">
        <f>"FES1162733341"</f>
        <v>FES1162733341</v>
      </c>
      <c r="D2765" s="21" t="s">
        <v>19</v>
      </c>
      <c r="E2765" s="21" t="s">
        <v>875</v>
      </c>
      <c r="F2765" s="21" t="str">
        <f>"2170725867 "</f>
        <v xml:space="preserve">2170725867 </v>
      </c>
      <c r="G2765" s="21" t="str">
        <f t="shared" si="79"/>
        <v>ON1</v>
      </c>
      <c r="H2765" s="21" t="s">
        <v>21</v>
      </c>
      <c r="I2765" s="21" t="s">
        <v>718</v>
      </c>
      <c r="J2765" s="21" t="str">
        <f>""</f>
        <v/>
      </c>
      <c r="K2765" s="21" t="str">
        <f>"PFES1162733341_0001"</f>
        <v>PFES1162733341_0001</v>
      </c>
      <c r="L2765" s="21">
        <v>1</v>
      </c>
      <c r="M2765" s="21">
        <v>2</v>
      </c>
    </row>
    <row r="2766" spans="1:13">
      <c r="A2766" s="6">
        <v>43858</v>
      </c>
      <c r="B2766" s="7">
        <v>0.64930555555555558</v>
      </c>
      <c r="C2766" s="21" t="str">
        <f>"FES1162733369"</f>
        <v>FES1162733369</v>
      </c>
      <c r="D2766" s="21" t="s">
        <v>19</v>
      </c>
      <c r="E2766" s="21" t="s">
        <v>607</v>
      </c>
      <c r="F2766" s="21" t="str">
        <f>"2170725900 "</f>
        <v xml:space="preserve">2170725900 </v>
      </c>
      <c r="G2766" s="21" t="str">
        <f t="shared" si="79"/>
        <v>ON1</v>
      </c>
      <c r="H2766" s="21" t="s">
        <v>21</v>
      </c>
      <c r="I2766" s="21" t="s">
        <v>416</v>
      </c>
      <c r="J2766" s="21" t="str">
        <f>""</f>
        <v/>
      </c>
      <c r="K2766" s="21" t="str">
        <f>"PFES1162733369_0001"</f>
        <v>PFES1162733369_0001</v>
      </c>
      <c r="L2766" s="21">
        <v>1</v>
      </c>
      <c r="M2766" s="21">
        <v>1</v>
      </c>
    </row>
    <row r="2767" spans="1:13">
      <c r="A2767" s="6">
        <v>43858</v>
      </c>
      <c r="B2767" s="7">
        <v>0.64861111111111114</v>
      </c>
      <c r="C2767" s="21" t="str">
        <f>"FES1162733410"</f>
        <v>FES1162733410</v>
      </c>
      <c r="D2767" s="21" t="s">
        <v>19</v>
      </c>
      <c r="E2767" s="21" t="s">
        <v>540</v>
      </c>
      <c r="F2767" s="21" t="str">
        <f>"2170725937 "</f>
        <v xml:space="preserve">2170725937 </v>
      </c>
      <c r="G2767" s="21" t="str">
        <f t="shared" si="79"/>
        <v>ON1</v>
      </c>
      <c r="H2767" s="21" t="s">
        <v>21</v>
      </c>
      <c r="I2767" s="21" t="s">
        <v>403</v>
      </c>
      <c r="J2767" s="21" t="str">
        <f>""</f>
        <v/>
      </c>
      <c r="K2767" s="21" t="str">
        <f>"PFES1162733410_0001"</f>
        <v>PFES1162733410_0001</v>
      </c>
      <c r="L2767" s="21">
        <v>1</v>
      </c>
      <c r="M2767" s="21">
        <v>1</v>
      </c>
    </row>
    <row r="2768" spans="1:13">
      <c r="A2768" s="6">
        <v>43858</v>
      </c>
      <c r="B2768" s="7">
        <v>0.6479166666666667</v>
      </c>
      <c r="C2768" s="21" t="str">
        <f>"FES1162733412"</f>
        <v>FES1162733412</v>
      </c>
      <c r="D2768" s="21" t="s">
        <v>19</v>
      </c>
      <c r="E2768" s="21" t="s">
        <v>134</v>
      </c>
      <c r="F2768" s="21" t="str">
        <f>"2170725941 "</f>
        <v xml:space="preserve">2170725941 </v>
      </c>
      <c r="G2768" s="21" t="str">
        <f t="shared" si="79"/>
        <v>ON1</v>
      </c>
      <c r="H2768" s="21" t="s">
        <v>21</v>
      </c>
      <c r="I2768" s="21" t="s">
        <v>135</v>
      </c>
      <c r="J2768" s="21" t="str">
        <f>""</f>
        <v/>
      </c>
      <c r="K2768" s="21" t="str">
        <f>"PFES1162733412_0001"</f>
        <v>PFES1162733412_0001</v>
      </c>
      <c r="L2768" s="21">
        <v>1</v>
      </c>
      <c r="M2768" s="21">
        <v>1</v>
      </c>
    </row>
    <row r="2769" spans="1:13">
      <c r="A2769" s="6">
        <v>43858</v>
      </c>
      <c r="B2769" s="7">
        <v>0.64722222222222225</v>
      </c>
      <c r="C2769" s="21" t="str">
        <f>"FES1162733356"</f>
        <v>FES1162733356</v>
      </c>
      <c r="D2769" s="21" t="s">
        <v>19</v>
      </c>
      <c r="E2769" s="21" t="s">
        <v>308</v>
      </c>
      <c r="F2769" s="21" t="str">
        <f>"2170725588 "</f>
        <v xml:space="preserve">2170725588 </v>
      </c>
      <c r="G2769" s="21" t="str">
        <f t="shared" si="79"/>
        <v>ON1</v>
      </c>
      <c r="H2769" s="21" t="s">
        <v>21</v>
      </c>
      <c r="I2769" s="21" t="s">
        <v>309</v>
      </c>
      <c r="J2769" s="21" t="str">
        <f>""</f>
        <v/>
      </c>
      <c r="K2769" s="21" t="str">
        <f>"PFES1162733356_0001"</f>
        <v>PFES1162733356_0001</v>
      </c>
      <c r="L2769" s="21">
        <v>1</v>
      </c>
      <c r="M2769" s="21">
        <v>1</v>
      </c>
    </row>
    <row r="2770" spans="1:13">
      <c r="A2770" s="6">
        <v>43858</v>
      </c>
      <c r="B2770" s="7">
        <v>0.64652777777777781</v>
      </c>
      <c r="C2770" s="21" t="str">
        <f>"FES1162733400"</f>
        <v>FES1162733400</v>
      </c>
      <c r="D2770" s="21" t="s">
        <v>19</v>
      </c>
      <c r="E2770" s="21" t="s">
        <v>293</v>
      </c>
      <c r="F2770" s="21" t="str">
        <f>"2170725932 "</f>
        <v xml:space="preserve">2170725932 </v>
      </c>
      <c r="G2770" s="21" t="str">
        <f t="shared" si="79"/>
        <v>ON1</v>
      </c>
      <c r="H2770" s="21" t="s">
        <v>21</v>
      </c>
      <c r="I2770" s="21" t="s">
        <v>294</v>
      </c>
      <c r="J2770" s="21" t="str">
        <f>""</f>
        <v/>
      </c>
      <c r="K2770" s="21" t="str">
        <f>"PFES1162733400_0001"</f>
        <v>PFES1162733400_0001</v>
      </c>
      <c r="L2770" s="21">
        <v>1</v>
      </c>
      <c r="M2770" s="21">
        <v>1</v>
      </c>
    </row>
    <row r="2771" spans="1:13">
      <c r="A2771" s="6">
        <v>43858</v>
      </c>
      <c r="B2771" s="7">
        <v>0.64583333333333337</v>
      </c>
      <c r="C2771" s="21" t="str">
        <f>"FES1162733376"</f>
        <v>FES1162733376</v>
      </c>
      <c r="D2771" s="21" t="s">
        <v>19</v>
      </c>
      <c r="E2771" s="21" t="s">
        <v>1009</v>
      </c>
      <c r="F2771" s="21" t="str">
        <f>"2170725905 "</f>
        <v xml:space="preserve">2170725905 </v>
      </c>
      <c r="G2771" s="21" t="str">
        <f t="shared" si="79"/>
        <v>ON1</v>
      </c>
      <c r="H2771" s="21" t="s">
        <v>21</v>
      </c>
      <c r="I2771" s="21" t="s">
        <v>614</v>
      </c>
      <c r="J2771" s="21" t="str">
        <f>""</f>
        <v/>
      </c>
      <c r="K2771" s="21" t="str">
        <f>"PFES1162733376_0001"</f>
        <v>PFES1162733376_0001</v>
      </c>
      <c r="L2771" s="21">
        <v>1</v>
      </c>
      <c r="M2771" s="21">
        <v>1</v>
      </c>
    </row>
    <row r="2772" spans="1:13">
      <c r="A2772" s="6">
        <v>43858</v>
      </c>
      <c r="B2772" s="7">
        <v>0.64513888888888882</v>
      </c>
      <c r="C2772" s="21" t="str">
        <f>"FES1162733344"</f>
        <v>FES1162733344</v>
      </c>
      <c r="D2772" s="21" t="s">
        <v>19</v>
      </c>
      <c r="E2772" s="21" t="s">
        <v>1007</v>
      </c>
      <c r="F2772" s="21" t="str">
        <f>"2170725865 "</f>
        <v xml:space="preserve">2170725865 </v>
      </c>
      <c r="G2772" s="21" t="str">
        <f t="shared" si="79"/>
        <v>ON1</v>
      </c>
      <c r="H2772" s="21" t="s">
        <v>21</v>
      </c>
      <c r="I2772" s="21" t="s">
        <v>731</v>
      </c>
      <c r="J2772" s="21" t="str">
        <f>""</f>
        <v/>
      </c>
      <c r="K2772" s="21" t="str">
        <f>"PFES1162733344_0001"</f>
        <v>PFES1162733344_0001</v>
      </c>
      <c r="L2772" s="21">
        <v>1</v>
      </c>
      <c r="M2772" s="21">
        <v>1</v>
      </c>
    </row>
    <row r="2773" spans="1:13">
      <c r="A2773" s="6">
        <v>43858</v>
      </c>
      <c r="B2773" s="7">
        <v>0.64444444444444449</v>
      </c>
      <c r="C2773" s="21" t="str">
        <f>"FES1162733403"</f>
        <v>FES1162733403</v>
      </c>
      <c r="D2773" s="21" t="s">
        <v>19</v>
      </c>
      <c r="E2773" s="21" t="s">
        <v>395</v>
      </c>
      <c r="F2773" s="21" t="str">
        <f>"2170725935 "</f>
        <v xml:space="preserve">2170725935 </v>
      </c>
      <c r="G2773" s="21" t="str">
        <f t="shared" si="79"/>
        <v>ON1</v>
      </c>
      <c r="H2773" s="21" t="s">
        <v>21</v>
      </c>
      <c r="I2773" s="21" t="s">
        <v>396</v>
      </c>
      <c r="J2773" s="21" t="str">
        <f>""</f>
        <v/>
      </c>
      <c r="K2773" s="21" t="str">
        <f>"PFES1162733403_0001"</f>
        <v>PFES1162733403_0001</v>
      </c>
      <c r="L2773" s="21">
        <v>1</v>
      </c>
      <c r="M2773" s="21">
        <v>1</v>
      </c>
    </row>
    <row r="2774" spans="1:13">
      <c r="A2774" s="6">
        <v>43858</v>
      </c>
      <c r="B2774" s="7">
        <v>0.64374999999999993</v>
      </c>
      <c r="C2774" s="21" t="str">
        <f>"FES1162733401"</f>
        <v>FES1162733401</v>
      </c>
      <c r="D2774" s="21" t="s">
        <v>19</v>
      </c>
      <c r="E2774" s="21" t="s">
        <v>54</v>
      </c>
      <c r="F2774" s="21" t="str">
        <f>"2170725933 "</f>
        <v xml:space="preserve">2170725933 </v>
      </c>
      <c r="G2774" s="21" t="str">
        <f t="shared" si="79"/>
        <v>ON1</v>
      </c>
      <c r="H2774" s="21" t="s">
        <v>21</v>
      </c>
      <c r="I2774" s="21" t="s">
        <v>31</v>
      </c>
      <c r="J2774" s="21" t="str">
        <f>""</f>
        <v/>
      </c>
      <c r="K2774" s="21" t="str">
        <f>"PFES1162733401_0001"</f>
        <v>PFES1162733401_0001</v>
      </c>
      <c r="L2774" s="21">
        <v>1</v>
      </c>
      <c r="M2774" s="21">
        <v>1</v>
      </c>
    </row>
    <row r="2775" spans="1:13">
      <c r="A2775" s="6">
        <v>43858</v>
      </c>
      <c r="B2775" s="7">
        <v>0.64374999999999993</v>
      </c>
      <c r="C2775" s="21" t="str">
        <f>"FES1162733411"</f>
        <v>FES1162733411</v>
      </c>
      <c r="D2775" s="21" t="s">
        <v>19</v>
      </c>
      <c r="E2775" s="21" t="s">
        <v>134</v>
      </c>
      <c r="F2775" s="21" t="str">
        <f>"2170725939 "</f>
        <v xml:space="preserve">2170725939 </v>
      </c>
      <c r="G2775" s="21" t="str">
        <f t="shared" si="79"/>
        <v>ON1</v>
      </c>
      <c r="H2775" s="21" t="s">
        <v>21</v>
      </c>
      <c r="I2775" s="21" t="s">
        <v>135</v>
      </c>
      <c r="J2775" s="21" t="str">
        <f>""</f>
        <v/>
      </c>
      <c r="K2775" s="21" t="str">
        <f>"PFES1162733411_0001"</f>
        <v>PFES1162733411_0001</v>
      </c>
      <c r="L2775" s="21">
        <v>1</v>
      </c>
      <c r="M2775" s="21">
        <v>1</v>
      </c>
    </row>
    <row r="2776" spans="1:13">
      <c r="A2776" s="6">
        <v>43858</v>
      </c>
      <c r="B2776" s="7">
        <v>0.63958333333333328</v>
      </c>
      <c r="C2776" s="21" t="str">
        <f>"FES1162733402"</f>
        <v>FES1162733402</v>
      </c>
      <c r="D2776" s="21" t="s">
        <v>19</v>
      </c>
      <c r="E2776" s="21" t="s">
        <v>109</v>
      </c>
      <c r="F2776" s="21" t="str">
        <f>"2170725934 "</f>
        <v xml:space="preserve">2170725934 </v>
      </c>
      <c r="G2776" s="21" t="str">
        <f t="shared" si="79"/>
        <v>ON1</v>
      </c>
      <c r="H2776" s="21" t="s">
        <v>21</v>
      </c>
      <c r="I2776" s="21" t="s">
        <v>110</v>
      </c>
      <c r="J2776" s="21" t="str">
        <f>""</f>
        <v/>
      </c>
      <c r="K2776" s="21" t="str">
        <f>"PFES1162733402_0001"</f>
        <v>PFES1162733402_0001</v>
      </c>
      <c r="L2776" s="21">
        <v>1</v>
      </c>
      <c r="M2776" s="21">
        <v>3</v>
      </c>
    </row>
    <row r="2777" spans="1:13">
      <c r="A2777" s="6">
        <v>43858</v>
      </c>
      <c r="B2777" s="7">
        <v>0.6381944444444444</v>
      </c>
      <c r="C2777" s="21" t="str">
        <f>"FES1162733399"</f>
        <v>FES1162733399</v>
      </c>
      <c r="D2777" s="21" t="s">
        <v>19</v>
      </c>
      <c r="E2777" s="21" t="s">
        <v>1010</v>
      </c>
      <c r="F2777" s="21" t="str">
        <f>"2170725930 "</f>
        <v xml:space="preserve">2170725930 </v>
      </c>
      <c r="G2777" s="21" t="str">
        <f t="shared" si="79"/>
        <v>ON1</v>
      </c>
      <c r="H2777" s="21" t="s">
        <v>21</v>
      </c>
      <c r="I2777" s="21" t="s">
        <v>38</v>
      </c>
      <c r="J2777" s="21" t="str">
        <f>""</f>
        <v/>
      </c>
      <c r="K2777" s="21" t="str">
        <f>"PFES1162733399_0001"</f>
        <v>PFES1162733399_0001</v>
      </c>
      <c r="L2777" s="21">
        <v>1</v>
      </c>
      <c r="M2777" s="21">
        <v>3</v>
      </c>
    </row>
    <row r="2778" spans="1:13">
      <c r="A2778" s="6">
        <v>43858</v>
      </c>
      <c r="B2778" s="7">
        <v>0.63055555555555554</v>
      </c>
      <c r="C2778" s="21" t="str">
        <f>"FES1162733374"</f>
        <v>FES1162733374</v>
      </c>
      <c r="D2778" s="21" t="s">
        <v>19</v>
      </c>
      <c r="E2778" s="21" t="s">
        <v>201</v>
      </c>
      <c r="F2778" s="21" t="str">
        <f>"2170725901 "</f>
        <v xml:space="preserve">2170725901 </v>
      </c>
      <c r="G2778" s="21" t="str">
        <f t="shared" si="79"/>
        <v>ON1</v>
      </c>
      <c r="H2778" s="21" t="s">
        <v>21</v>
      </c>
      <c r="I2778" s="21" t="s">
        <v>202</v>
      </c>
      <c r="J2778" s="21" t="str">
        <f>""</f>
        <v/>
      </c>
      <c r="K2778" s="21" t="str">
        <f>"PFES1162733374_0001"</f>
        <v>PFES1162733374_0001</v>
      </c>
      <c r="L2778" s="21">
        <v>1</v>
      </c>
      <c r="M2778" s="21">
        <v>1</v>
      </c>
    </row>
    <row r="2779" spans="1:13">
      <c r="A2779" s="6">
        <v>43858</v>
      </c>
      <c r="B2779" s="7">
        <v>0.62986111111111109</v>
      </c>
      <c r="C2779" s="21" t="str">
        <f>"FES1162733325"</f>
        <v>FES1162733325</v>
      </c>
      <c r="D2779" s="21" t="s">
        <v>19</v>
      </c>
      <c r="E2779" s="21" t="s">
        <v>343</v>
      </c>
      <c r="F2779" s="21" t="str">
        <f>"2170725839 "</f>
        <v xml:space="preserve">2170725839 </v>
      </c>
      <c r="G2779" s="21" t="str">
        <f t="shared" si="79"/>
        <v>ON1</v>
      </c>
      <c r="H2779" s="21" t="s">
        <v>21</v>
      </c>
      <c r="I2779" s="21" t="s">
        <v>344</v>
      </c>
      <c r="J2779" s="21" t="str">
        <f>""</f>
        <v/>
      </c>
      <c r="K2779" s="21" t="str">
        <f>"PFES1162733325_0001"</f>
        <v>PFES1162733325_0001</v>
      </c>
      <c r="L2779" s="21">
        <v>1</v>
      </c>
      <c r="M2779" s="21">
        <v>1</v>
      </c>
    </row>
    <row r="2780" spans="1:13">
      <c r="A2780" s="6">
        <v>43858</v>
      </c>
      <c r="B2780" s="7">
        <v>0.62916666666666665</v>
      </c>
      <c r="C2780" s="21" t="str">
        <f>"FES1162733389"</f>
        <v>FES1162733389</v>
      </c>
      <c r="D2780" s="21" t="s">
        <v>19</v>
      </c>
      <c r="E2780" s="21" t="s">
        <v>593</v>
      </c>
      <c r="F2780" s="21" t="str">
        <f>"2170725920 "</f>
        <v xml:space="preserve">2170725920 </v>
      </c>
      <c r="G2780" s="21" t="str">
        <f t="shared" si="79"/>
        <v>ON1</v>
      </c>
      <c r="H2780" s="21" t="s">
        <v>21</v>
      </c>
      <c r="I2780" s="21" t="s">
        <v>179</v>
      </c>
      <c r="J2780" s="21" t="str">
        <f>""</f>
        <v/>
      </c>
      <c r="K2780" s="21" t="str">
        <f>"PFES1162733389_0001"</f>
        <v>PFES1162733389_0001</v>
      </c>
      <c r="L2780" s="21">
        <v>1</v>
      </c>
      <c r="M2780" s="21">
        <v>8</v>
      </c>
    </row>
    <row r="2781" spans="1:13">
      <c r="A2781" s="6">
        <v>43858</v>
      </c>
      <c r="B2781" s="7">
        <v>0.62916666666666665</v>
      </c>
      <c r="C2781" s="21" t="str">
        <f>"FES1162733345"</f>
        <v>FES1162733345</v>
      </c>
      <c r="D2781" s="21" t="s">
        <v>19</v>
      </c>
      <c r="E2781" s="21" t="s">
        <v>101</v>
      </c>
      <c r="F2781" s="21" t="str">
        <f>"2170725869 "</f>
        <v xml:space="preserve">2170725869 </v>
      </c>
      <c r="G2781" s="21" t="str">
        <f t="shared" si="79"/>
        <v>ON1</v>
      </c>
      <c r="H2781" s="21" t="s">
        <v>21</v>
      </c>
      <c r="I2781" s="21" t="s">
        <v>102</v>
      </c>
      <c r="J2781" s="21" t="str">
        <f>""</f>
        <v/>
      </c>
      <c r="K2781" s="21" t="str">
        <f>"PFES1162733345_0001"</f>
        <v>PFES1162733345_0001</v>
      </c>
      <c r="L2781" s="21">
        <v>1</v>
      </c>
      <c r="M2781" s="21">
        <v>1</v>
      </c>
    </row>
    <row r="2782" spans="1:13">
      <c r="A2782" s="6">
        <v>43858</v>
      </c>
      <c r="B2782" s="7">
        <v>0.62847222222222221</v>
      </c>
      <c r="C2782" s="21" t="str">
        <f>"FES1162733386"</f>
        <v>FES1162733386</v>
      </c>
      <c r="D2782" s="21" t="s">
        <v>19</v>
      </c>
      <c r="E2782" s="21" t="s">
        <v>46</v>
      </c>
      <c r="F2782" s="21" t="str">
        <f>"2170725917 "</f>
        <v xml:space="preserve">2170725917 </v>
      </c>
      <c r="G2782" s="21" t="str">
        <f t="shared" si="79"/>
        <v>ON1</v>
      </c>
      <c r="H2782" s="21" t="s">
        <v>21</v>
      </c>
      <c r="I2782" s="21" t="s">
        <v>47</v>
      </c>
      <c r="J2782" s="21" t="str">
        <f>""</f>
        <v/>
      </c>
      <c r="K2782" s="21" t="str">
        <f>"PFES1162733386_0001"</f>
        <v>PFES1162733386_0001</v>
      </c>
      <c r="L2782" s="21">
        <v>1</v>
      </c>
      <c r="M2782" s="21">
        <v>4</v>
      </c>
    </row>
    <row r="2783" spans="1:13">
      <c r="A2783" s="6">
        <v>43858</v>
      </c>
      <c r="B2783" s="7">
        <v>0.62847222222222221</v>
      </c>
      <c r="C2783" s="21" t="str">
        <f>"FES1162733362"</f>
        <v>FES1162733362</v>
      </c>
      <c r="D2783" s="21" t="s">
        <v>19</v>
      </c>
      <c r="E2783" s="21" t="s">
        <v>611</v>
      </c>
      <c r="F2783" s="21" t="str">
        <f>"2170725879 "</f>
        <v xml:space="preserve">2170725879 </v>
      </c>
      <c r="G2783" s="21" t="str">
        <f t="shared" si="79"/>
        <v>ON1</v>
      </c>
      <c r="H2783" s="21" t="s">
        <v>21</v>
      </c>
      <c r="I2783" s="21" t="s">
        <v>36</v>
      </c>
      <c r="J2783" s="21" t="str">
        <f>""</f>
        <v/>
      </c>
      <c r="K2783" s="21" t="str">
        <f>"PFES1162733362_0001"</f>
        <v>PFES1162733362_0001</v>
      </c>
      <c r="L2783" s="21">
        <v>1</v>
      </c>
      <c r="M2783" s="21">
        <v>8</v>
      </c>
    </row>
    <row r="2784" spans="1:13">
      <c r="A2784" s="6">
        <v>43858</v>
      </c>
      <c r="B2784" s="7">
        <v>0.62847222222222221</v>
      </c>
      <c r="C2784" s="21" t="str">
        <f>"FES1162733332"</f>
        <v>FES1162733332</v>
      </c>
      <c r="D2784" s="21" t="s">
        <v>19</v>
      </c>
      <c r="E2784" s="21" t="s">
        <v>516</v>
      </c>
      <c r="F2784" s="21" t="str">
        <f>"2170725852 "</f>
        <v xml:space="preserve">2170725852 </v>
      </c>
      <c r="G2784" s="21" t="str">
        <f t="shared" si="79"/>
        <v>ON1</v>
      </c>
      <c r="H2784" s="21" t="s">
        <v>21</v>
      </c>
      <c r="I2784" s="21" t="s">
        <v>517</v>
      </c>
      <c r="J2784" s="21" t="str">
        <f>""</f>
        <v/>
      </c>
      <c r="K2784" s="21" t="str">
        <f>"PFES1162733332_0001"</f>
        <v>PFES1162733332_0001</v>
      </c>
      <c r="L2784" s="21">
        <v>1</v>
      </c>
      <c r="M2784" s="21">
        <v>1</v>
      </c>
    </row>
    <row r="2785" spans="1:13">
      <c r="A2785" s="6">
        <v>43858</v>
      </c>
      <c r="B2785" s="7">
        <v>0.62777777777777777</v>
      </c>
      <c r="C2785" s="21" t="str">
        <f>"FES1162733372"</f>
        <v>FES1162733372</v>
      </c>
      <c r="D2785" s="21" t="s">
        <v>19</v>
      </c>
      <c r="E2785" s="21" t="s">
        <v>64</v>
      </c>
      <c r="F2785" s="21" t="str">
        <f>"2170725814 "</f>
        <v xml:space="preserve">2170725814 </v>
      </c>
      <c r="G2785" s="21" t="str">
        <f t="shared" si="79"/>
        <v>ON1</v>
      </c>
      <c r="H2785" s="21" t="s">
        <v>21</v>
      </c>
      <c r="I2785" s="21" t="s">
        <v>60</v>
      </c>
      <c r="J2785" s="21" t="str">
        <f>""</f>
        <v/>
      </c>
      <c r="K2785" s="21" t="str">
        <f>"PFES1162733372_0001"</f>
        <v>PFES1162733372_0001</v>
      </c>
      <c r="L2785" s="21">
        <v>1</v>
      </c>
      <c r="M2785" s="21">
        <v>7</v>
      </c>
    </row>
    <row r="2786" spans="1:13">
      <c r="A2786" s="6">
        <v>43858</v>
      </c>
      <c r="B2786" s="7">
        <v>0.62777777777777777</v>
      </c>
      <c r="C2786" s="21" t="str">
        <f>"FES1162733353"</f>
        <v>FES1162733353</v>
      </c>
      <c r="D2786" s="21" t="s">
        <v>19</v>
      </c>
      <c r="E2786" s="21" t="s">
        <v>37</v>
      </c>
      <c r="F2786" s="21" t="str">
        <f>"2170725224 "</f>
        <v xml:space="preserve">2170725224 </v>
      </c>
      <c r="G2786" s="21" t="str">
        <f>"DBC"</f>
        <v>DBC</v>
      </c>
      <c r="H2786" s="21" t="s">
        <v>21</v>
      </c>
      <c r="I2786" s="21" t="s">
        <v>38</v>
      </c>
      <c r="J2786" s="21" t="str">
        <f>""</f>
        <v/>
      </c>
      <c r="K2786" s="21" t="str">
        <f>"PFES1162733353_0001"</f>
        <v>PFES1162733353_0001</v>
      </c>
      <c r="L2786" s="21">
        <v>1</v>
      </c>
      <c r="M2786" s="21">
        <v>21</v>
      </c>
    </row>
    <row r="2787" spans="1:13">
      <c r="A2787" s="6">
        <v>43858</v>
      </c>
      <c r="B2787" s="7">
        <v>0.62708333333333333</v>
      </c>
      <c r="C2787" s="21" t="str">
        <f>"FES1162733367"</f>
        <v>FES1162733367</v>
      </c>
      <c r="D2787" s="21" t="s">
        <v>19</v>
      </c>
      <c r="E2787" s="21" t="s">
        <v>587</v>
      </c>
      <c r="F2787" s="21" t="str">
        <f>"2170725895 "</f>
        <v xml:space="preserve">2170725895 </v>
      </c>
      <c r="G2787" s="21" t="str">
        <f t="shared" ref="G2787:G2792" si="80">"ON1"</f>
        <v>ON1</v>
      </c>
      <c r="H2787" s="21" t="s">
        <v>21</v>
      </c>
      <c r="I2787" s="21" t="s">
        <v>277</v>
      </c>
      <c r="J2787" s="21" t="str">
        <f>""</f>
        <v/>
      </c>
      <c r="K2787" s="21" t="str">
        <f>"PFES1162733367_0001"</f>
        <v>PFES1162733367_0001</v>
      </c>
      <c r="L2787" s="21">
        <v>1</v>
      </c>
      <c r="M2787" s="21">
        <v>1</v>
      </c>
    </row>
    <row r="2788" spans="1:13">
      <c r="A2788" s="6">
        <v>43858</v>
      </c>
      <c r="B2788" s="7">
        <v>0.62638888888888888</v>
      </c>
      <c r="C2788" s="21" t="str">
        <f>"FES1162733330"</f>
        <v>FES1162733330</v>
      </c>
      <c r="D2788" s="21" t="s">
        <v>19</v>
      </c>
      <c r="E2788" s="21" t="s">
        <v>434</v>
      </c>
      <c r="F2788" s="21" t="str">
        <f>"2170725850 "</f>
        <v xml:space="preserve">2170725850 </v>
      </c>
      <c r="G2788" s="21" t="str">
        <f t="shared" si="80"/>
        <v>ON1</v>
      </c>
      <c r="H2788" s="21" t="s">
        <v>21</v>
      </c>
      <c r="I2788" s="21" t="s">
        <v>344</v>
      </c>
      <c r="J2788" s="21" t="str">
        <f>""</f>
        <v/>
      </c>
      <c r="K2788" s="21" t="str">
        <f>"PFES1162733330_0001"</f>
        <v>PFES1162733330_0001</v>
      </c>
      <c r="L2788" s="21">
        <v>1</v>
      </c>
      <c r="M2788" s="21">
        <v>1</v>
      </c>
    </row>
    <row r="2789" spans="1:13">
      <c r="A2789" s="6">
        <v>43858</v>
      </c>
      <c r="B2789" s="7">
        <v>0.62569444444444444</v>
      </c>
      <c r="C2789" s="21" t="str">
        <f>"FES1162733355"</f>
        <v>FES1162733355</v>
      </c>
      <c r="D2789" s="21" t="s">
        <v>19</v>
      </c>
      <c r="E2789" s="21" t="s">
        <v>588</v>
      </c>
      <c r="F2789" s="21" t="str">
        <f>"2170725523 "</f>
        <v xml:space="preserve">2170725523 </v>
      </c>
      <c r="G2789" s="21" t="str">
        <f t="shared" si="80"/>
        <v>ON1</v>
      </c>
      <c r="H2789" s="21" t="s">
        <v>21</v>
      </c>
      <c r="I2789" s="21" t="s">
        <v>408</v>
      </c>
      <c r="J2789" s="21" t="str">
        <f>""</f>
        <v/>
      </c>
      <c r="K2789" s="21" t="str">
        <f>"PFES1162733355_0001"</f>
        <v>PFES1162733355_0001</v>
      </c>
      <c r="L2789" s="21">
        <v>1</v>
      </c>
      <c r="M2789" s="21">
        <v>1</v>
      </c>
    </row>
    <row r="2790" spans="1:13">
      <c r="A2790" s="6">
        <v>43858</v>
      </c>
      <c r="B2790" s="7">
        <v>0.62569444444444444</v>
      </c>
      <c r="C2790" s="21" t="str">
        <f>"FES1162733359"</f>
        <v>FES1162733359</v>
      </c>
      <c r="D2790" s="21" t="s">
        <v>19</v>
      </c>
      <c r="E2790" s="21" t="s">
        <v>1011</v>
      </c>
      <c r="F2790" s="21" t="str">
        <f>"2170725872 "</f>
        <v xml:space="preserve">2170725872 </v>
      </c>
      <c r="G2790" s="21" t="str">
        <f t="shared" si="80"/>
        <v>ON1</v>
      </c>
      <c r="H2790" s="21" t="s">
        <v>21</v>
      </c>
      <c r="I2790" s="21" t="s">
        <v>131</v>
      </c>
      <c r="J2790" s="21" t="str">
        <f>""</f>
        <v/>
      </c>
      <c r="K2790" s="21" t="str">
        <f>"PFES1162733359_0001"</f>
        <v>PFES1162733359_0001</v>
      </c>
      <c r="L2790" s="21">
        <v>1</v>
      </c>
      <c r="M2790" s="21">
        <v>7</v>
      </c>
    </row>
    <row r="2791" spans="1:13">
      <c r="A2791" s="6">
        <v>43858</v>
      </c>
      <c r="B2791" s="7">
        <v>0.62569444444444444</v>
      </c>
      <c r="C2791" s="21" t="str">
        <f>"FES1162733333"</f>
        <v>FES1162733333</v>
      </c>
      <c r="D2791" s="21" t="s">
        <v>19</v>
      </c>
      <c r="E2791" s="21" t="s">
        <v>101</v>
      </c>
      <c r="F2791" s="21" t="str">
        <f>"2170725853 "</f>
        <v xml:space="preserve">2170725853 </v>
      </c>
      <c r="G2791" s="21" t="str">
        <f t="shared" si="80"/>
        <v>ON1</v>
      </c>
      <c r="H2791" s="21" t="s">
        <v>21</v>
      </c>
      <c r="I2791" s="21" t="s">
        <v>102</v>
      </c>
      <c r="J2791" s="21" t="str">
        <f>""</f>
        <v/>
      </c>
      <c r="K2791" s="21" t="str">
        <f>"PFES1162733333_0001"</f>
        <v>PFES1162733333_0001</v>
      </c>
      <c r="L2791" s="21">
        <v>1</v>
      </c>
      <c r="M2791" s="21">
        <v>1</v>
      </c>
    </row>
    <row r="2792" spans="1:13">
      <c r="A2792" s="6">
        <v>43858</v>
      </c>
      <c r="B2792" s="7">
        <v>0.625</v>
      </c>
      <c r="C2792" s="21" t="str">
        <f>"FES1162733373"</f>
        <v>FES1162733373</v>
      </c>
      <c r="D2792" s="21" t="s">
        <v>19</v>
      </c>
      <c r="E2792" s="21" t="s">
        <v>944</v>
      </c>
      <c r="F2792" s="21" t="str">
        <f>"2170725889 "</f>
        <v xml:space="preserve">2170725889 </v>
      </c>
      <c r="G2792" s="21" t="str">
        <f t="shared" si="80"/>
        <v>ON1</v>
      </c>
      <c r="H2792" s="21" t="s">
        <v>21</v>
      </c>
      <c r="I2792" s="21" t="s">
        <v>146</v>
      </c>
      <c r="J2792" s="21" t="str">
        <f>""</f>
        <v/>
      </c>
      <c r="K2792" s="21" t="str">
        <f>"PFES1162733373_0001"</f>
        <v>PFES1162733373_0001</v>
      </c>
      <c r="L2792" s="21">
        <v>1</v>
      </c>
      <c r="M2792" s="21">
        <v>1</v>
      </c>
    </row>
    <row r="2793" spans="1:13">
      <c r="A2793" s="6">
        <v>43858</v>
      </c>
      <c r="B2793" s="7">
        <v>0.625</v>
      </c>
      <c r="C2793" s="21" t="str">
        <f>"FES1162733377"</f>
        <v>FES1162733377</v>
      </c>
      <c r="D2793" s="21" t="s">
        <v>19</v>
      </c>
      <c r="E2793" s="21" t="s">
        <v>409</v>
      </c>
      <c r="F2793" s="21" t="str">
        <f>"2170725907 "</f>
        <v xml:space="preserve">2170725907 </v>
      </c>
      <c r="G2793" s="21" t="str">
        <f>"DBC"</f>
        <v>DBC</v>
      </c>
      <c r="H2793" s="21" t="s">
        <v>21</v>
      </c>
      <c r="I2793" s="21" t="s">
        <v>249</v>
      </c>
      <c r="J2793" s="21" t="str">
        <f>""</f>
        <v/>
      </c>
      <c r="K2793" s="21" t="str">
        <f>"PFES1162733377_0001"</f>
        <v>PFES1162733377_0001</v>
      </c>
      <c r="L2793" s="21">
        <v>2</v>
      </c>
      <c r="M2793" s="21">
        <v>20</v>
      </c>
    </row>
    <row r="2794" spans="1:13">
      <c r="A2794" s="6">
        <v>43496</v>
      </c>
      <c r="B2794" s="7">
        <v>0.6333333333333333</v>
      </c>
      <c r="C2794" s="21" t="str">
        <f>"FES1162733377"</f>
        <v>FES1162733377</v>
      </c>
      <c r="D2794" s="21" t="s">
        <v>19</v>
      </c>
      <c r="E2794" s="21" t="s">
        <v>417</v>
      </c>
      <c r="F2794" s="21" t="str">
        <f>"2170671625 "</f>
        <v xml:space="preserve">2170671625 </v>
      </c>
      <c r="G2794" s="21" t="str">
        <f t="shared" ref="G2794:G2821" si="81">"ON1"</f>
        <v>ON1</v>
      </c>
      <c r="H2794" s="21" t="s">
        <v>21</v>
      </c>
      <c r="I2794" s="21" t="s">
        <v>73</v>
      </c>
      <c r="J2794" s="21" t="str">
        <f>""</f>
        <v/>
      </c>
      <c r="K2794" s="21" t="str">
        <f>"PFES1162733377_0002"</f>
        <v>PFES1162733377_0002</v>
      </c>
      <c r="L2794" s="21">
        <v>1</v>
      </c>
      <c r="M2794" s="21">
        <v>3</v>
      </c>
    </row>
    <row r="2795" spans="1:13">
      <c r="A2795" s="6">
        <v>43858</v>
      </c>
      <c r="B2795" s="7">
        <v>0.62430555555555556</v>
      </c>
      <c r="C2795" s="21" t="str">
        <f>"FES1162733352"</f>
        <v>FES1162733352</v>
      </c>
      <c r="D2795" s="21" t="s">
        <v>19</v>
      </c>
      <c r="E2795" s="21" t="s">
        <v>1012</v>
      </c>
      <c r="F2795" s="21" t="str">
        <f>"2170724969 "</f>
        <v xml:space="preserve">2170724969 </v>
      </c>
      <c r="G2795" s="21" t="str">
        <f t="shared" si="81"/>
        <v>ON1</v>
      </c>
      <c r="H2795" s="21" t="s">
        <v>21</v>
      </c>
      <c r="I2795" s="21" t="s">
        <v>842</v>
      </c>
      <c r="J2795" s="21" t="str">
        <f>""</f>
        <v/>
      </c>
      <c r="K2795" s="21" t="str">
        <f>"PFES1162733352_0001"</f>
        <v>PFES1162733352_0001</v>
      </c>
      <c r="L2795" s="21">
        <v>1</v>
      </c>
      <c r="M2795" s="21">
        <v>3</v>
      </c>
    </row>
    <row r="2796" spans="1:13">
      <c r="A2796" s="6">
        <v>43858</v>
      </c>
      <c r="B2796" s="7">
        <v>0.62430555555555556</v>
      </c>
      <c r="C2796" s="21" t="str">
        <f>"FES1162733380"</f>
        <v>FES1162733380</v>
      </c>
      <c r="D2796" s="21" t="s">
        <v>19</v>
      </c>
      <c r="E2796" s="21" t="s">
        <v>151</v>
      </c>
      <c r="F2796" s="21" t="str">
        <f>"2170725911 "</f>
        <v xml:space="preserve">2170725911 </v>
      </c>
      <c r="G2796" s="21" t="str">
        <f t="shared" si="81"/>
        <v>ON1</v>
      </c>
      <c r="H2796" s="21" t="s">
        <v>21</v>
      </c>
      <c r="I2796" s="21" t="s">
        <v>152</v>
      </c>
      <c r="J2796" s="21" t="str">
        <f>""</f>
        <v/>
      </c>
      <c r="K2796" s="21" t="str">
        <f>"PFES1162733380_0001"</f>
        <v>PFES1162733380_0001</v>
      </c>
      <c r="L2796" s="21">
        <v>1</v>
      </c>
      <c r="M2796" s="21">
        <v>1</v>
      </c>
    </row>
    <row r="2797" spans="1:13">
      <c r="A2797" s="6">
        <v>43858</v>
      </c>
      <c r="B2797" s="7">
        <v>0.62361111111111112</v>
      </c>
      <c r="C2797" s="21" t="str">
        <f>"FES1162733338"</f>
        <v>FES1162733338</v>
      </c>
      <c r="D2797" s="21" t="s">
        <v>19</v>
      </c>
      <c r="E2797" s="21" t="s">
        <v>370</v>
      </c>
      <c r="F2797" s="21" t="str">
        <f>"2170725859 "</f>
        <v xml:space="preserve">2170725859 </v>
      </c>
      <c r="G2797" s="21" t="str">
        <f t="shared" si="81"/>
        <v>ON1</v>
      </c>
      <c r="H2797" s="21" t="s">
        <v>21</v>
      </c>
      <c r="I2797" s="21" t="s">
        <v>371</v>
      </c>
      <c r="J2797" s="21" t="str">
        <f>""</f>
        <v/>
      </c>
      <c r="K2797" s="21" t="str">
        <f>"PFES1162733338_0001"</f>
        <v>PFES1162733338_0001</v>
      </c>
      <c r="L2797" s="21">
        <v>1</v>
      </c>
      <c r="M2797" s="21">
        <v>1</v>
      </c>
    </row>
    <row r="2798" spans="1:13">
      <c r="A2798" s="6">
        <v>43858</v>
      </c>
      <c r="B2798" s="7">
        <v>0.62361111111111112</v>
      </c>
      <c r="C2798" s="21" t="str">
        <f>"FES1162733384"</f>
        <v>FES1162733384</v>
      </c>
      <c r="D2798" s="21" t="s">
        <v>19</v>
      </c>
      <c r="E2798" s="21" t="s">
        <v>1013</v>
      </c>
      <c r="F2798" s="21" t="str">
        <f>"2170725915 "</f>
        <v xml:space="preserve">2170725915 </v>
      </c>
      <c r="G2798" s="21" t="str">
        <f t="shared" si="81"/>
        <v>ON1</v>
      </c>
      <c r="H2798" s="21" t="s">
        <v>21</v>
      </c>
      <c r="I2798" s="21" t="s">
        <v>247</v>
      </c>
      <c r="J2798" s="21" t="str">
        <f>""</f>
        <v/>
      </c>
      <c r="K2798" s="21" t="str">
        <f>"PFES1162733384_0001"</f>
        <v>PFES1162733384_0001</v>
      </c>
      <c r="L2798" s="21">
        <v>1</v>
      </c>
      <c r="M2798" s="21">
        <v>2</v>
      </c>
    </row>
    <row r="2799" spans="1:13">
      <c r="A2799" s="6">
        <v>43858</v>
      </c>
      <c r="B2799" s="7">
        <v>0.62291666666666667</v>
      </c>
      <c r="C2799" s="21" t="str">
        <f>"FES1162733382"</f>
        <v>FES1162733382</v>
      </c>
      <c r="D2799" s="21" t="s">
        <v>19</v>
      </c>
      <c r="E2799" s="21" t="s">
        <v>1014</v>
      </c>
      <c r="F2799" s="21" t="str">
        <f>"2170725912 "</f>
        <v xml:space="preserve">2170725912 </v>
      </c>
      <c r="G2799" s="21" t="str">
        <f t="shared" si="81"/>
        <v>ON1</v>
      </c>
      <c r="H2799" s="21" t="s">
        <v>21</v>
      </c>
      <c r="I2799" s="21" t="s">
        <v>288</v>
      </c>
      <c r="J2799" s="21" t="str">
        <f>""</f>
        <v/>
      </c>
      <c r="K2799" s="21" t="str">
        <f>"PFES1162733382_0001"</f>
        <v>PFES1162733382_0001</v>
      </c>
      <c r="L2799" s="21">
        <v>1</v>
      </c>
      <c r="M2799" s="21">
        <v>2</v>
      </c>
    </row>
    <row r="2800" spans="1:13">
      <c r="A2800" s="6">
        <v>43858</v>
      </c>
      <c r="B2800" s="7">
        <v>0.62222222222222223</v>
      </c>
      <c r="C2800" s="21" t="str">
        <f>"FES1162733363"</f>
        <v>FES1162733363</v>
      </c>
      <c r="D2800" s="21" t="s">
        <v>19</v>
      </c>
      <c r="E2800" s="21" t="s">
        <v>118</v>
      </c>
      <c r="F2800" s="21" t="str">
        <f>"2170725885 "</f>
        <v xml:space="preserve">2170725885 </v>
      </c>
      <c r="G2800" s="21" t="str">
        <f t="shared" si="81"/>
        <v>ON1</v>
      </c>
      <c r="H2800" s="21" t="s">
        <v>21</v>
      </c>
      <c r="I2800" s="21" t="s">
        <v>119</v>
      </c>
      <c r="J2800" s="21" t="str">
        <f>""</f>
        <v/>
      </c>
      <c r="K2800" s="21" t="str">
        <f>"PFES1162733363_0001"</f>
        <v>PFES1162733363_0001</v>
      </c>
      <c r="L2800" s="21">
        <v>1</v>
      </c>
      <c r="M2800" s="21">
        <v>1</v>
      </c>
    </row>
    <row r="2801" spans="1:13">
      <c r="A2801" s="6">
        <v>43858</v>
      </c>
      <c r="B2801" s="7">
        <v>0.62152777777777779</v>
      </c>
      <c r="C2801" s="21" t="str">
        <f>"FES1162733357"</f>
        <v>FES1162733357</v>
      </c>
      <c r="D2801" s="21" t="s">
        <v>19</v>
      </c>
      <c r="E2801" s="21" t="s">
        <v>300</v>
      </c>
      <c r="F2801" s="21" t="str">
        <f>"2170725602 "</f>
        <v xml:space="preserve">2170725602 </v>
      </c>
      <c r="G2801" s="21" t="str">
        <f t="shared" si="81"/>
        <v>ON1</v>
      </c>
      <c r="H2801" s="21" t="s">
        <v>21</v>
      </c>
      <c r="I2801" s="21" t="s">
        <v>301</v>
      </c>
      <c r="J2801" s="21" t="str">
        <f>""</f>
        <v/>
      </c>
      <c r="K2801" s="21" t="str">
        <f>"PFES1162733357_0001"</f>
        <v>PFES1162733357_0001</v>
      </c>
      <c r="L2801" s="21">
        <v>1</v>
      </c>
      <c r="M2801" s="21">
        <v>1</v>
      </c>
    </row>
    <row r="2802" spans="1:13">
      <c r="A2802" s="6">
        <v>43858</v>
      </c>
      <c r="B2802" s="7">
        <v>0.62083333333333335</v>
      </c>
      <c r="C2802" s="21" t="str">
        <f>"FES1162733331"</f>
        <v>FES1162733331</v>
      </c>
      <c r="D2802" s="21" t="s">
        <v>19</v>
      </c>
      <c r="E2802" s="21" t="s">
        <v>487</v>
      </c>
      <c r="F2802" s="21" t="str">
        <f>"2170725851 "</f>
        <v xml:space="preserve">2170725851 </v>
      </c>
      <c r="G2802" s="21" t="str">
        <f t="shared" si="81"/>
        <v>ON1</v>
      </c>
      <c r="H2802" s="21" t="s">
        <v>21</v>
      </c>
      <c r="I2802" s="21" t="s">
        <v>488</v>
      </c>
      <c r="J2802" s="21" t="str">
        <f>""</f>
        <v/>
      </c>
      <c r="K2802" s="21" t="str">
        <f>"PFES1162733331_0001"</f>
        <v>PFES1162733331_0001</v>
      </c>
      <c r="L2802" s="21">
        <v>1</v>
      </c>
      <c r="M2802" s="21">
        <v>1</v>
      </c>
    </row>
    <row r="2803" spans="1:13">
      <c r="A2803" s="6">
        <v>43858</v>
      </c>
      <c r="B2803" s="7">
        <v>0.62013888888888891</v>
      </c>
      <c r="C2803" s="21" t="str">
        <f>"FES1162733375"</f>
        <v>FES1162733375</v>
      </c>
      <c r="D2803" s="21" t="s">
        <v>19</v>
      </c>
      <c r="E2803" s="21" t="s">
        <v>201</v>
      </c>
      <c r="F2803" s="21" t="str">
        <f>"2170725903 "</f>
        <v xml:space="preserve">2170725903 </v>
      </c>
      <c r="G2803" s="21" t="str">
        <f t="shared" si="81"/>
        <v>ON1</v>
      </c>
      <c r="H2803" s="21" t="s">
        <v>21</v>
      </c>
      <c r="I2803" s="21" t="s">
        <v>202</v>
      </c>
      <c r="J2803" s="21" t="str">
        <f>""</f>
        <v/>
      </c>
      <c r="K2803" s="21" t="str">
        <f>"PFES1162733375_0001"</f>
        <v>PFES1162733375_0001</v>
      </c>
      <c r="L2803" s="21">
        <v>1</v>
      </c>
      <c r="M2803" s="21">
        <v>2</v>
      </c>
    </row>
    <row r="2804" spans="1:13">
      <c r="A2804" s="6">
        <v>43858</v>
      </c>
      <c r="B2804" s="7">
        <v>0.62013888888888891</v>
      </c>
      <c r="C2804" s="21" t="str">
        <f>"FES1162733329"</f>
        <v>FES1162733329</v>
      </c>
      <c r="D2804" s="21" t="s">
        <v>19</v>
      </c>
      <c r="E2804" s="21" t="s">
        <v>118</v>
      </c>
      <c r="F2804" s="21" t="str">
        <f>"2170725845 "</f>
        <v xml:space="preserve">2170725845 </v>
      </c>
      <c r="G2804" s="21" t="str">
        <f t="shared" si="81"/>
        <v>ON1</v>
      </c>
      <c r="H2804" s="21" t="s">
        <v>21</v>
      </c>
      <c r="I2804" s="21" t="s">
        <v>119</v>
      </c>
      <c r="J2804" s="21" t="str">
        <f>""</f>
        <v/>
      </c>
      <c r="K2804" s="21" t="str">
        <f>"PFES1162733329_0001"</f>
        <v>PFES1162733329_0001</v>
      </c>
      <c r="L2804" s="21">
        <v>1</v>
      </c>
      <c r="M2804" s="21">
        <v>1</v>
      </c>
    </row>
    <row r="2805" spans="1:13">
      <c r="A2805" s="6">
        <v>43858</v>
      </c>
      <c r="B2805" s="7">
        <v>0.61944444444444446</v>
      </c>
      <c r="C2805" s="21" t="str">
        <f>"FES1162733366"</f>
        <v>FES1162733366</v>
      </c>
      <c r="D2805" s="21" t="s">
        <v>19</v>
      </c>
      <c r="E2805" s="21" t="s">
        <v>586</v>
      </c>
      <c r="F2805" s="21" t="str">
        <f>"2170725893 "</f>
        <v xml:space="preserve">2170725893 </v>
      </c>
      <c r="G2805" s="21" t="str">
        <f t="shared" si="81"/>
        <v>ON1</v>
      </c>
      <c r="H2805" s="21" t="s">
        <v>21</v>
      </c>
      <c r="I2805" s="21" t="s">
        <v>127</v>
      </c>
      <c r="J2805" s="21" t="str">
        <f>""</f>
        <v/>
      </c>
      <c r="K2805" s="21" t="str">
        <f>"PFES1162733366_0001"</f>
        <v>PFES1162733366_0001</v>
      </c>
      <c r="L2805" s="21">
        <v>1</v>
      </c>
      <c r="M2805" s="21">
        <v>4</v>
      </c>
    </row>
    <row r="2806" spans="1:13">
      <c r="A2806" s="6">
        <v>43858</v>
      </c>
      <c r="B2806" s="7">
        <v>0.61944444444444446</v>
      </c>
      <c r="C2806" s="21" t="str">
        <f>"FES1162733381"</f>
        <v>FES1162733381</v>
      </c>
      <c r="D2806" s="21" t="s">
        <v>19</v>
      </c>
      <c r="E2806" s="21" t="s">
        <v>1015</v>
      </c>
      <c r="F2806" s="21" t="str">
        <f>"2170725910 "</f>
        <v xml:space="preserve">2170725910 </v>
      </c>
      <c r="G2806" s="21" t="str">
        <f t="shared" si="81"/>
        <v>ON1</v>
      </c>
      <c r="H2806" s="21" t="s">
        <v>21</v>
      </c>
      <c r="I2806" s="21" t="s">
        <v>1016</v>
      </c>
      <c r="J2806" s="21" t="str">
        <f>""</f>
        <v/>
      </c>
      <c r="K2806" s="21" t="str">
        <f>"PFES1162733381_0001"</f>
        <v>PFES1162733381_0001</v>
      </c>
      <c r="L2806" s="21">
        <v>1</v>
      </c>
      <c r="M2806" s="21">
        <v>4</v>
      </c>
    </row>
    <row r="2807" spans="1:13">
      <c r="A2807" s="6">
        <v>43858</v>
      </c>
      <c r="B2807" s="7">
        <v>0.61944444444444446</v>
      </c>
      <c r="C2807" s="21" t="str">
        <f>"FES1162733349"</f>
        <v>FES1162733349</v>
      </c>
      <c r="D2807" s="21" t="s">
        <v>19</v>
      </c>
      <c r="E2807" s="21" t="s">
        <v>618</v>
      </c>
      <c r="F2807" s="21" t="str">
        <f>"2170725878 "</f>
        <v xml:space="preserve">2170725878 </v>
      </c>
      <c r="G2807" s="21" t="str">
        <f t="shared" si="81"/>
        <v>ON1</v>
      </c>
      <c r="H2807" s="21" t="s">
        <v>21</v>
      </c>
      <c r="I2807" s="21" t="s">
        <v>247</v>
      </c>
      <c r="J2807" s="21" t="str">
        <f>""</f>
        <v/>
      </c>
      <c r="K2807" s="21" t="str">
        <f>"PFES1162733349_0001"</f>
        <v>PFES1162733349_0001</v>
      </c>
      <c r="L2807" s="21">
        <v>1</v>
      </c>
      <c r="M2807" s="21">
        <v>1</v>
      </c>
    </row>
    <row r="2808" spans="1:13">
      <c r="A2808" s="6">
        <v>43858</v>
      </c>
      <c r="B2808" s="7">
        <v>0.61875000000000002</v>
      </c>
      <c r="C2808" s="21" t="str">
        <f>"FES1162733393"</f>
        <v>FES1162733393</v>
      </c>
      <c r="D2808" s="21" t="s">
        <v>19</v>
      </c>
      <c r="E2808" s="21" t="s">
        <v>1017</v>
      </c>
      <c r="F2808" s="21" t="str">
        <f>"2170725922 "</f>
        <v xml:space="preserve">2170725922 </v>
      </c>
      <c r="G2808" s="21" t="str">
        <f t="shared" si="81"/>
        <v>ON1</v>
      </c>
      <c r="H2808" s="21" t="s">
        <v>21</v>
      </c>
      <c r="I2808" s="21" t="s">
        <v>47</v>
      </c>
      <c r="J2808" s="21" t="str">
        <f>""</f>
        <v/>
      </c>
      <c r="K2808" s="21" t="str">
        <f>"PFES1162733393_0001"</f>
        <v>PFES1162733393_0001</v>
      </c>
      <c r="L2808" s="21">
        <v>1</v>
      </c>
      <c r="M2808" s="21">
        <v>1</v>
      </c>
    </row>
    <row r="2809" spans="1:13">
      <c r="A2809" s="6">
        <v>43858</v>
      </c>
      <c r="B2809" s="7">
        <v>0.61805555555555558</v>
      </c>
      <c r="C2809" s="21" t="str">
        <f>"FES1162733385"</f>
        <v>FES1162733385</v>
      </c>
      <c r="D2809" s="21" t="s">
        <v>19</v>
      </c>
      <c r="E2809" s="21" t="s">
        <v>74</v>
      </c>
      <c r="F2809" s="21" t="str">
        <f>"2170725916 "</f>
        <v xml:space="preserve">2170725916 </v>
      </c>
      <c r="G2809" s="21" t="str">
        <f t="shared" si="81"/>
        <v>ON1</v>
      </c>
      <c r="H2809" s="21" t="s">
        <v>21</v>
      </c>
      <c r="I2809" s="21" t="s">
        <v>49</v>
      </c>
      <c r="J2809" s="21" t="str">
        <f>""</f>
        <v/>
      </c>
      <c r="K2809" s="21" t="str">
        <f>"PFES1162733385_0001"</f>
        <v>PFES1162733385_0001</v>
      </c>
      <c r="L2809" s="21">
        <v>1</v>
      </c>
      <c r="M2809" s="21">
        <v>1</v>
      </c>
    </row>
    <row r="2810" spans="1:13">
      <c r="A2810" s="6">
        <v>43858</v>
      </c>
      <c r="B2810" s="7">
        <v>0.61736111111111114</v>
      </c>
      <c r="C2810" s="21" t="str">
        <f>"FES1162733396"</f>
        <v>FES1162733396</v>
      </c>
      <c r="D2810" s="21" t="s">
        <v>19</v>
      </c>
      <c r="E2810" s="21" t="s">
        <v>293</v>
      </c>
      <c r="F2810" s="21" t="str">
        <f>"2170725928 "</f>
        <v xml:space="preserve">2170725928 </v>
      </c>
      <c r="G2810" s="21" t="str">
        <f t="shared" si="81"/>
        <v>ON1</v>
      </c>
      <c r="H2810" s="21" t="s">
        <v>21</v>
      </c>
      <c r="I2810" s="21" t="s">
        <v>294</v>
      </c>
      <c r="J2810" s="21" t="str">
        <f>""</f>
        <v/>
      </c>
      <c r="K2810" s="21" t="str">
        <f>"PFES1162733396_0001"</f>
        <v>PFES1162733396_0001</v>
      </c>
      <c r="L2810" s="21">
        <v>1</v>
      </c>
      <c r="M2810" s="21">
        <v>1</v>
      </c>
    </row>
    <row r="2811" spans="1:13">
      <c r="A2811" s="6">
        <v>43858</v>
      </c>
      <c r="B2811" s="7">
        <v>0.6166666666666667</v>
      </c>
      <c r="C2811" s="21" t="str">
        <f>"FES1162733392"</f>
        <v>FES1162733392</v>
      </c>
      <c r="D2811" s="21" t="s">
        <v>19</v>
      </c>
      <c r="E2811" s="21" t="s">
        <v>308</v>
      </c>
      <c r="F2811" s="21" t="str">
        <f>"2170724016 "</f>
        <v xml:space="preserve">2170724016 </v>
      </c>
      <c r="G2811" s="21" t="str">
        <f t="shared" si="81"/>
        <v>ON1</v>
      </c>
      <c r="H2811" s="21" t="s">
        <v>21</v>
      </c>
      <c r="I2811" s="21" t="s">
        <v>309</v>
      </c>
      <c r="J2811" s="21" t="str">
        <f>""</f>
        <v/>
      </c>
      <c r="K2811" s="21" t="str">
        <f>"PFES1162733392_0001"</f>
        <v>PFES1162733392_0001</v>
      </c>
      <c r="L2811" s="21">
        <v>1</v>
      </c>
      <c r="M2811" s="21">
        <v>1</v>
      </c>
    </row>
    <row r="2812" spans="1:13">
      <c r="A2812" s="6">
        <v>43858</v>
      </c>
      <c r="B2812" s="7">
        <v>0.61597222222222225</v>
      </c>
      <c r="C2812" s="21" t="str">
        <f>"FES1162733395"</f>
        <v>FES1162733395</v>
      </c>
      <c r="D2812" s="21" t="s">
        <v>19</v>
      </c>
      <c r="E2812" s="21" t="s">
        <v>293</v>
      </c>
      <c r="F2812" s="21" t="str">
        <f>"2170725927 "</f>
        <v xml:space="preserve">2170725927 </v>
      </c>
      <c r="G2812" s="21" t="str">
        <f t="shared" si="81"/>
        <v>ON1</v>
      </c>
      <c r="H2812" s="21" t="s">
        <v>21</v>
      </c>
      <c r="I2812" s="21" t="s">
        <v>294</v>
      </c>
      <c r="J2812" s="21" t="str">
        <f>""</f>
        <v/>
      </c>
      <c r="K2812" s="21" t="str">
        <f>"PFES1162733395_0001"</f>
        <v>PFES1162733395_0001</v>
      </c>
      <c r="L2812" s="21">
        <v>1</v>
      </c>
      <c r="M2812" s="21">
        <v>1</v>
      </c>
    </row>
    <row r="2813" spans="1:13">
      <c r="A2813" s="6">
        <v>43858</v>
      </c>
      <c r="B2813" s="7">
        <v>0.61458333333333337</v>
      </c>
      <c r="C2813" s="21" t="str">
        <f>"FES1162733388"</f>
        <v>FES1162733388</v>
      </c>
      <c r="D2813" s="21" t="s">
        <v>19</v>
      </c>
      <c r="E2813" s="21" t="s">
        <v>665</v>
      </c>
      <c r="F2813" s="21" t="str">
        <f>"2170725919 "</f>
        <v xml:space="preserve">2170725919 </v>
      </c>
      <c r="G2813" s="21" t="str">
        <f t="shared" si="81"/>
        <v>ON1</v>
      </c>
      <c r="H2813" s="21" t="s">
        <v>21</v>
      </c>
      <c r="I2813" s="21" t="s">
        <v>499</v>
      </c>
      <c r="J2813" s="21" t="str">
        <f>""</f>
        <v/>
      </c>
      <c r="K2813" s="21" t="str">
        <f>"PFES1162733388_0001"</f>
        <v>PFES1162733388_0001</v>
      </c>
      <c r="L2813" s="21">
        <v>1</v>
      </c>
      <c r="M2813" s="21">
        <v>1</v>
      </c>
    </row>
    <row r="2814" spans="1:13">
      <c r="A2814" s="6">
        <v>43858</v>
      </c>
      <c r="B2814" s="7">
        <v>0.61388888888888882</v>
      </c>
      <c r="C2814" s="21" t="str">
        <f>"FES1162729116"</f>
        <v>FES1162729116</v>
      </c>
      <c r="D2814" s="21" t="s">
        <v>19</v>
      </c>
      <c r="E2814" s="21" t="s">
        <v>1018</v>
      </c>
      <c r="F2814" s="21" t="str">
        <f>"2170720676 "</f>
        <v xml:space="preserve">2170720676 </v>
      </c>
      <c r="G2814" s="21" t="str">
        <f t="shared" si="81"/>
        <v>ON1</v>
      </c>
      <c r="H2814" s="21" t="s">
        <v>21</v>
      </c>
      <c r="I2814" s="21" t="s">
        <v>554</v>
      </c>
      <c r="J2814" s="21" t="str">
        <f>""</f>
        <v/>
      </c>
      <c r="K2814" s="21" t="str">
        <f>"PFES1162729116_0001"</f>
        <v>PFES1162729116_0001</v>
      </c>
      <c r="L2814" s="21">
        <v>1</v>
      </c>
      <c r="M2814" s="21">
        <v>1</v>
      </c>
    </row>
    <row r="2815" spans="1:13">
      <c r="A2815" s="6">
        <v>43858</v>
      </c>
      <c r="B2815" s="7">
        <v>0.61319444444444449</v>
      </c>
      <c r="C2815" s="21" t="str">
        <f>"FES1162733334"</f>
        <v>FES1162733334</v>
      </c>
      <c r="D2815" s="21" t="s">
        <v>19</v>
      </c>
      <c r="E2815" s="21" t="s">
        <v>1019</v>
      </c>
      <c r="F2815" s="21" t="str">
        <f>"2170725854 "</f>
        <v xml:space="preserve">2170725854 </v>
      </c>
      <c r="G2815" s="21" t="str">
        <f t="shared" si="81"/>
        <v>ON1</v>
      </c>
      <c r="H2815" s="21" t="s">
        <v>21</v>
      </c>
      <c r="I2815" s="21" t="s">
        <v>1020</v>
      </c>
      <c r="J2815" s="21" t="str">
        <f>""</f>
        <v/>
      </c>
      <c r="K2815" s="21" t="str">
        <f>"PFES1162733334_0001"</f>
        <v>PFES1162733334_0001</v>
      </c>
      <c r="L2815" s="21">
        <v>1</v>
      </c>
      <c r="M2815" s="21">
        <v>1</v>
      </c>
    </row>
    <row r="2816" spans="1:13">
      <c r="A2816" s="6">
        <v>43858</v>
      </c>
      <c r="B2816" s="7">
        <v>0.61041666666666672</v>
      </c>
      <c r="C2816" s="21" t="str">
        <f>"009935791940"</f>
        <v>009935791940</v>
      </c>
      <c r="D2816" s="21" t="s">
        <v>19</v>
      </c>
      <c r="E2816" s="21" t="s">
        <v>306</v>
      </c>
      <c r="F2816" s="21" t="str">
        <f>"kavanesh "</f>
        <v xml:space="preserve">kavanesh </v>
      </c>
      <c r="G2816" s="21" t="str">
        <f t="shared" si="81"/>
        <v>ON1</v>
      </c>
      <c r="H2816" s="21" t="s">
        <v>21</v>
      </c>
      <c r="I2816" s="21" t="s">
        <v>307</v>
      </c>
      <c r="J2816" s="21" t="str">
        <f>""</f>
        <v/>
      </c>
      <c r="K2816" s="21" t="str">
        <f>"P009935791940_0001"</f>
        <v>P009935791940_0001</v>
      </c>
      <c r="L2816" s="21">
        <v>1</v>
      </c>
      <c r="M2816" s="21">
        <v>1</v>
      </c>
    </row>
    <row r="2817" spans="1:13">
      <c r="A2817" s="6">
        <v>43858</v>
      </c>
      <c r="B2817" s="7">
        <v>0.57013888888888886</v>
      </c>
      <c r="C2817" s="21" t="str">
        <f>"FES1162733365"</f>
        <v>FES1162733365</v>
      </c>
      <c r="D2817" s="21" t="s">
        <v>19</v>
      </c>
      <c r="E2817" s="21" t="s">
        <v>208</v>
      </c>
      <c r="F2817" s="21" t="str">
        <f>"2170721756 "</f>
        <v xml:space="preserve">2170721756 </v>
      </c>
      <c r="G2817" s="21" t="str">
        <f t="shared" si="81"/>
        <v>ON1</v>
      </c>
      <c r="H2817" s="21" t="s">
        <v>21</v>
      </c>
      <c r="I2817" s="21" t="s">
        <v>209</v>
      </c>
      <c r="J2817" s="21" t="str">
        <f>""</f>
        <v/>
      </c>
      <c r="K2817" s="21" t="str">
        <f>"PFES1162733365_0001"</f>
        <v>PFES1162733365_0001</v>
      </c>
      <c r="L2817" s="21">
        <v>1</v>
      </c>
      <c r="M2817" s="21">
        <v>17</v>
      </c>
    </row>
    <row r="2818" spans="1:13">
      <c r="A2818" s="6">
        <v>43858</v>
      </c>
      <c r="B2818" s="7">
        <v>0.56527777777777777</v>
      </c>
      <c r="C2818" s="21" t="str">
        <f>"FES1162733358"</f>
        <v>FES1162733358</v>
      </c>
      <c r="D2818" s="21" t="s">
        <v>19</v>
      </c>
      <c r="E2818" s="21" t="s">
        <v>737</v>
      </c>
      <c r="F2818" s="21" t="str">
        <f>"2170725758 "</f>
        <v xml:space="preserve">2170725758 </v>
      </c>
      <c r="G2818" s="21" t="str">
        <f t="shared" si="81"/>
        <v>ON1</v>
      </c>
      <c r="H2818" s="21" t="s">
        <v>21</v>
      </c>
      <c r="I2818" s="21" t="s">
        <v>139</v>
      </c>
      <c r="J2818" s="21" t="str">
        <f>""</f>
        <v/>
      </c>
      <c r="K2818" s="21" t="str">
        <f>"PFES1162733358_0001"</f>
        <v>PFES1162733358_0001</v>
      </c>
      <c r="L2818" s="21">
        <v>1</v>
      </c>
      <c r="M2818" s="21">
        <v>3</v>
      </c>
    </row>
    <row r="2819" spans="1:13">
      <c r="A2819" s="6">
        <v>43858</v>
      </c>
      <c r="B2819" s="7">
        <v>0.56527777777777777</v>
      </c>
      <c r="C2819" s="21" t="str">
        <f>"FES1162733360"</f>
        <v>FES1162733360</v>
      </c>
      <c r="D2819" s="21" t="s">
        <v>19</v>
      </c>
      <c r="E2819" s="21" t="s">
        <v>59</v>
      </c>
      <c r="F2819" s="21" t="str">
        <f>"2170725875 "</f>
        <v xml:space="preserve">2170725875 </v>
      </c>
      <c r="G2819" s="21" t="str">
        <f t="shared" si="81"/>
        <v>ON1</v>
      </c>
      <c r="H2819" s="21" t="s">
        <v>21</v>
      </c>
      <c r="I2819" s="21" t="s">
        <v>60</v>
      </c>
      <c r="J2819" s="21" t="str">
        <f>""</f>
        <v/>
      </c>
      <c r="K2819" s="21" t="str">
        <f>"PFES1162733360_0001"</f>
        <v>PFES1162733360_0001</v>
      </c>
      <c r="L2819" s="21">
        <v>1</v>
      </c>
      <c r="M2819" s="21">
        <v>5</v>
      </c>
    </row>
    <row r="2820" spans="1:13">
      <c r="A2820" s="6">
        <v>43858</v>
      </c>
      <c r="B2820" s="7">
        <v>0.56458333333333333</v>
      </c>
      <c r="C2820" s="21" t="str">
        <f>"FES1162733275"</f>
        <v>FES1162733275</v>
      </c>
      <c r="D2820" s="21" t="s">
        <v>19</v>
      </c>
      <c r="E2820" s="21" t="s">
        <v>953</v>
      </c>
      <c r="F2820" s="21" t="str">
        <f>"2170725785 "</f>
        <v xml:space="preserve">2170725785 </v>
      </c>
      <c r="G2820" s="21" t="str">
        <f t="shared" si="81"/>
        <v>ON1</v>
      </c>
      <c r="H2820" s="21" t="s">
        <v>21</v>
      </c>
      <c r="I2820" s="21" t="s">
        <v>954</v>
      </c>
      <c r="J2820" s="21" t="str">
        <f>""</f>
        <v/>
      </c>
      <c r="K2820" s="21" t="str">
        <f>"PFES1162733275_0001"</f>
        <v>PFES1162733275_0001</v>
      </c>
      <c r="L2820" s="21">
        <v>1</v>
      </c>
      <c r="M2820" s="21">
        <v>2</v>
      </c>
    </row>
    <row r="2821" spans="1:13">
      <c r="A2821" s="6">
        <v>43858</v>
      </c>
      <c r="B2821" s="7">
        <v>0.56458333333333333</v>
      </c>
      <c r="C2821" s="21" t="str">
        <f>"FES1162733237"</f>
        <v>FES1162733237</v>
      </c>
      <c r="D2821" s="21" t="s">
        <v>19</v>
      </c>
      <c r="E2821" s="21" t="s">
        <v>1021</v>
      </c>
      <c r="F2821" s="21" t="str">
        <f>"2170724851 "</f>
        <v xml:space="preserve">2170724851 </v>
      </c>
      <c r="G2821" s="21" t="str">
        <f t="shared" si="81"/>
        <v>ON1</v>
      </c>
      <c r="H2821" s="21" t="s">
        <v>21</v>
      </c>
      <c r="I2821" s="21" t="s">
        <v>1022</v>
      </c>
      <c r="J2821" s="21" t="str">
        <f>""</f>
        <v/>
      </c>
      <c r="K2821" s="21" t="str">
        <f>"PFES1162733237_0001"</f>
        <v>PFES1162733237_0001</v>
      </c>
      <c r="L2821" s="21">
        <v>1</v>
      </c>
      <c r="M2821" s="21">
        <v>1</v>
      </c>
    </row>
    <row r="2822" spans="1:13">
      <c r="A2822" s="6">
        <v>43858</v>
      </c>
      <c r="B2822" s="7">
        <v>0.56388888888888888</v>
      </c>
      <c r="C2822" s="21" t="str">
        <f>"FES1162733141"</f>
        <v>FES1162733141</v>
      </c>
      <c r="D2822" s="21" t="s">
        <v>19</v>
      </c>
      <c r="E2822" s="21" t="s">
        <v>836</v>
      </c>
      <c r="F2822" s="21" t="str">
        <f>"2170721608 "</f>
        <v xml:space="preserve">2170721608 </v>
      </c>
      <c r="G2822" s="21" t="str">
        <f>"DBC"</f>
        <v>DBC</v>
      </c>
      <c r="H2822" s="21" t="s">
        <v>21</v>
      </c>
      <c r="I2822" s="21" t="s">
        <v>255</v>
      </c>
      <c r="J2822" s="21" t="str">
        <f>""</f>
        <v/>
      </c>
      <c r="K2822" s="21" t="str">
        <f>"PFES1162733141_0001"</f>
        <v>PFES1162733141_0001</v>
      </c>
      <c r="L2822" s="21">
        <v>1</v>
      </c>
      <c r="M2822" s="21">
        <v>24</v>
      </c>
    </row>
    <row r="2823" spans="1:13">
      <c r="A2823" s="6">
        <v>43858</v>
      </c>
      <c r="B2823" s="7">
        <v>0.56388888888888888</v>
      </c>
      <c r="C2823" s="21" t="str">
        <f>"FES1162733286"</f>
        <v>FES1162733286</v>
      </c>
      <c r="D2823" s="21" t="s">
        <v>19</v>
      </c>
      <c r="E2823" s="21" t="s">
        <v>567</v>
      </c>
      <c r="F2823" s="21" t="str">
        <f>"2170725804 "</f>
        <v xml:space="preserve">2170725804 </v>
      </c>
      <c r="G2823" s="21" t="str">
        <f t="shared" ref="G2823:G2854" si="82">"ON1"</f>
        <v>ON1</v>
      </c>
      <c r="H2823" s="21" t="s">
        <v>21</v>
      </c>
      <c r="I2823" s="21" t="s">
        <v>202</v>
      </c>
      <c r="J2823" s="21" t="str">
        <f>""</f>
        <v/>
      </c>
      <c r="K2823" s="21" t="str">
        <f>"PFES1162733286_0001"</f>
        <v>PFES1162733286_0001</v>
      </c>
      <c r="L2823" s="21">
        <v>1</v>
      </c>
      <c r="M2823" s="21">
        <v>6</v>
      </c>
    </row>
    <row r="2824" spans="1:13">
      <c r="A2824" s="6">
        <v>43858</v>
      </c>
      <c r="B2824" s="7">
        <v>0.56319444444444444</v>
      </c>
      <c r="C2824" s="21" t="str">
        <f>"FES1162733281"</f>
        <v>FES1162733281</v>
      </c>
      <c r="D2824" s="21" t="s">
        <v>19</v>
      </c>
      <c r="E2824" s="21" t="s">
        <v>120</v>
      </c>
      <c r="F2824" s="21" t="str">
        <f>"2170725795 "</f>
        <v xml:space="preserve">2170725795 </v>
      </c>
      <c r="G2824" s="21" t="str">
        <f t="shared" si="82"/>
        <v>ON1</v>
      </c>
      <c r="H2824" s="21" t="s">
        <v>21</v>
      </c>
      <c r="I2824" s="21" t="s">
        <v>121</v>
      </c>
      <c r="J2824" s="21" t="str">
        <f>""</f>
        <v/>
      </c>
      <c r="K2824" s="21" t="str">
        <f>"PFES1162733281_0001"</f>
        <v>PFES1162733281_0001</v>
      </c>
      <c r="L2824" s="21">
        <v>1</v>
      </c>
      <c r="M2824" s="21">
        <v>4</v>
      </c>
    </row>
    <row r="2825" spans="1:13">
      <c r="A2825" s="6">
        <v>43858</v>
      </c>
      <c r="B2825" s="7">
        <v>0.5625</v>
      </c>
      <c r="C2825" s="21" t="str">
        <f>"FES1162733337"</f>
        <v>FES1162733337</v>
      </c>
      <c r="D2825" s="21" t="s">
        <v>19</v>
      </c>
      <c r="E2825" s="21" t="s">
        <v>639</v>
      </c>
      <c r="F2825" s="21" t="str">
        <f>"2170725858 "</f>
        <v xml:space="preserve">2170725858 </v>
      </c>
      <c r="G2825" s="21" t="str">
        <f t="shared" si="82"/>
        <v>ON1</v>
      </c>
      <c r="H2825" s="21" t="s">
        <v>21</v>
      </c>
      <c r="I2825" s="21" t="s">
        <v>640</v>
      </c>
      <c r="J2825" s="21" t="str">
        <f>""</f>
        <v/>
      </c>
      <c r="K2825" s="21" t="str">
        <f>"PFES1162733337_0001"</f>
        <v>PFES1162733337_0001</v>
      </c>
      <c r="L2825" s="21">
        <v>1</v>
      </c>
      <c r="M2825" s="21">
        <v>2</v>
      </c>
    </row>
    <row r="2826" spans="1:13">
      <c r="A2826" s="6">
        <v>43858</v>
      </c>
      <c r="B2826" s="7">
        <v>0.5625</v>
      </c>
      <c r="C2826" s="21" t="str">
        <f>"FES1162733294"</f>
        <v>FES1162733294</v>
      </c>
      <c r="D2826" s="21" t="s">
        <v>19</v>
      </c>
      <c r="E2826" s="21" t="s">
        <v>1023</v>
      </c>
      <c r="F2826" s="21" t="str">
        <f>"2170722900 "</f>
        <v xml:space="preserve">2170722900 </v>
      </c>
      <c r="G2826" s="21" t="str">
        <f t="shared" si="82"/>
        <v>ON1</v>
      </c>
      <c r="H2826" s="21" t="s">
        <v>21</v>
      </c>
      <c r="I2826" s="21" t="s">
        <v>1024</v>
      </c>
      <c r="J2826" s="21" t="str">
        <f>""</f>
        <v/>
      </c>
      <c r="K2826" s="21" t="str">
        <f>"PFES1162733294_0001"</f>
        <v>PFES1162733294_0001</v>
      </c>
      <c r="L2826" s="21">
        <v>1</v>
      </c>
      <c r="M2826" s="21">
        <v>3</v>
      </c>
    </row>
    <row r="2827" spans="1:13">
      <c r="A2827" s="6">
        <v>43858</v>
      </c>
      <c r="B2827" s="7">
        <v>0.56180555555555556</v>
      </c>
      <c r="C2827" s="21" t="str">
        <f>"FES1162733305"</f>
        <v>FES1162733305</v>
      </c>
      <c r="D2827" s="21" t="s">
        <v>19</v>
      </c>
      <c r="E2827" s="21" t="s">
        <v>144</v>
      </c>
      <c r="F2827" s="21" t="str">
        <f>"2170725813 "</f>
        <v xml:space="preserve">2170725813 </v>
      </c>
      <c r="G2827" s="21" t="str">
        <f t="shared" si="82"/>
        <v>ON1</v>
      </c>
      <c r="H2827" s="21" t="s">
        <v>21</v>
      </c>
      <c r="I2827" s="21" t="s">
        <v>34</v>
      </c>
      <c r="J2827" s="21" t="str">
        <f>""</f>
        <v/>
      </c>
      <c r="K2827" s="21" t="str">
        <f>"PFES1162733305_0001"</f>
        <v>PFES1162733305_0001</v>
      </c>
      <c r="L2827" s="21">
        <v>1</v>
      </c>
      <c r="M2827" s="21">
        <v>4</v>
      </c>
    </row>
    <row r="2828" spans="1:13">
      <c r="A2828" s="6">
        <v>43858</v>
      </c>
      <c r="B2828" s="7">
        <v>0.56180555555555556</v>
      </c>
      <c r="C2828" s="21" t="str">
        <f>"FES1162733361"</f>
        <v>FES1162733361</v>
      </c>
      <c r="D2828" s="21" t="s">
        <v>19</v>
      </c>
      <c r="E2828" s="21" t="s">
        <v>611</v>
      </c>
      <c r="F2828" s="21" t="str">
        <f>"2170725876 "</f>
        <v xml:space="preserve">2170725876 </v>
      </c>
      <c r="G2828" s="21" t="str">
        <f t="shared" si="82"/>
        <v>ON1</v>
      </c>
      <c r="H2828" s="21" t="s">
        <v>21</v>
      </c>
      <c r="I2828" s="21" t="s">
        <v>36</v>
      </c>
      <c r="J2828" s="21" t="str">
        <f>""</f>
        <v/>
      </c>
      <c r="K2828" s="21" t="str">
        <f>"PFES1162733361_0001"</f>
        <v>PFES1162733361_0001</v>
      </c>
      <c r="L2828" s="21">
        <v>1</v>
      </c>
      <c r="M2828" s="21">
        <v>1</v>
      </c>
    </row>
    <row r="2829" spans="1:13">
      <c r="A2829" s="6">
        <v>43858</v>
      </c>
      <c r="B2829" s="7">
        <v>0.56180555555555556</v>
      </c>
      <c r="C2829" s="21" t="str">
        <f>"FES1162733304"</f>
        <v>FES1162733304</v>
      </c>
      <c r="D2829" s="21" t="s">
        <v>19</v>
      </c>
      <c r="E2829" s="21" t="s">
        <v>811</v>
      </c>
      <c r="F2829" s="21" t="str">
        <f>"2170725812 "</f>
        <v xml:space="preserve">2170725812 </v>
      </c>
      <c r="G2829" s="21" t="str">
        <f t="shared" si="82"/>
        <v>ON1</v>
      </c>
      <c r="H2829" s="21" t="s">
        <v>21</v>
      </c>
      <c r="I2829" s="21" t="s">
        <v>78</v>
      </c>
      <c r="J2829" s="21" t="str">
        <f>""</f>
        <v/>
      </c>
      <c r="K2829" s="21" t="str">
        <f>"PFES1162733304_0001"</f>
        <v>PFES1162733304_0001</v>
      </c>
      <c r="L2829" s="21">
        <v>1</v>
      </c>
      <c r="M2829" s="21">
        <v>1</v>
      </c>
    </row>
    <row r="2830" spans="1:13">
      <c r="A2830" s="6">
        <v>43858</v>
      </c>
      <c r="B2830" s="7">
        <v>0.56111111111111112</v>
      </c>
      <c r="C2830" s="21" t="str">
        <f>"FES1162733343"</f>
        <v>FES1162733343</v>
      </c>
      <c r="D2830" s="21" t="s">
        <v>19</v>
      </c>
      <c r="E2830" s="21" t="s">
        <v>59</v>
      </c>
      <c r="F2830" s="21" t="str">
        <f>"2170725863 "</f>
        <v xml:space="preserve">2170725863 </v>
      </c>
      <c r="G2830" s="21" t="str">
        <f t="shared" si="82"/>
        <v>ON1</v>
      </c>
      <c r="H2830" s="21" t="s">
        <v>21</v>
      </c>
      <c r="I2830" s="21" t="s">
        <v>60</v>
      </c>
      <c r="J2830" s="21" t="str">
        <f>""</f>
        <v/>
      </c>
      <c r="K2830" s="21" t="str">
        <f>"PFES1162733343_0001"</f>
        <v>PFES1162733343_0001</v>
      </c>
      <c r="L2830" s="21">
        <v>1</v>
      </c>
      <c r="M2830" s="21">
        <v>1</v>
      </c>
    </row>
    <row r="2831" spans="1:13">
      <c r="A2831" s="6">
        <v>43858</v>
      </c>
      <c r="B2831" s="7">
        <v>0.56111111111111112</v>
      </c>
      <c r="C2831" s="21" t="str">
        <f>"FES1162733336"</f>
        <v>FES1162733336</v>
      </c>
      <c r="D2831" s="21" t="s">
        <v>19</v>
      </c>
      <c r="E2831" s="21" t="s">
        <v>132</v>
      </c>
      <c r="F2831" s="21" t="str">
        <f>"2170725857 "</f>
        <v xml:space="preserve">2170725857 </v>
      </c>
      <c r="G2831" s="21" t="str">
        <f t="shared" si="82"/>
        <v>ON1</v>
      </c>
      <c r="H2831" s="21" t="s">
        <v>21</v>
      </c>
      <c r="I2831" s="21" t="s">
        <v>133</v>
      </c>
      <c r="J2831" s="21" t="str">
        <f>""</f>
        <v/>
      </c>
      <c r="K2831" s="21" t="str">
        <f>"PFES1162733336_0001"</f>
        <v>PFES1162733336_0001</v>
      </c>
      <c r="L2831" s="21">
        <v>1</v>
      </c>
      <c r="M2831" s="21">
        <v>1</v>
      </c>
    </row>
    <row r="2832" spans="1:13">
      <c r="A2832" s="6">
        <v>43858</v>
      </c>
      <c r="B2832" s="7">
        <v>0.56041666666666667</v>
      </c>
      <c r="C2832" s="21" t="str">
        <f>"FES1162733235"</f>
        <v>FES1162733235</v>
      </c>
      <c r="D2832" s="21" t="s">
        <v>19</v>
      </c>
      <c r="E2832" s="21" t="s">
        <v>557</v>
      </c>
      <c r="F2832" s="21" t="str">
        <f>"2170724422 "</f>
        <v xml:space="preserve">2170724422 </v>
      </c>
      <c r="G2832" s="21" t="str">
        <f t="shared" si="82"/>
        <v>ON1</v>
      </c>
      <c r="H2832" s="21" t="s">
        <v>21</v>
      </c>
      <c r="I2832" s="21" t="s">
        <v>558</v>
      </c>
      <c r="J2832" s="21" t="str">
        <f>""</f>
        <v/>
      </c>
      <c r="K2832" s="21" t="str">
        <f>"PFES1162733235_0001"</f>
        <v>PFES1162733235_0001</v>
      </c>
      <c r="L2832" s="21">
        <v>1</v>
      </c>
      <c r="M2832" s="21">
        <v>1</v>
      </c>
    </row>
    <row r="2833" spans="1:13">
      <c r="A2833" s="6">
        <v>43858</v>
      </c>
      <c r="B2833" s="7">
        <v>0.56041666666666667</v>
      </c>
      <c r="C2833" s="21" t="str">
        <f>"FES1162733364"</f>
        <v>FES1162733364</v>
      </c>
      <c r="D2833" s="21" t="s">
        <v>19</v>
      </c>
      <c r="E2833" s="21" t="s">
        <v>395</v>
      </c>
      <c r="F2833" s="21" t="str">
        <f>"2170725887 "</f>
        <v xml:space="preserve">2170725887 </v>
      </c>
      <c r="G2833" s="21" t="str">
        <f t="shared" si="82"/>
        <v>ON1</v>
      </c>
      <c r="H2833" s="21" t="s">
        <v>21</v>
      </c>
      <c r="I2833" s="21" t="s">
        <v>396</v>
      </c>
      <c r="J2833" s="21" t="str">
        <f>""</f>
        <v/>
      </c>
      <c r="K2833" s="21" t="str">
        <f>"PFES1162733364_0001"</f>
        <v>PFES1162733364_0001</v>
      </c>
      <c r="L2833" s="21">
        <v>1</v>
      </c>
      <c r="M2833" s="21">
        <v>1</v>
      </c>
    </row>
    <row r="2834" spans="1:13">
      <c r="A2834" s="6">
        <v>43858</v>
      </c>
      <c r="B2834" s="7">
        <v>0.55972222222222223</v>
      </c>
      <c r="C2834" s="21" t="str">
        <f>"FES1162733319"</f>
        <v>FES1162733319</v>
      </c>
      <c r="D2834" s="21" t="s">
        <v>19</v>
      </c>
      <c r="E2834" s="21" t="s">
        <v>447</v>
      </c>
      <c r="F2834" s="21" t="str">
        <f>"2170725828 "</f>
        <v xml:space="preserve">2170725828 </v>
      </c>
      <c r="G2834" s="21" t="str">
        <f t="shared" si="82"/>
        <v>ON1</v>
      </c>
      <c r="H2834" s="21" t="s">
        <v>21</v>
      </c>
      <c r="I2834" s="21" t="s">
        <v>448</v>
      </c>
      <c r="J2834" s="21" t="str">
        <f>""</f>
        <v/>
      </c>
      <c r="K2834" s="21" t="str">
        <f>"PFES1162733319_0001"</f>
        <v>PFES1162733319_0001</v>
      </c>
      <c r="L2834" s="21">
        <v>1</v>
      </c>
      <c r="M2834" s="21">
        <v>1</v>
      </c>
    </row>
    <row r="2835" spans="1:13">
      <c r="A2835" s="6">
        <v>43858</v>
      </c>
      <c r="B2835" s="7">
        <v>0.55972222222222223</v>
      </c>
      <c r="C2835" s="21" t="str">
        <f>"FES1162733327"</f>
        <v>FES1162733327</v>
      </c>
      <c r="D2835" s="21" t="s">
        <v>19</v>
      </c>
      <c r="E2835" s="21" t="s">
        <v>194</v>
      </c>
      <c r="F2835" s="21" t="str">
        <f>"2170725843 "</f>
        <v xml:space="preserve">2170725843 </v>
      </c>
      <c r="G2835" s="21" t="str">
        <f t="shared" si="82"/>
        <v>ON1</v>
      </c>
      <c r="H2835" s="21" t="s">
        <v>21</v>
      </c>
      <c r="I2835" s="21" t="s">
        <v>85</v>
      </c>
      <c r="J2835" s="21" t="str">
        <f>""</f>
        <v/>
      </c>
      <c r="K2835" s="21" t="str">
        <f>"PFES1162733327_0001"</f>
        <v>PFES1162733327_0001</v>
      </c>
      <c r="L2835" s="21">
        <v>1</v>
      </c>
      <c r="M2835" s="21">
        <v>1</v>
      </c>
    </row>
    <row r="2836" spans="1:13">
      <c r="A2836" s="6">
        <v>43858</v>
      </c>
      <c r="B2836" s="7">
        <v>0.55902777777777779</v>
      </c>
      <c r="C2836" s="21" t="str">
        <f>"FES1162733326"</f>
        <v>FES1162733326</v>
      </c>
      <c r="D2836" s="21" t="s">
        <v>19</v>
      </c>
      <c r="E2836" s="21" t="s">
        <v>858</v>
      </c>
      <c r="F2836" s="21" t="str">
        <f>"2170725840 "</f>
        <v xml:space="preserve">2170725840 </v>
      </c>
      <c r="G2836" s="21" t="str">
        <f t="shared" si="82"/>
        <v>ON1</v>
      </c>
      <c r="H2836" s="21" t="s">
        <v>21</v>
      </c>
      <c r="I2836" s="21" t="s">
        <v>448</v>
      </c>
      <c r="J2836" s="21" t="str">
        <f>""</f>
        <v/>
      </c>
      <c r="K2836" s="21" t="str">
        <f>"PFES1162733326_0001"</f>
        <v>PFES1162733326_0001</v>
      </c>
      <c r="L2836" s="21">
        <v>1</v>
      </c>
      <c r="M2836" s="21">
        <v>1</v>
      </c>
    </row>
    <row r="2837" spans="1:13">
      <c r="A2837" s="6">
        <v>43858</v>
      </c>
      <c r="B2837" s="7">
        <v>0.55902777777777779</v>
      </c>
      <c r="C2837" s="21" t="str">
        <f>"FES1162733321"</f>
        <v>FES1162733321</v>
      </c>
      <c r="D2837" s="21" t="s">
        <v>19</v>
      </c>
      <c r="E2837" s="21" t="s">
        <v>208</v>
      </c>
      <c r="F2837" s="21" t="str">
        <f>"21707258312 "</f>
        <v xml:space="preserve">21707258312 </v>
      </c>
      <c r="G2837" s="21" t="str">
        <f t="shared" si="82"/>
        <v>ON1</v>
      </c>
      <c r="H2837" s="21" t="s">
        <v>21</v>
      </c>
      <c r="I2837" s="21" t="s">
        <v>209</v>
      </c>
      <c r="J2837" s="21" t="str">
        <f>""</f>
        <v/>
      </c>
      <c r="K2837" s="21" t="str">
        <f>"PFES1162733321_0001"</f>
        <v>PFES1162733321_0001</v>
      </c>
      <c r="L2837" s="21">
        <v>1</v>
      </c>
      <c r="M2837" s="21">
        <v>1</v>
      </c>
    </row>
    <row r="2838" spans="1:13">
      <c r="A2838" s="6">
        <v>43858</v>
      </c>
      <c r="B2838" s="7">
        <v>0.55833333333333335</v>
      </c>
      <c r="C2838" s="21" t="str">
        <f>"FES1162733348"</f>
        <v>FES1162733348</v>
      </c>
      <c r="D2838" s="21" t="s">
        <v>19</v>
      </c>
      <c r="E2838" s="21" t="s">
        <v>639</v>
      </c>
      <c r="F2838" s="21" t="str">
        <f>"2170725874 "</f>
        <v xml:space="preserve">2170725874 </v>
      </c>
      <c r="G2838" s="21" t="str">
        <f t="shared" si="82"/>
        <v>ON1</v>
      </c>
      <c r="H2838" s="21" t="s">
        <v>21</v>
      </c>
      <c r="I2838" s="21" t="s">
        <v>640</v>
      </c>
      <c r="J2838" s="21" t="str">
        <f>""</f>
        <v/>
      </c>
      <c r="K2838" s="21" t="str">
        <f>"PFES1162733348_0001"</f>
        <v>PFES1162733348_0001</v>
      </c>
      <c r="L2838" s="21">
        <v>1</v>
      </c>
      <c r="M2838" s="21">
        <v>1</v>
      </c>
    </row>
    <row r="2839" spans="1:13">
      <c r="A2839" s="6">
        <v>43858</v>
      </c>
      <c r="B2839" s="7">
        <v>0.55763888888888891</v>
      </c>
      <c r="C2839" s="21" t="str">
        <f>"FES1162733302"</f>
        <v>FES1162733302</v>
      </c>
      <c r="D2839" s="21" t="s">
        <v>19</v>
      </c>
      <c r="E2839" s="21" t="s">
        <v>208</v>
      </c>
      <c r="F2839" s="21" t="str">
        <f>"2170725809 "</f>
        <v xml:space="preserve">2170725809 </v>
      </c>
      <c r="G2839" s="21" t="str">
        <f t="shared" si="82"/>
        <v>ON1</v>
      </c>
      <c r="H2839" s="21" t="s">
        <v>21</v>
      </c>
      <c r="I2839" s="21" t="s">
        <v>209</v>
      </c>
      <c r="J2839" s="21" t="str">
        <f>""</f>
        <v/>
      </c>
      <c r="K2839" s="21" t="str">
        <f>"PFES1162733302_0001"</f>
        <v>PFES1162733302_0001</v>
      </c>
      <c r="L2839" s="21">
        <v>1</v>
      </c>
      <c r="M2839" s="21">
        <v>1</v>
      </c>
    </row>
    <row r="2840" spans="1:13">
      <c r="A2840" s="6">
        <v>43858</v>
      </c>
      <c r="B2840" s="7">
        <v>0.55763888888888891</v>
      </c>
      <c r="C2840" s="21" t="str">
        <f>"FES1162733285"</f>
        <v>FES1162733285</v>
      </c>
      <c r="D2840" s="21" t="s">
        <v>19</v>
      </c>
      <c r="E2840" s="21" t="s">
        <v>1025</v>
      </c>
      <c r="F2840" s="21" t="str">
        <f>"2170725801 "</f>
        <v xml:space="preserve">2170725801 </v>
      </c>
      <c r="G2840" s="21" t="str">
        <f t="shared" si="82"/>
        <v>ON1</v>
      </c>
      <c r="H2840" s="21" t="s">
        <v>21</v>
      </c>
      <c r="I2840" s="21" t="s">
        <v>69</v>
      </c>
      <c r="J2840" s="21" t="str">
        <f>""</f>
        <v/>
      </c>
      <c r="K2840" s="21" t="str">
        <f>"PFES1162733285_0001"</f>
        <v>PFES1162733285_0001</v>
      </c>
      <c r="L2840" s="21">
        <v>1</v>
      </c>
      <c r="M2840" s="21">
        <v>1</v>
      </c>
    </row>
    <row r="2841" spans="1:13">
      <c r="A2841" s="6">
        <v>43858</v>
      </c>
      <c r="B2841" s="7">
        <v>0.55694444444444446</v>
      </c>
      <c r="C2841" s="21" t="str">
        <f>"FES1162733267"</f>
        <v>FES1162733267</v>
      </c>
      <c r="D2841" s="21" t="s">
        <v>19</v>
      </c>
      <c r="E2841" s="21" t="s">
        <v>1026</v>
      </c>
      <c r="F2841" s="21" t="str">
        <f>"2170725742 "</f>
        <v xml:space="preserve">2170725742 </v>
      </c>
      <c r="G2841" s="21" t="str">
        <f t="shared" si="82"/>
        <v>ON1</v>
      </c>
      <c r="H2841" s="21" t="s">
        <v>21</v>
      </c>
      <c r="I2841" s="21" t="s">
        <v>1027</v>
      </c>
      <c r="J2841" s="21" t="str">
        <f>""</f>
        <v/>
      </c>
      <c r="K2841" s="21" t="str">
        <f>"PFES1162733267_0001"</f>
        <v>PFES1162733267_0001</v>
      </c>
      <c r="L2841" s="21">
        <v>1</v>
      </c>
      <c r="M2841" s="21">
        <v>1</v>
      </c>
    </row>
    <row r="2842" spans="1:13">
      <c r="A2842" s="6">
        <v>43858</v>
      </c>
      <c r="B2842" s="7">
        <v>0.55555555555555558</v>
      </c>
      <c r="C2842" s="21" t="str">
        <f>"FES1162733303"</f>
        <v>FES1162733303</v>
      </c>
      <c r="D2842" s="21" t="s">
        <v>19</v>
      </c>
      <c r="E2842" s="21" t="s">
        <v>502</v>
      </c>
      <c r="F2842" s="21" t="str">
        <f>"2170725811 "</f>
        <v xml:space="preserve">2170725811 </v>
      </c>
      <c r="G2842" s="21" t="str">
        <f t="shared" si="82"/>
        <v>ON1</v>
      </c>
      <c r="H2842" s="21" t="s">
        <v>21</v>
      </c>
      <c r="I2842" s="21" t="s">
        <v>503</v>
      </c>
      <c r="J2842" s="21" t="str">
        <f>""</f>
        <v/>
      </c>
      <c r="K2842" s="21" t="str">
        <f>"PFES1162733303_0001"</f>
        <v>PFES1162733303_0001</v>
      </c>
      <c r="L2842" s="21">
        <v>1</v>
      </c>
      <c r="M2842" s="21">
        <v>1</v>
      </c>
    </row>
    <row r="2843" spans="1:13">
      <c r="A2843" s="6">
        <v>43858</v>
      </c>
      <c r="B2843" s="7">
        <v>0.55555555555555558</v>
      </c>
      <c r="C2843" s="21" t="str">
        <f>"FES1162733309"</f>
        <v>FES1162733309</v>
      </c>
      <c r="D2843" s="21" t="s">
        <v>19</v>
      </c>
      <c r="E2843" s="21" t="s">
        <v>1028</v>
      </c>
      <c r="F2843" s="21" t="str">
        <f>"2170725817 "</f>
        <v xml:space="preserve">2170725817 </v>
      </c>
      <c r="G2843" s="21" t="str">
        <f t="shared" si="82"/>
        <v>ON1</v>
      </c>
      <c r="H2843" s="21" t="s">
        <v>21</v>
      </c>
      <c r="I2843" s="21" t="s">
        <v>1029</v>
      </c>
      <c r="J2843" s="21" t="str">
        <f>""</f>
        <v/>
      </c>
      <c r="K2843" s="21" t="str">
        <f>"PFES1162733309_0001"</f>
        <v>PFES1162733309_0001</v>
      </c>
      <c r="L2843" s="21">
        <v>1</v>
      </c>
      <c r="M2843" s="21">
        <v>1</v>
      </c>
    </row>
    <row r="2844" spans="1:13">
      <c r="A2844" s="6">
        <v>43858</v>
      </c>
      <c r="B2844" s="7">
        <v>0.55486111111111114</v>
      </c>
      <c r="C2844" s="21" t="str">
        <f>"FES1162733280"</f>
        <v>FES1162733280</v>
      </c>
      <c r="D2844" s="21" t="s">
        <v>19</v>
      </c>
      <c r="E2844" s="21" t="s">
        <v>762</v>
      </c>
      <c r="F2844" s="21" t="str">
        <f>"2170725792 "</f>
        <v xml:space="preserve">2170725792 </v>
      </c>
      <c r="G2844" s="21" t="str">
        <f t="shared" si="82"/>
        <v>ON1</v>
      </c>
      <c r="H2844" s="21" t="s">
        <v>21</v>
      </c>
      <c r="I2844" s="21" t="s">
        <v>329</v>
      </c>
      <c r="J2844" s="21" t="str">
        <f>""</f>
        <v/>
      </c>
      <c r="K2844" s="21" t="str">
        <f>"PFES1162733280_0001"</f>
        <v>PFES1162733280_0001</v>
      </c>
      <c r="L2844" s="21">
        <v>1</v>
      </c>
      <c r="M2844" s="21">
        <v>1</v>
      </c>
    </row>
    <row r="2845" spans="1:13">
      <c r="A2845" s="6">
        <v>43858</v>
      </c>
      <c r="B2845" s="7">
        <v>0.5444444444444444</v>
      </c>
      <c r="C2845" s="21" t="str">
        <f>"0099357121125"</f>
        <v>0099357121125</v>
      </c>
      <c r="D2845" s="21" t="s">
        <v>19</v>
      </c>
      <c r="E2845" s="21" t="s">
        <v>120</v>
      </c>
      <c r="F2845" s="21" t="str">
        <f>"1162732957 "</f>
        <v xml:space="preserve">1162732957 </v>
      </c>
      <c r="G2845" s="21" t="str">
        <f t="shared" si="82"/>
        <v>ON1</v>
      </c>
      <c r="H2845" s="21" t="s">
        <v>21</v>
      </c>
      <c r="I2845" s="21" t="s">
        <v>121</v>
      </c>
      <c r="J2845" s="21" t="str">
        <f>"RE SEND PARCEL"</f>
        <v>RE SEND PARCEL</v>
      </c>
      <c r="K2845" s="21" t="str">
        <f>"P0099357121125_0001"</f>
        <v>P0099357121125_0001</v>
      </c>
      <c r="L2845" s="21">
        <v>1</v>
      </c>
      <c r="M2845" s="21">
        <v>1</v>
      </c>
    </row>
    <row r="2846" spans="1:13">
      <c r="A2846" s="6">
        <v>43858</v>
      </c>
      <c r="B2846" s="7">
        <v>0.54097222222222219</v>
      </c>
      <c r="C2846" s="21" t="str">
        <f>"FES1162766230"</f>
        <v>FES1162766230</v>
      </c>
      <c r="D2846" s="21" t="s">
        <v>19</v>
      </c>
      <c r="E2846" s="21" t="s">
        <v>342</v>
      </c>
      <c r="F2846" s="21" t="str">
        <f>"217072333 "</f>
        <v xml:space="preserve">217072333 </v>
      </c>
      <c r="G2846" s="21" t="str">
        <f t="shared" si="82"/>
        <v>ON1</v>
      </c>
      <c r="H2846" s="21" t="s">
        <v>21</v>
      </c>
      <c r="I2846" s="21" t="s">
        <v>233</v>
      </c>
      <c r="J2846" s="21" t="str">
        <f>""</f>
        <v/>
      </c>
      <c r="K2846" s="21" t="str">
        <f>"PFES1162766230_0001"</f>
        <v>PFES1162766230_0001</v>
      </c>
      <c r="L2846" s="21">
        <v>1</v>
      </c>
      <c r="M2846" s="21">
        <v>1</v>
      </c>
    </row>
    <row r="2847" spans="1:13">
      <c r="A2847" s="6">
        <v>43858</v>
      </c>
      <c r="B2847" s="7">
        <v>0.5395833333333333</v>
      </c>
      <c r="C2847" s="21" t="str">
        <f>"FES116733312"</f>
        <v>FES116733312</v>
      </c>
      <c r="D2847" s="21" t="s">
        <v>19</v>
      </c>
      <c r="E2847" s="21" t="s">
        <v>216</v>
      </c>
      <c r="F2847" s="21" t="str">
        <f>"2170725821 "</f>
        <v xml:space="preserve">2170725821 </v>
      </c>
      <c r="G2847" s="21" t="str">
        <f t="shared" si="82"/>
        <v>ON1</v>
      </c>
      <c r="H2847" s="21" t="s">
        <v>21</v>
      </c>
      <c r="I2847" s="21" t="s">
        <v>217</v>
      </c>
      <c r="J2847" s="21" t="str">
        <f>""</f>
        <v/>
      </c>
      <c r="K2847" s="21" t="str">
        <f>"PFES116733312_0001"</f>
        <v>PFES116733312_0001</v>
      </c>
      <c r="L2847" s="21">
        <v>1</v>
      </c>
      <c r="M2847" s="21">
        <v>1</v>
      </c>
    </row>
    <row r="2848" spans="1:13">
      <c r="A2848" s="6">
        <v>43858</v>
      </c>
      <c r="B2848" s="7">
        <v>0.53888888888888886</v>
      </c>
      <c r="C2848" s="21" t="str">
        <f>"FES1162733287"</f>
        <v>FES1162733287</v>
      </c>
      <c r="D2848" s="21" t="s">
        <v>19</v>
      </c>
      <c r="E2848" s="21" t="s">
        <v>783</v>
      </c>
      <c r="F2848" s="21" t="str">
        <f>"2170725805 "</f>
        <v xml:space="preserve">2170725805 </v>
      </c>
      <c r="G2848" s="21" t="str">
        <f t="shared" si="82"/>
        <v>ON1</v>
      </c>
      <c r="H2848" s="21" t="s">
        <v>21</v>
      </c>
      <c r="I2848" s="21" t="s">
        <v>85</v>
      </c>
      <c r="J2848" s="21" t="str">
        <f>""</f>
        <v/>
      </c>
      <c r="K2848" s="21" t="str">
        <f>"PFES1162733287_0001"</f>
        <v>PFES1162733287_0001</v>
      </c>
      <c r="L2848" s="21">
        <v>1</v>
      </c>
      <c r="M2848" s="21">
        <v>1</v>
      </c>
    </row>
    <row r="2849" spans="1:13">
      <c r="A2849" s="6">
        <v>43858</v>
      </c>
      <c r="B2849" s="7">
        <v>0.53749999999999998</v>
      </c>
      <c r="C2849" s="21" t="str">
        <f>"FES1162733245"</f>
        <v>FES1162733245</v>
      </c>
      <c r="D2849" s="21" t="s">
        <v>19</v>
      </c>
      <c r="E2849" s="21" t="s">
        <v>126</v>
      </c>
      <c r="F2849" s="21" t="str">
        <f>"2170725487 "</f>
        <v xml:space="preserve">2170725487 </v>
      </c>
      <c r="G2849" s="21" t="str">
        <f t="shared" si="82"/>
        <v>ON1</v>
      </c>
      <c r="H2849" s="21" t="s">
        <v>21</v>
      </c>
      <c r="I2849" s="21" t="s">
        <v>127</v>
      </c>
      <c r="J2849" s="21" t="str">
        <f>""</f>
        <v/>
      </c>
      <c r="K2849" s="21" t="str">
        <f>"PFES1162733245_0001"</f>
        <v>PFES1162733245_0001</v>
      </c>
      <c r="L2849" s="21">
        <v>1</v>
      </c>
      <c r="M2849" s="21">
        <v>1</v>
      </c>
    </row>
    <row r="2850" spans="1:13">
      <c r="A2850" s="6">
        <v>43858</v>
      </c>
      <c r="B2850" s="7">
        <v>0.53680555555555554</v>
      </c>
      <c r="C2850" s="21" t="str">
        <f>"FES1162733246"</f>
        <v>FES1162733246</v>
      </c>
      <c r="D2850" s="21" t="s">
        <v>19</v>
      </c>
      <c r="E2850" s="21" t="s">
        <v>958</v>
      </c>
      <c r="F2850" s="21" t="str">
        <f>"2170725614 "</f>
        <v xml:space="preserve">2170725614 </v>
      </c>
      <c r="G2850" s="21" t="str">
        <f t="shared" si="82"/>
        <v>ON1</v>
      </c>
      <c r="H2850" s="21" t="s">
        <v>21</v>
      </c>
      <c r="I2850" s="21" t="s">
        <v>47</v>
      </c>
      <c r="J2850" s="21" t="str">
        <f>""</f>
        <v/>
      </c>
      <c r="K2850" s="21" t="str">
        <f>"PFES1162733246_0001"</f>
        <v>PFES1162733246_0001</v>
      </c>
      <c r="L2850" s="21">
        <v>1</v>
      </c>
      <c r="M2850" s="21">
        <v>1</v>
      </c>
    </row>
    <row r="2851" spans="1:13">
      <c r="A2851" s="6">
        <v>43858</v>
      </c>
      <c r="B2851" s="7">
        <v>0.53611111111111109</v>
      </c>
      <c r="C2851" s="21" t="str">
        <f>"FES1162733308"</f>
        <v>FES1162733308</v>
      </c>
      <c r="D2851" s="21" t="s">
        <v>19</v>
      </c>
      <c r="E2851" s="21" t="s">
        <v>190</v>
      </c>
      <c r="F2851" s="21" t="str">
        <f>"2170725816 "</f>
        <v xml:space="preserve">2170725816 </v>
      </c>
      <c r="G2851" s="21" t="str">
        <f t="shared" si="82"/>
        <v>ON1</v>
      </c>
      <c r="H2851" s="21" t="s">
        <v>21</v>
      </c>
      <c r="I2851" s="21" t="s">
        <v>191</v>
      </c>
      <c r="J2851" s="21" t="str">
        <f>""</f>
        <v/>
      </c>
      <c r="K2851" s="21" t="str">
        <f>"PFES1162733308_0001"</f>
        <v>PFES1162733308_0001</v>
      </c>
      <c r="L2851" s="21">
        <v>1</v>
      </c>
      <c r="M2851" s="21">
        <v>1</v>
      </c>
    </row>
    <row r="2852" spans="1:13">
      <c r="A2852" s="6">
        <v>43858</v>
      </c>
      <c r="B2852" s="7">
        <v>0.53472222222222221</v>
      </c>
      <c r="C2852" s="21" t="str">
        <f>"FES1162733247"</f>
        <v>FES1162733247</v>
      </c>
      <c r="D2852" s="21" t="s">
        <v>19</v>
      </c>
      <c r="E2852" s="21" t="s">
        <v>800</v>
      </c>
      <c r="F2852" s="21" t="str">
        <f>"2170725682 "</f>
        <v xml:space="preserve">2170725682 </v>
      </c>
      <c r="G2852" s="21" t="str">
        <f t="shared" si="82"/>
        <v>ON1</v>
      </c>
      <c r="H2852" s="21" t="s">
        <v>21</v>
      </c>
      <c r="I2852" s="21" t="s">
        <v>247</v>
      </c>
      <c r="J2852" s="21" t="str">
        <f>""</f>
        <v/>
      </c>
      <c r="K2852" s="21" t="str">
        <f>"PFES1162733247_0001"</f>
        <v>PFES1162733247_0001</v>
      </c>
      <c r="L2852" s="21">
        <v>1</v>
      </c>
      <c r="M2852" s="21">
        <v>1</v>
      </c>
    </row>
    <row r="2853" spans="1:13">
      <c r="A2853" s="6">
        <v>43858</v>
      </c>
      <c r="B2853" s="7">
        <v>0.53402777777777777</v>
      </c>
      <c r="C2853" s="21" t="str">
        <f>"FES1162733328"</f>
        <v>FES1162733328</v>
      </c>
      <c r="D2853" s="21" t="s">
        <v>19</v>
      </c>
      <c r="E2853" s="21" t="s">
        <v>1030</v>
      </c>
      <c r="F2853" s="21" t="str">
        <f>"2170725844 "</f>
        <v xml:space="preserve">2170725844 </v>
      </c>
      <c r="G2853" s="21" t="str">
        <f t="shared" si="82"/>
        <v>ON1</v>
      </c>
      <c r="H2853" s="21" t="s">
        <v>21</v>
      </c>
      <c r="I2853" s="21" t="s">
        <v>161</v>
      </c>
      <c r="J2853" s="21" t="str">
        <f>""</f>
        <v/>
      </c>
      <c r="K2853" s="21" t="str">
        <f>"PFES1162733328_0001"</f>
        <v>PFES1162733328_0001</v>
      </c>
      <c r="L2853" s="21">
        <v>1</v>
      </c>
      <c r="M2853" s="21">
        <v>1</v>
      </c>
    </row>
    <row r="2854" spans="1:13">
      <c r="A2854" s="6">
        <v>43858</v>
      </c>
      <c r="B2854" s="7">
        <v>0.53333333333333333</v>
      </c>
      <c r="C2854" s="21" t="str">
        <f>"FES1162733324"</f>
        <v>FES1162733324</v>
      </c>
      <c r="D2854" s="21" t="s">
        <v>19</v>
      </c>
      <c r="E2854" s="21" t="s">
        <v>262</v>
      </c>
      <c r="F2854" s="21" t="str">
        <f>"2170725835 "</f>
        <v xml:space="preserve">2170725835 </v>
      </c>
      <c r="G2854" s="21" t="str">
        <f t="shared" si="82"/>
        <v>ON1</v>
      </c>
      <c r="H2854" s="21" t="s">
        <v>21</v>
      </c>
      <c r="I2854" s="21" t="s">
        <v>114</v>
      </c>
      <c r="J2854" s="21" t="str">
        <f>""</f>
        <v/>
      </c>
      <c r="K2854" s="21" t="str">
        <f>"PFES1162733324_0001"</f>
        <v>PFES1162733324_0001</v>
      </c>
      <c r="L2854" s="21">
        <v>1</v>
      </c>
      <c r="M2854" s="21">
        <v>1</v>
      </c>
    </row>
    <row r="2855" spans="1:13">
      <c r="A2855" s="6">
        <v>43858</v>
      </c>
      <c r="B2855" s="7">
        <v>0.53263888888888888</v>
      </c>
      <c r="C2855" s="21" t="str">
        <f>"FES1162733234"</f>
        <v>FES1162733234</v>
      </c>
      <c r="D2855" s="21" t="s">
        <v>19</v>
      </c>
      <c r="E2855" s="21" t="s">
        <v>29</v>
      </c>
      <c r="F2855" s="21" t="str">
        <f>"2170724211 "</f>
        <v xml:space="preserve">2170724211 </v>
      </c>
      <c r="G2855" s="21" t="str">
        <f>"DBC"</f>
        <v>DBC</v>
      </c>
      <c r="H2855" s="21" t="s">
        <v>21</v>
      </c>
      <c r="I2855" s="21" t="s">
        <v>22</v>
      </c>
      <c r="J2855" s="21" t="str">
        <f>"OIL"</f>
        <v>OIL</v>
      </c>
      <c r="K2855" s="21" t="str">
        <f>"PFES1162733234_0001"</f>
        <v>PFES1162733234_0001</v>
      </c>
      <c r="L2855" s="21">
        <v>1</v>
      </c>
      <c r="M2855" s="21">
        <v>4</v>
      </c>
    </row>
    <row r="2856" spans="1:13">
      <c r="A2856" s="6">
        <v>43858</v>
      </c>
      <c r="B2856" s="7">
        <v>0.53263888888888888</v>
      </c>
      <c r="C2856" s="21" t="str">
        <f>"FES1162733233"</f>
        <v>FES1162733233</v>
      </c>
      <c r="D2856" s="21" t="s">
        <v>19</v>
      </c>
      <c r="E2856" s="21" t="s">
        <v>44</v>
      </c>
      <c r="F2856" s="21" t="str">
        <f>"2170724066 "</f>
        <v xml:space="preserve">2170724066 </v>
      </c>
      <c r="G2856" s="21" t="str">
        <f t="shared" ref="G2856:G2919" si="83">"ON1"</f>
        <v>ON1</v>
      </c>
      <c r="H2856" s="21" t="s">
        <v>21</v>
      </c>
      <c r="I2856" s="21" t="s">
        <v>45</v>
      </c>
      <c r="J2856" s="21" t="str">
        <f>""</f>
        <v/>
      </c>
      <c r="K2856" s="21" t="str">
        <f>"PFES1162733233_0001"</f>
        <v>PFES1162733233_0001</v>
      </c>
      <c r="L2856" s="21">
        <v>1</v>
      </c>
      <c r="M2856" s="21">
        <v>2</v>
      </c>
    </row>
    <row r="2857" spans="1:13">
      <c r="A2857" s="6">
        <v>43858</v>
      </c>
      <c r="B2857" s="7">
        <v>0.53194444444444444</v>
      </c>
      <c r="C2857" s="21" t="str">
        <f>"FES1162733264"</f>
        <v>FES1162733264</v>
      </c>
      <c r="D2857" s="21" t="s">
        <v>19</v>
      </c>
      <c r="E2857" s="21" t="s">
        <v>413</v>
      </c>
      <c r="F2857" s="21" t="str">
        <f>"2170725733 "</f>
        <v xml:space="preserve">2170725733 </v>
      </c>
      <c r="G2857" s="21" t="str">
        <f t="shared" si="83"/>
        <v>ON1</v>
      </c>
      <c r="H2857" s="21" t="s">
        <v>21</v>
      </c>
      <c r="I2857" s="21" t="s">
        <v>414</v>
      </c>
      <c r="J2857" s="21" t="str">
        <f>""</f>
        <v/>
      </c>
      <c r="K2857" s="21" t="str">
        <f>"PFES1162733264_0001"</f>
        <v>PFES1162733264_0001</v>
      </c>
      <c r="L2857" s="21">
        <v>1</v>
      </c>
      <c r="M2857" s="21">
        <v>4</v>
      </c>
    </row>
    <row r="2858" spans="1:13">
      <c r="A2858" s="6">
        <v>43858</v>
      </c>
      <c r="B2858" s="7">
        <v>0.53194444444444444</v>
      </c>
      <c r="C2858" s="21" t="str">
        <f>"FES1162733313"</f>
        <v>FES1162733313</v>
      </c>
      <c r="D2858" s="21" t="s">
        <v>19</v>
      </c>
      <c r="E2858" s="21" t="s">
        <v>1031</v>
      </c>
      <c r="F2858" s="21" t="str">
        <f>"2170725822 "</f>
        <v xml:space="preserve">2170725822 </v>
      </c>
      <c r="G2858" s="21" t="str">
        <f t="shared" si="83"/>
        <v>ON1</v>
      </c>
      <c r="H2858" s="21" t="s">
        <v>21</v>
      </c>
      <c r="I2858" s="21" t="s">
        <v>866</v>
      </c>
      <c r="J2858" s="21" t="str">
        <f>""</f>
        <v/>
      </c>
      <c r="K2858" s="21" t="str">
        <f>"PFES1162733313_0001"</f>
        <v>PFES1162733313_0001</v>
      </c>
      <c r="L2858" s="21">
        <v>1</v>
      </c>
      <c r="M2858" s="21">
        <v>1</v>
      </c>
    </row>
    <row r="2859" spans="1:13">
      <c r="A2859" s="6">
        <v>43858</v>
      </c>
      <c r="B2859" s="7">
        <v>0.53194444444444444</v>
      </c>
      <c r="C2859" s="21" t="str">
        <f>"FES1162733236"</f>
        <v>FES1162733236</v>
      </c>
      <c r="D2859" s="21" t="s">
        <v>19</v>
      </c>
      <c r="E2859" s="21" t="s">
        <v>1032</v>
      </c>
      <c r="F2859" s="21" t="str">
        <f>"2170724616 "</f>
        <v xml:space="preserve">2170724616 </v>
      </c>
      <c r="G2859" s="21" t="str">
        <f t="shared" si="83"/>
        <v>ON1</v>
      </c>
      <c r="H2859" s="21" t="s">
        <v>21</v>
      </c>
      <c r="I2859" s="21" t="s">
        <v>284</v>
      </c>
      <c r="J2859" s="21" t="str">
        <f>""</f>
        <v/>
      </c>
      <c r="K2859" s="21" t="str">
        <f>"PFES1162733236_0001"</f>
        <v>PFES1162733236_0001</v>
      </c>
      <c r="L2859" s="21">
        <v>1</v>
      </c>
      <c r="M2859" s="21">
        <v>9</v>
      </c>
    </row>
    <row r="2860" spans="1:13">
      <c r="A2860" s="6">
        <v>43858</v>
      </c>
      <c r="B2860" s="7">
        <v>0.53055555555555556</v>
      </c>
      <c r="C2860" s="21" t="str">
        <f>"FES1162733249"</f>
        <v>FES1162733249</v>
      </c>
      <c r="D2860" s="21" t="s">
        <v>19</v>
      </c>
      <c r="E2860" s="21" t="s">
        <v>185</v>
      </c>
      <c r="F2860" s="21" t="str">
        <f>"2170725739 "</f>
        <v xml:space="preserve">2170725739 </v>
      </c>
      <c r="G2860" s="21" t="str">
        <f t="shared" si="83"/>
        <v>ON1</v>
      </c>
      <c r="H2860" s="21" t="s">
        <v>21</v>
      </c>
      <c r="I2860" s="21" t="s">
        <v>47</v>
      </c>
      <c r="J2860" s="21" t="str">
        <f>""</f>
        <v/>
      </c>
      <c r="K2860" s="21" t="str">
        <f>"PFES1162733249_0001"</f>
        <v>PFES1162733249_0001</v>
      </c>
      <c r="L2860" s="21">
        <v>1</v>
      </c>
      <c r="M2860" s="21">
        <v>1</v>
      </c>
    </row>
    <row r="2861" spans="1:13">
      <c r="A2861" s="6">
        <v>43858</v>
      </c>
      <c r="B2861" s="7">
        <v>0.52986111111111112</v>
      </c>
      <c r="C2861" s="21" t="str">
        <f>"FES1162733244"</f>
        <v>FES1162733244</v>
      </c>
      <c r="D2861" s="21" t="s">
        <v>19</v>
      </c>
      <c r="E2861" s="21" t="s">
        <v>240</v>
      </c>
      <c r="F2861" s="21" t="str">
        <f>"2170725422 "</f>
        <v xml:space="preserve">2170725422 </v>
      </c>
      <c r="G2861" s="21" t="str">
        <f t="shared" si="83"/>
        <v>ON1</v>
      </c>
      <c r="H2861" s="21" t="s">
        <v>21</v>
      </c>
      <c r="I2861" s="21" t="s">
        <v>241</v>
      </c>
      <c r="J2861" s="21" t="str">
        <f>""</f>
        <v/>
      </c>
      <c r="K2861" s="21" t="str">
        <f>"PFES1162733244_0001"</f>
        <v>PFES1162733244_0001</v>
      </c>
      <c r="L2861" s="21">
        <v>1</v>
      </c>
      <c r="M2861" s="21">
        <v>1</v>
      </c>
    </row>
    <row r="2862" spans="1:13">
      <c r="A2862" s="6">
        <v>43858</v>
      </c>
      <c r="B2862" s="7">
        <v>0.52847222222222223</v>
      </c>
      <c r="C2862" s="21" t="str">
        <f>"009935712120"</f>
        <v>009935712120</v>
      </c>
      <c r="D2862" s="21" t="s">
        <v>19</v>
      </c>
      <c r="E2862" s="21" t="s">
        <v>245</v>
      </c>
      <c r="F2862" s="21" t="str">
        <f>"1162728345 "</f>
        <v xml:space="preserve">1162728345 </v>
      </c>
      <c r="G2862" s="21" t="str">
        <f t="shared" si="83"/>
        <v>ON1</v>
      </c>
      <c r="H2862" s="21" t="s">
        <v>21</v>
      </c>
      <c r="I2862" s="21" t="s">
        <v>96</v>
      </c>
      <c r="J2862" s="21" t="str">
        <f>"RE SEND PARCEL"</f>
        <v>RE SEND PARCEL</v>
      </c>
      <c r="K2862" s="21" t="str">
        <f>"P009935712120_0001"</f>
        <v>P009935712120_0001</v>
      </c>
      <c r="L2862" s="21">
        <v>1</v>
      </c>
      <c r="M2862" s="21">
        <v>1</v>
      </c>
    </row>
    <row r="2863" spans="1:13">
      <c r="A2863" s="6">
        <v>43858</v>
      </c>
      <c r="B2863" s="7">
        <v>0.52708333333333335</v>
      </c>
      <c r="C2863" s="21" t="str">
        <f>"FES1162733225"</f>
        <v>FES1162733225</v>
      </c>
      <c r="D2863" s="21" t="s">
        <v>19</v>
      </c>
      <c r="E2863" s="21" t="s">
        <v>714</v>
      </c>
      <c r="F2863" s="21" t="str">
        <f>"2170725752 "</f>
        <v xml:space="preserve">2170725752 </v>
      </c>
      <c r="G2863" s="21" t="str">
        <f t="shared" si="83"/>
        <v>ON1</v>
      </c>
      <c r="H2863" s="21" t="s">
        <v>21</v>
      </c>
      <c r="I2863" s="21" t="s">
        <v>202</v>
      </c>
      <c r="J2863" s="21" t="str">
        <f>""</f>
        <v/>
      </c>
      <c r="K2863" s="21" t="str">
        <f>"PFES1162733225_0001"</f>
        <v>PFES1162733225_0001</v>
      </c>
      <c r="L2863" s="21">
        <v>1</v>
      </c>
      <c r="M2863" s="21">
        <v>1</v>
      </c>
    </row>
    <row r="2864" spans="1:13">
      <c r="A2864" s="6">
        <v>43858</v>
      </c>
      <c r="B2864" s="7">
        <v>0.52569444444444446</v>
      </c>
      <c r="C2864" s="21" t="str">
        <f>"FES1162733231"</f>
        <v>FES1162733231</v>
      </c>
      <c r="D2864" s="21" t="s">
        <v>19</v>
      </c>
      <c r="E2864" s="21" t="s">
        <v>44</v>
      </c>
      <c r="F2864" s="21" t="str">
        <f>"2170723891 "</f>
        <v xml:space="preserve">2170723891 </v>
      </c>
      <c r="G2864" s="21" t="str">
        <f t="shared" si="83"/>
        <v>ON1</v>
      </c>
      <c r="H2864" s="21" t="s">
        <v>21</v>
      </c>
      <c r="I2864" s="21" t="s">
        <v>85</v>
      </c>
      <c r="J2864" s="21" t="str">
        <f>""</f>
        <v/>
      </c>
      <c r="K2864" s="21" t="str">
        <f>"PFES1162733231_0001"</f>
        <v>PFES1162733231_0001</v>
      </c>
      <c r="L2864" s="21">
        <v>1</v>
      </c>
      <c r="M2864" s="21">
        <v>1</v>
      </c>
    </row>
    <row r="2865" spans="1:13">
      <c r="A2865" s="6">
        <v>43858</v>
      </c>
      <c r="B2865" s="7">
        <v>0.52500000000000002</v>
      </c>
      <c r="C2865" s="21" t="str">
        <f>"FES1162733274"</f>
        <v>FES1162733274</v>
      </c>
      <c r="D2865" s="21" t="s">
        <v>19</v>
      </c>
      <c r="E2865" s="21" t="s">
        <v>205</v>
      </c>
      <c r="F2865" s="21" t="str">
        <f>"2170725784 "</f>
        <v xml:space="preserve">2170725784 </v>
      </c>
      <c r="G2865" s="21" t="str">
        <f t="shared" si="83"/>
        <v>ON1</v>
      </c>
      <c r="H2865" s="21" t="s">
        <v>21</v>
      </c>
      <c r="I2865" s="21" t="s">
        <v>88</v>
      </c>
      <c r="J2865" s="21" t="str">
        <f>""</f>
        <v/>
      </c>
      <c r="K2865" s="21" t="str">
        <f>"PFES1162733274_0001"</f>
        <v>PFES1162733274_0001</v>
      </c>
      <c r="L2865" s="21">
        <v>1</v>
      </c>
      <c r="M2865" s="21">
        <v>1</v>
      </c>
    </row>
    <row r="2866" spans="1:13">
      <c r="A2866" s="6">
        <v>43858</v>
      </c>
      <c r="B2866" s="7">
        <v>0.52430555555555558</v>
      </c>
      <c r="C2866" s="21" t="str">
        <f>"FES1162733232"</f>
        <v>FES1162733232</v>
      </c>
      <c r="D2866" s="21" t="s">
        <v>19</v>
      </c>
      <c r="E2866" s="21" t="s">
        <v>695</v>
      </c>
      <c r="F2866" s="21" t="str">
        <f>"2170724013 "</f>
        <v xml:space="preserve">2170724013 </v>
      </c>
      <c r="G2866" s="21" t="str">
        <f t="shared" si="83"/>
        <v>ON1</v>
      </c>
      <c r="H2866" s="21" t="s">
        <v>21</v>
      </c>
      <c r="I2866" s="21" t="s">
        <v>60</v>
      </c>
      <c r="J2866" s="21" t="str">
        <f>""</f>
        <v/>
      </c>
      <c r="K2866" s="21" t="str">
        <f>"PFES1162733232_0001"</f>
        <v>PFES1162733232_0001</v>
      </c>
      <c r="L2866" s="21">
        <v>1</v>
      </c>
      <c r="M2866" s="21">
        <v>1</v>
      </c>
    </row>
    <row r="2867" spans="1:13">
      <c r="A2867" s="6">
        <v>43858</v>
      </c>
      <c r="B2867" s="7">
        <v>0.52361111111111114</v>
      </c>
      <c r="C2867" s="21" t="str">
        <f>"FES1162733219"</f>
        <v>FES1162733219</v>
      </c>
      <c r="D2867" s="21" t="s">
        <v>19</v>
      </c>
      <c r="E2867" s="21" t="s">
        <v>680</v>
      </c>
      <c r="F2867" s="21" t="str">
        <f>"2170725745 "</f>
        <v xml:space="preserve">2170725745 </v>
      </c>
      <c r="G2867" s="21" t="str">
        <f t="shared" si="83"/>
        <v>ON1</v>
      </c>
      <c r="H2867" s="21" t="s">
        <v>21</v>
      </c>
      <c r="I2867" s="21" t="s">
        <v>681</v>
      </c>
      <c r="J2867" s="21" t="str">
        <f>""</f>
        <v/>
      </c>
      <c r="K2867" s="21" t="str">
        <f>"PFES1162733219_0001"</f>
        <v>PFES1162733219_0001</v>
      </c>
      <c r="L2867" s="21">
        <v>1</v>
      </c>
      <c r="M2867" s="21">
        <v>1</v>
      </c>
    </row>
    <row r="2868" spans="1:13">
      <c r="A2868" s="6">
        <v>43858</v>
      </c>
      <c r="B2868" s="7">
        <v>0.52222222222222225</v>
      </c>
      <c r="C2868" s="21" t="str">
        <f>"FES1162727284"</f>
        <v>FES1162727284</v>
      </c>
      <c r="D2868" s="21" t="s">
        <v>19</v>
      </c>
      <c r="E2868" s="21" t="s">
        <v>118</v>
      </c>
      <c r="F2868" s="21" t="str">
        <f>"2170720777 "</f>
        <v xml:space="preserve">2170720777 </v>
      </c>
      <c r="G2868" s="21" t="str">
        <f t="shared" si="83"/>
        <v>ON1</v>
      </c>
      <c r="H2868" s="21" t="s">
        <v>21</v>
      </c>
      <c r="I2868" s="21" t="s">
        <v>119</v>
      </c>
      <c r="J2868" s="21" t="str">
        <f>""</f>
        <v/>
      </c>
      <c r="K2868" s="21" t="str">
        <f>"PFES1162727284_0001"</f>
        <v>PFES1162727284_0001</v>
      </c>
      <c r="L2868" s="21">
        <v>1</v>
      </c>
      <c r="M2868" s="21">
        <v>1</v>
      </c>
    </row>
    <row r="2869" spans="1:13">
      <c r="A2869" s="6">
        <v>43858</v>
      </c>
      <c r="B2869" s="7">
        <v>0.52152777777777781</v>
      </c>
      <c r="C2869" s="21" t="str">
        <f>"FES1162733259"</f>
        <v>FES1162733259</v>
      </c>
      <c r="D2869" s="21" t="s">
        <v>19</v>
      </c>
      <c r="E2869" s="21" t="s">
        <v>258</v>
      </c>
      <c r="F2869" s="21" t="str">
        <f>"2170725767 "</f>
        <v xml:space="preserve">2170725767 </v>
      </c>
      <c r="G2869" s="21" t="str">
        <f t="shared" si="83"/>
        <v>ON1</v>
      </c>
      <c r="H2869" s="21" t="s">
        <v>21</v>
      </c>
      <c r="I2869" s="21" t="s">
        <v>45</v>
      </c>
      <c r="J2869" s="21" t="str">
        <f>""</f>
        <v/>
      </c>
      <c r="K2869" s="21" t="str">
        <f>"PFES1162733259_0001"</f>
        <v>PFES1162733259_0001</v>
      </c>
      <c r="L2869" s="21">
        <v>1</v>
      </c>
      <c r="M2869" s="21">
        <v>1</v>
      </c>
    </row>
    <row r="2870" spans="1:13">
      <c r="A2870" s="6">
        <v>43858</v>
      </c>
      <c r="B2870" s="7">
        <v>0.52013888888888882</v>
      </c>
      <c r="C2870" s="21" t="str">
        <f>"FES1162733271"</f>
        <v>FES1162733271</v>
      </c>
      <c r="D2870" s="21" t="s">
        <v>19</v>
      </c>
      <c r="E2870" s="21" t="s">
        <v>748</v>
      </c>
      <c r="F2870" s="21" t="str">
        <f>"2170725779 "</f>
        <v xml:space="preserve">2170725779 </v>
      </c>
      <c r="G2870" s="21" t="str">
        <f t="shared" si="83"/>
        <v>ON1</v>
      </c>
      <c r="H2870" s="21" t="s">
        <v>21</v>
      </c>
      <c r="I2870" s="21" t="s">
        <v>466</v>
      </c>
      <c r="J2870" s="21" t="str">
        <f>""</f>
        <v/>
      </c>
      <c r="K2870" s="21" t="str">
        <f>"PFES1162733271_0001"</f>
        <v>PFES1162733271_0001</v>
      </c>
      <c r="L2870" s="21">
        <v>1</v>
      </c>
      <c r="M2870" s="21">
        <v>1</v>
      </c>
    </row>
    <row r="2871" spans="1:13">
      <c r="A2871" s="6">
        <v>43858</v>
      </c>
      <c r="B2871" s="7">
        <v>0.51944444444444449</v>
      </c>
      <c r="C2871" s="21" t="str">
        <f>"FES1162733278"</f>
        <v>FES1162733278</v>
      </c>
      <c r="D2871" s="21" t="s">
        <v>19</v>
      </c>
      <c r="E2871" s="21" t="s">
        <v>222</v>
      </c>
      <c r="F2871" s="21" t="str">
        <f>"2170725790 "</f>
        <v xml:space="preserve">2170725790 </v>
      </c>
      <c r="G2871" s="21" t="str">
        <f t="shared" si="83"/>
        <v>ON1</v>
      </c>
      <c r="H2871" s="21" t="s">
        <v>21</v>
      </c>
      <c r="I2871" s="21" t="s">
        <v>28</v>
      </c>
      <c r="J2871" s="21" t="str">
        <f>""</f>
        <v/>
      </c>
      <c r="K2871" s="21" t="str">
        <f>"PFES1162733278_0001"</f>
        <v>PFES1162733278_0001</v>
      </c>
      <c r="L2871" s="21">
        <v>1</v>
      </c>
      <c r="M2871" s="21">
        <v>1</v>
      </c>
    </row>
    <row r="2872" spans="1:13">
      <c r="A2872" s="6">
        <v>43858</v>
      </c>
      <c r="B2872" s="7">
        <v>0.51944444444444449</v>
      </c>
      <c r="C2872" s="21" t="str">
        <f>"FES1162733238"</f>
        <v>FES1162733238</v>
      </c>
      <c r="D2872" s="21" t="s">
        <v>19</v>
      </c>
      <c r="E2872" s="21" t="s">
        <v>23</v>
      </c>
      <c r="F2872" s="21" t="str">
        <f>"2170725054 "</f>
        <v xml:space="preserve">2170725054 </v>
      </c>
      <c r="G2872" s="21" t="str">
        <f t="shared" si="83"/>
        <v>ON1</v>
      </c>
      <c r="H2872" s="21" t="s">
        <v>21</v>
      </c>
      <c r="I2872" s="21" t="s">
        <v>127</v>
      </c>
      <c r="J2872" s="21" t="str">
        <f>""</f>
        <v/>
      </c>
      <c r="K2872" s="21" t="str">
        <f>"PFES1162733238_0001"</f>
        <v>PFES1162733238_0001</v>
      </c>
      <c r="L2872" s="21">
        <v>1</v>
      </c>
      <c r="M2872" s="21">
        <v>3</v>
      </c>
    </row>
    <row r="2873" spans="1:13">
      <c r="A2873" s="6">
        <v>43858</v>
      </c>
      <c r="B2873" s="7">
        <v>0.51874999999999993</v>
      </c>
      <c r="C2873" s="21" t="str">
        <f>"FES1162733239"</f>
        <v>FES1162733239</v>
      </c>
      <c r="D2873" s="21" t="s">
        <v>19</v>
      </c>
      <c r="E2873" s="21" t="s">
        <v>1033</v>
      </c>
      <c r="F2873" s="21" t="str">
        <f>"2170725216 "</f>
        <v xml:space="preserve">2170725216 </v>
      </c>
      <c r="G2873" s="21" t="str">
        <f t="shared" si="83"/>
        <v>ON1</v>
      </c>
      <c r="H2873" s="21" t="s">
        <v>21</v>
      </c>
      <c r="I2873" s="21" t="s">
        <v>389</v>
      </c>
      <c r="J2873" s="21" t="str">
        <f>""</f>
        <v/>
      </c>
      <c r="K2873" s="21" t="str">
        <f>"PFES1162733239_0001"</f>
        <v>PFES1162733239_0001</v>
      </c>
      <c r="L2873" s="21">
        <v>1</v>
      </c>
      <c r="M2873" s="21">
        <v>6</v>
      </c>
    </row>
    <row r="2874" spans="1:13">
      <c r="A2874" s="6">
        <v>43858</v>
      </c>
      <c r="B2874" s="7">
        <v>0.5180555555555556</v>
      </c>
      <c r="C2874" s="21" t="str">
        <f>"FES1162733253"</f>
        <v>FES1162733253</v>
      </c>
      <c r="D2874" s="21" t="s">
        <v>19</v>
      </c>
      <c r="E2874" s="21" t="s">
        <v>44</v>
      </c>
      <c r="F2874" s="21" t="str">
        <f>"2170725761 "</f>
        <v xml:space="preserve">2170725761 </v>
      </c>
      <c r="G2874" s="21" t="str">
        <f t="shared" si="83"/>
        <v>ON1</v>
      </c>
      <c r="H2874" s="21" t="s">
        <v>21</v>
      </c>
      <c r="I2874" s="21" t="s">
        <v>45</v>
      </c>
      <c r="J2874" s="21" t="str">
        <f>""</f>
        <v/>
      </c>
      <c r="K2874" s="21" t="str">
        <f>"PFES1162733253_0001"</f>
        <v>PFES1162733253_0001</v>
      </c>
      <c r="L2874" s="21">
        <v>1</v>
      </c>
      <c r="M2874" s="21">
        <v>1</v>
      </c>
    </row>
    <row r="2875" spans="1:13">
      <c r="A2875" s="6">
        <v>43858</v>
      </c>
      <c r="B2875" s="7">
        <v>0.51736111111111105</v>
      </c>
      <c r="C2875" s="21" t="str">
        <f>"FES1162729538"</f>
        <v>FES1162729538</v>
      </c>
      <c r="D2875" s="21" t="s">
        <v>19</v>
      </c>
      <c r="E2875" s="21" t="s">
        <v>1034</v>
      </c>
      <c r="F2875" s="21" t="str">
        <f>"2170722110 "</f>
        <v xml:space="preserve">2170722110 </v>
      </c>
      <c r="G2875" s="21" t="str">
        <f t="shared" si="83"/>
        <v>ON1</v>
      </c>
      <c r="H2875" s="21" t="s">
        <v>21</v>
      </c>
      <c r="I2875" s="21" t="s">
        <v>31</v>
      </c>
      <c r="J2875" s="21" t="str">
        <f>""</f>
        <v/>
      </c>
      <c r="K2875" s="21" t="str">
        <f>"PFES1162729538_0001"</f>
        <v>PFES1162729538_0001</v>
      </c>
      <c r="L2875" s="21">
        <v>1</v>
      </c>
      <c r="M2875" s="21">
        <v>1</v>
      </c>
    </row>
    <row r="2876" spans="1:13">
      <c r="A2876" s="6">
        <v>43858</v>
      </c>
      <c r="B2876" s="7">
        <v>0.51666666666666672</v>
      </c>
      <c r="C2876" s="21" t="str">
        <f>"FES1162733289"</f>
        <v>FES1162733289</v>
      </c>
      <c r="D2876" s="21" t="s">
        <v>19</v>
      </c>
      <c r="E2876" s="21" t="s">
        <v>322</v>
      </c>
      <c r="F2876" s="21" t="str">
        <f>"2170715871 "</f>
        <v xml:space="preserve">2170715871 </v>
      </c>
      <c r="G2876" s="21" t="str">
        <f t="shared" si="83"/>
        <v>ON1</v>
      </c>
      <c r="H2876" s="21" t="s">
        <v>21</v>
      </c>
      <c r="I2876" s="21" t="s">
        <v>323</v>
      </c>
      <c r="J2876" s="21" t="str">
        <f>""</f>
        <v/>
      </c>
      <c r="K2876" s="21" t="str">
        <f>"PFES1162733289_0001"</f>
        <v>PFES1162733289_0001</v>
      </c>
      <c r="L2876" s="21">
        <v>1</v>
      </c>
      <c r="M2876" s="21">
        <v>3</v>
      </c>
    </row>
    <row r="2877" spans="1:13">
      <c r="A2877" s="6">
        <v>43858</v>
      </c>
      <c r="B2877" s="7">
        <v>0.51666666666666672</v>
      </c>
      <c r="C2877" s="21" t="str">
        <f>"FES1162733307"</f>
        <v>FES1162733307</v>
      </c>
      <c r="D2877" s="21" t="s">
        <v>19</v>
      </c>
      <c r="E2877" s="21" t="s">
        <v>136</v>
      </c>
      <c r="F2877" s="21" t="str">
        <f>"2170725815 "</f>
        <v xml:space="preserve">2170725815 </v>
      </c>
      <c r="G2877" s="21" t="str">
        <f t="shared" si="83"/>
        <v>ON1</v>
      </c>
      <c r="H2877" s="21" t="s">
        <v>21</v>
      </c>
      <c r="I2877" s="21" t="s">
        <v>137</v>
      </c>
      <c r="J2877" s="21" t="str">
        <f>""</f>
        <v/>
      </c>
      <c r="K2877" s="21" t="str">
        <f>"PFES1162733307_0001"</f>
        <v>PFES1162733307_0001</v>
      </c>
      <c r="L2877" s="21">
        <v>1</v>
      </c>
      <c r="M2877" s="21">
        <v>1</v>
      </c>
    </row>
    <row r="2878" spans="1:13">
      <c r="A2878" s="6">
        <v>43858</v>
      </c>
      <c r="B2878" s="7">
        <v>0.51666666666666672</v>
      </c>
      <c r="C2878" s="21" t="str">
        <f>"FES1162732795"</f>
        <v>FES1162732795</v>
      </c>
      <c r="D2878" s="21" t="s">
        <v>19</v>
      </c>
      <c r="E2878" s="21" t="s">
        <v>953</v>
      </c>
      <c r="F2878" s="21" t="str">
        <f>"2170725281 "</f>
        <v xml:space="preserve">2170725281 </v>
      </c>
      <c r="G2878" s="21" t="str">
        <f t="shared" si="83"/>
        <v>ON1</v>
      </c>
      <c r="H2878" s="21" t="s">
        <v>21</v>
      </c>
      <c r="I2878" s="21" t="s">
        <v>954</v>
      </c>
      <c r="J2878" s="21" t="str">
        <f>""</f>
        <v/>
      </c>
      <c r="K2878" s="21" t="str">
        <f>"PFES1162732795_0001"</f>
        <v>PFES1162732795_0001</v>
      </c>
      <c r="L2878" s="21">
        <v>1</v>
      </c>
      <c r="M2878" s="21">
        <v>9</v>
      </c>
    </row>
    <row r="2879" spans="1:13">
      <c r="A2879" s="6">
        <v>43858</v>
      </c>
      <c r="B2879" s="7">
        <v>0.51666666666666672</v>
      </c>
      <c r="C2879" s="21" t="str">
        <f>"FES1162727090"</f>
        <v>FES1162727090</v>
      </c>
      <c r="D2879" s="21" t="s">
        <v>19</v>
      </c>
      <c r="E2879" s="21" t="s">
        <v>382</v>
      </c>
      <c r="F2879" s="21" t="str">
        <f>"2170720558 "</f>
        <v xml:space="preserve">2170720558 </v>
      </c>
      <c r="G2879" s="21" t="str">
        <f t="shared" si="83"/>
        <v>ON1</v>
      </c>
      <c r="H2879" s="21" t="s">
        <v>21</v>
      </c>
      <c r="I2879" s="21" t="s">
        <v>334</v>
      </c>
      <c r="J2879" s="21" t="str">
        <f>""</f>
        <v/>
      </c>
      <c r="K2879" s="21" t="str">
        <f>"PFES1162727090_0001"</f>
        <v>PFES1162727090_0001</v>
      </c>
      <c r="L2879" s="21">
        <v>1</v>
      </c>
      <c r="M2879" s="21">
        <v>2</v>
      </c>
    </row>
    <row r="2880" spans="1:13">
      <c r="A2880" s="6">
        <v>43858</v>
      </c>
      <c r="B2880" s="7">
        <v>0.51597222222222217</v>
      </c>
      <c r="C2880" s="21" t="str">
        <f>"FES1162733301"</f>
        <v>FES1162733301</v>
      </c>
      <c r="D2880" s="21" t="s">
        <v>19</v>
      </c>
      <c r="E2880" s="21" t="s">
        <v>245</v>
      </c>
      <c r="F2880" s="21" t="str">
        <f>"2170725808 "</f>
        <v xml:space="preserve">2170725808 </v>
      </c>
      <c r="G2880" s="21" t="str">
        <f t="shared" si="83"/>
        <v>ON1</v>
      </c>
      <c r="H2880" s="21" t="s">
        <v>21</v>
      </c>
      <c r="I2880" s="21" t="s">
        <v>96</v>
      </c>
      <c r="J2880" s="21" t="str">
        <f>""</f>
        <v/>
      </c>
      <c r="K2880" s="21" t="str">
        <f>"PFES1162733301_0001"</f>
        <v>PFES1162733301_0001</v>
      </c>
      <c r="L2880" s="21">
        <v>1</v>
      </c>
      <c r="M2880" s="21">
        <v>1</v>
      </c>
    </row>
    <row r="2881" spans="1:13">
      <c r="A2881" s="6">
        <v>43858</v>
      </c>
      <c r="B2881" s="7">
        <v>0.51597222222222217</v>
      </c>
      <c r="C2881" s="21" t="str">
        <f>"FES1162733254"</f>
        <v>FES1162733254</v>
      </c>
      <c r="D2881" s="21" t="s">
        <v>19</v>
      </c>
      <c r="E2881" s="21" t="s">
        <v>122</v>
      </c>
      <c r="F2881" s="21" t="str">
        <f>"2170725765 "</f>
        <v xml:space="preserve">2170725765 </v>
      </c>
      <c r="G2881" s="21" t="str">
        <f t="shared" si="83"/>
        <v>ON1</v>
      </c>
      <c r="H2881" s="21" t="s">
        <v>21</v>
      </c>
      <c r="I2881" s="21" t="s">
        <v>123</v>
      </c>
      <c r="J2881" s="21" t="str">
        <f>""</f>
        <v/>
      </c>
      <c r="K2881" s="21" t="str">
        <f>"PFES1162733254_0001"</f>
        <v>PFES1162733254_0001</v>
      </c>
      <c r="L2881" s="21">
        <v>1</v>
      </c>
      <c r="M2881" s="21">
        <v>1</v>
      </c>
    </row>
    <row r="2882" spans="1:13">
      <c r="A2882" s="6">
        <v>43858</v>
      </c>
      <c r="B2882" s="7">
        <v>0.51597222222222217</v>
      </c>
      <c r="C2882" s="21" t="str">
        <f>"FES1162733311"</f>
        <v>FES1162733311</v>
      </c>
      <c r="D2882" s="21" t="s">
        <v>19</v>
      </c>
      <c r="E2882" s="21" t="s">
        <v>447</v>
      </c>
      <c r="F2882" s="21" t="str">
        <f>"2170725820 "</f>
        <v xml:space="preserve">2170725820 </v>
      </c>
      <c r="G2882" s="21" t="str">
        <f t="shared" si="83"/>
        <v>ON1</v>
      </c>
      <c r="H2882" s="21" t="s">
        <v>21</v>
      </c>
      <c r="I2882" s="21" t="s">
        <v>90</v>
      </c>
      <c r="J2882" s="21" t="str">
        <f>""</f>
        <v/>
      </c>
      <c r="K2882" s="21" t="str">
        <f>"PFES1162733311_0001"</f>
        <v>PFES1162733311_0001</v>
      </c>
      <c r="L2882" s="21">
        <v>1</v>
      </c>
      <c r="M2882" s="21">
        <v>1</v>
      </c>
    </row>
    <row r="2883" spans="1:13">
      <c r="A2883" s="6">
        <v>43858</v>
      </c>
      <c r="B2883" s="7">
        <v>0.51527777777777783</v>
      </c>
      <c r="C2883" s="21" t="str">
        <f>"FES1162733241"</f>
        <v>FES1162733241</v>
      </c>
      <c r="D2883" s="21" t="s">
        <v>19</v>
      </c>
      <c r="E2883" s="21" t="s">
        <v>1035</v>
      </c>
      <c r="F2883" s="21" t="str">
        <f>"2170725277 "</f>
        <v xml:space="preserve">2170725277 </v>
      </c>
      <c r="G2883" s="21" t="str">
        <f t="shared" si="83"/>
        <v>ON1</v>
      </c>
      <c r="H2883" s="21" t="s">
        <v>21</v>
      </c>
      <c r="I2883" s="21" t="s">
        <v>355</v>
      </c>
      <c r="J2883" s="21" t="str">
        <f>""</f>
        <v/>
      </c>
      <c r="K2883" s="21" t="str">
        <f>"PFES1162733241_0001"</f>
        <v>PFES1162733241_0001</v>
      </c>
      <c r="L2883" s="21">
        <v>1</v>
      </c>
      <c r="M2883" s="21">
        <v>5</v>
      </c>
    </row>
    <row r="2884" spans="1:13">
      <c r="A2884" s="6">
        <v>43858</v>
      </c>
      <c r="B2884" s="7">
        <v>0.51458333333333328</v>
      </c>
      <c r="C2884" s="21" t="str">
        <f>"FES1162733292"</f>
        <v>FES1162733292</v>
      </c>
      <c r="D2884" s="21" t="s">
        <v>19</v>
      </c>
      <c r="E2884" s="21" t="s">
        <v>105</v>
      </c>
      <c r="F2884" s="21" t="str">
        <f>"2170723394 "</f>
        <v xml:space="preserve">2170723394 </v>
      </c>
      <c r="G2884" s="21" t="str">
        <f t="shared" si="83"/>
        <v>ON1</v>
      </c>
      <c r="H2884" s="21" t="s">
        <v>21</v>
      </c>
      <c r="I2884" s="21" t="s">
        <v>106</v>
      </c>
      <c r="J2884" s="21" t="str">
        <f>""</f>
        <v/>
      </c>
      <c r="K2884" s="21" t="str">
        <f>"PFES1162733292_0001"</f>
        <v>PFES1162733292_0001</v>
      </c>
      <c r="L2884" s="21">
        <v>1</v>
      </c>
      <c r="M2884" s="21">
        <v>19</v>
      </c>
    </row>
    <row r="2885" spans="1:13">
      <c r="A2885" s="6">
        <v>43858</v>
      </c>
      <c r="B2885" s="7">
        <v>0.51458333333333328</v>
      </c>
      <c r="C2885" s="21" t="str">
        <f>"FES1162733228"</f>
        <v>FES1162733228</v>
      </c>
      <c r="D2885" s="21" t="s">
        <v>19</v>
      </c>
      <c r="E2885" s="21" t="s">
        <v>1036</v>
      </c>
      <c r="F2885" s="21" t="str">
        <f>"2170722600 "</f>
        <v xml:space="preserve">2170722600 </v>
      </c>
      <c r="G2885" s="21" t="str">
        <f t="shared" si="83"/>
        <v>ON1</v>
      </c>
      <c r="H2885" s="21" t="s">
        <v>21</v>
      </c>
      <c r="I2885" s="21" t="s">
        <v>389</v>
      </c>
      <c r="J2885" s="21" t="str">
        <f>""</f>
        <v/>
      </c>
      <c r="K2885" s="21" t="str">
        <f>"PFES1162733228_0001"</f>
        <v>PFES1162733228_0001</v>
      </c>
      <c r="L2885" s="21">
        <v>1</v>
      </c>
      <c r="M2885" s="21">
        <v>6</v>
      </c>
    </row>
    <row r="2886" spans="1:13">
      <c r="A2886" s="6">
        <v>43858</v>
      </c>
      <c r="B2886" s="7">
        <v>0.51458333333333328</v>
      </c>
      <c r="C2886" s="21" t="str">
        <f>"FES1162733291"</f>
        <v>FES1162733291</v>
      </c>
      <c r="D2886" s="21" t="s">
        <v>19</v>
      </c>
      <c r="E2886" s="21" t="s">
        <v>363</v>
      </c>
      <c r="F2886" s="21" t="str">
        <f>"2170722736 "</f>
        <v xml:space="preserve">2170722736 </v>
      </c>
      <c r="G2886" s="21" t="str">
        <f t="shared" si="83"/>
        <v>ON1</v>
      </c>
      <c r="H2886" s="21" t="s">
        <v>21</v>
      </c>
      <c r="I2886" s="21" t="s">
        <v>364</v>
      </c>
      <c r="J2886" s="21" t="str">
        <f>""</f>
        <v/>
      </c>
      <c r="K2886" s="21" t="str">
        <f>"PFES1162733291_0001"</f>
        <v>PFES1162733291_0001</v>
      </c>
      <c r="L2886" s="21">
        <v>1</v>
      </c>
      <c r="M2886" s="21">
        <v>2</v>
      </c>
    </row>
    <row r="2887" spans="1:13">
      <c r="A2887" s="6">
        <v>43858</v>
      </c>
      <c r="B2887" s="7">
        <v>0.51388888888888895</v>
      </c>
      <c r="C2887" s="21" t="str">
        <f>"FES1162733266"</f>
        <v>FES1162733266</v>
      </c>
      <c r="D2887" s="21" t="s">
        <v>19</v>
      </c>
      <c r="E2887" s="21" t="s">
        <v>862</v>
      </c>
      <c r="F2887" s="21" t="str">
        <f>"2170725776 "</f>
        <v xml:space="preserve">2170725776 </v>
      </c>
      <c r="G2887" s="21" t="str">
        <f t="shared" si="83"/>
        <v>ON1</v>
      </c>
      <c r="H2887" s="21" t="s">
        <v>21</v>
      </c>
      <c r="I2887" s="21" t="s">
        <v>73</v>
      </c>
      <c r="J2887" s="21" t="str">
        <f>""</f>
        <v/>
      </c>
      <c r="K2887" s="21" t="str">
        <f>"PFES1162733266_0001"</f>
        <v>PFES1162733266_0001</v>
      </c>
      <c r="L2887" s="21">
        <v>1</v>
      </c>
      <c r="M2887" s="21">
        <v>4</v>
      </c>
    </row>
    <row r="2888" spans="1:13">
      <c r="A2888" s="6">
        <v>43858</v>
      </c>
      <c r="B2888" s="7">
        <v>0.51388888888888895</v>
      </c>
      <c r="C2888" s="21" t="str">
        <f>"FES1162733283"</f>
        <v>FES1162733283</v>
      </c>
      <c r="D2888" s="21" t="s">
        <v>19</v>
      </c>
      <c r="E2888" s="21" t="s">
        <v>522</v>
      </c>
      <c r="F2888" s="21" t="str">
        <f>"217072594 "</f>
        <v xml:space="preserve">217072594 </v>
      </c>
      <c r="G2888" s="21" t="str">
        <f t="shared" si="83"/>
        <v>ON1</v>
      </c>
      <c r="H2888" s="21" t="s">
        <v>21</v>
      </c>
      <c r="I2888" s="21" t="s">
        <v>193</v>
      </c>
      <c r="J2888" s="21" t="str">
        <f>""</f>
        <v/>
      </c>
      <c r="K2888" s="21" t="str">
        <f>"PFES1162733283_0001"</f>
        <v>PFES1162733283_0001</v>
      </c>
      <c r="L2888" s="21">
        <v>1</v>
      </c>
      <c r="M2888" s="21">
        <v>1</v>
      </c>
    </row>
    <row r="2889" spans="1:13">
      <c r="A2889" s="6">
        <v>43858</v>
      </c>
      <c r="B2889" s="7">
        <v>0.5131944444444444</v>
      </c>
      <c r="C2889" s="21" t="str">
        <f>"FES1162733306"</f>
        <v>FES1162733306</v>
      </c>
      <c r="D2889" s="21" t="s">
        <v>19</v>
      </c>
      <c r="E2889" s="21" t="s">
        <v>62</v>
      </c>
      <c r="F2889" s="21" t="str">
        <f>"2170724957 "</f>
        <v xml:space="preserve">2170724957 </v>
      </c>
      <c r="G2889" s="21" t="str">
        <f t="shared" si="83"/>
        <v>ON1</v>
      </c>
      <c r="H2889" s="21" t="s">
        <v>21</v>
      </c>
      <c r="I2889" s="21" t="s">
        <v>297</v>
      </c>
      <c r="J2889" s="21" t="str">
        <f>""</f>
        <v/>
      </c>
      <c r="K2889" s="21" t="str">
        <f>"PFES1162733306_0001"</f>
        <v>PFES1162733306_0001</v>
      </c>
      <c r="L2889" s="21">
        <v>1</v>
      </c>
      <c r="M2889" s="21">
        <v>1</v>
      </c>
    </row>
    <row r="2890" spans="1:13">
      <c r="A2890" s="6">
        <v>43858</v>
      </c>
      <c r="B2890" s="7">
        <v>0.5131944444444444</v>
      </c>
      <c r="C2890" s="21" t="str">
        <f>"FES1162733248"</f>
        <v>FES1162733248</v>
      </c>
      <c r="D2890" s="21" t="s">
        <v>19</v>
      </c>
      <c r="E2890" s="21" t="s">
        <v>997</v>
      </c>
      <c r="F2890" s="21" t="str">
        <f>"2170725732 "</f>
        <v xml:space="preserve">2170725732 </v>
      </c>
      <c r="G2890" s="21" t="str">
        <f t="shared" si="83"/>
        <v>ON1</v>
      </c>
      <c r="H2890" s="21" t="s">
        <v>21</v>
      </c>
      <c r="I2890" s="21" t="s">
        <v>34</v>
      </c>
      <c r="J2890" s="21" t="str">
        <f>""</f>
        <v/>
      </c>
      <c r="K2890" s="21" t="str">
        <f>"PFES1162733248_0001"</f>
        <v>PFES1162733248_0001</v>
      </c>
      <c r="L2890" s="21">
        <v>1</v>
      </c>
      <c r="M2890" s="21">
        <v>2</v>
      </c>
    </row>
    <row r="2891" spans="1:13">
      <c r="A2891" s="6">
        <v>43858</v>
      </c>
      <c r="B2891" s="7">
        <v>0.51180555555555551</v>
      </c>
      <c r="C2891" s="21" t="str">
        <f>"FES1162733268"</f>
        <v>FES1162733268</v>
      </c>
      <c r="D2891" s="21" t="s">
        <v>19</v>
      </c>
      <c r="E2891" s="21" t="s">
        <v>1037</v>
      </c>
      <c r="F2891" s="21" t="str">
        <f>"2170725747 "</f>
        <v xml:space="preserve">2170725747 </v>
      </c>
      <c r="G2891" s="21" t="str">
        <f t="shared" si="83"/>
        <v>ON1</v>
      </c>
      <c r="H2891" s="21" t="s">
        <v>21</v>
      </c>
      <c r="I2891" s="21" t="s">
        <v>1038</v>
      </c>
      <c r="J2891" s="21" t="str">
        <f>""</f>
        <v/>
      </c>
      <c r="K2891" s="21" t="str">
        <f>"PFES1162733268_0001"</f>
        <v>PFES1162733268_0001</v>
      </c>
      <c r="L2891" s="21">
        <v>1</v>
      </c>
      <c r="M2891" s="21">
        <v>1</v>
      </c>
    </row>
    <row r="2892" spans="1:13">
      <c r="A2892" s="6">
        <v>43858</v>
      </c>
      <c r="B2892" s="7">
        <v>0.51041666666666663</v>
      </c>
      <c r="C2892" s="21" t="str">
        <f>"FES1162727166"</f>
        <v>FES1162727166</v>
      </c>
      <c r="D2892" s="21" t="s">
        <v>19</v>
      </c>
      <c r="E2892" s="21" t="s">
        <v>248</v>
      </c>
      <c r="F2892" s="21" t="str">
        <f>"2170720634 "</f>
        <v xml:space="preserve">2170720634 </v>
      </c>
      <c r="G2892" s="21" t="str">
        <f t="shared" si="83"/>
        <v>ON1</v>
      </c>
      <c r="H2892" s="21" t="s">
        <v>21</v>
      </c>
      <c r="I2892" s="21" t="s">
        <v>247</v>
      </c>
      <c r="J2892" s="21" t="str">
        <f>""</f>
        <v/>
      </c>
      <c r="K2892" s="21" t="str">
        <f>"PFES1162727166_0001"</f>
        <v>PFES1162727166_0001</v>
      </c>
      <c r="L2892" s="21">
        <v>1</v>
      </c>
      <c r="M2892" s="21">
        <v>1</v>
      </c>
    </row>
    <row r="2893" spans="1:13">
      <c r="A2893" s="6">
        <v>43858</v>
      </c>
      <c r="B2893" s="7">
        <v>0.51041666666666663</v>
      </c>
      <c r="C2893" s="21" t="str">
        <f>"FES1162732609"</f>
        <v>FES1162732609</v>
      </c>
      <c r="D2893" s="21" t="s">
        <v>19</v>
      </c>
      <c r="E2893" s="21" t="s">
        <v>1039</v>
      </c>
      <c r="F2893" s="21" t="str">
        <f>" "</f>
        <v xml:space="preserve"> </v>
      </c>
      <c r="G2893" s="21" t="str">
        <f t="shared" si="83"/>
        <v>ON1</v>
      </c>
      <c r="H2893" s="21" t="s">
        <v>21</v>
      </c>
      <c r="I2893" s="21" t="s">
        <v>375</v>
      </c>
      <c r="J2893" s="21" t="str">
        <f>""</f>
        <v/>
      </c>
      <c r="K2893" s="21" t="str">
        <f>"PFES1162732609_0001"</f>
        <v>PFES1162732609_0001</v>
      </c>
      <c r="L2893" s="21">
        <v>1</v>
      </c>
      <c r="M2893" s="21">
        <v>4</v>
      </c>
    </row>
    <row r="2894" spans="1:13">
      <c r="A2894" s="6">
        <v>43858</v>
      </c>
      <c r="B2894" s="7">
        <v>0.50972222222222219</v>
      </c>
      <c r="C2894" s="21" t="str">
        <f>"FES1162733242"</f>
        <v>FES1162733242</v>
      </c>
      <c r="D2894" s="21" t="s">
        <v>19</v>
      </c>
      <c r="E2894" s="21" t="s">
        <v>23</v>
      </c>
      <c r="F2894" s="21" t="str">
        <f>"2170725307 "</f>
        <v xml:space="preserve">2170725307 </v>
      </c>
      <c r="G2894" s="21" t="str">
        <f t="shared" si="83"/>
        <v>ON1</v>
      </c>
      <c r="H2894" s="21" t="s">
        <v>21</v>
      </c>
      <c r="I2894" s="21" t="s">
        <v>24</v>
      </c>
      <c r="J2894" s="21" t="str">
        <f>""</f>
        <v/>
      </c>
      <c r="K2894" s="21" t="str">
        <f>"PFES1162733242_0001"</f>
        <v>PFES1162733242_0001</v>
      </c>
      <c r="L2894" s="21">
        <v>1</v>
      </c>
      <c r="M2894" s="21">
        <v>1</v>
      </c>
    </row>
    <row r="2895" spans="1:13">
      <c r="A2895" s="6">
        <v>43858</v>
      </c>
      <c r="B2895" s="7">
        <v>0.50972222222222219</v>
      </c>
      <c r="C2895" s="21" t="str">
        <f>"FES1162733314"</f>
        <v>FES1162733314</v>
      </c>
      <c r="D2895" s="21" t="s">
        <v>19</v>
      </c>
      <c r="E2895" s="21" t="s">
        <v>1040</v>
      </c>
      <c r="F2895" s="21" t="str">
        <f>"2170724076 "</f>
        <v xml:space="preserve">2170724076 </v>
      </c>
      <c r="G2895" s="21" t="str">
        <f t="shared" si="83"/>
        <v>ON1</v>
      </c>
      <c r="H2895" s="21" t="s">
        <v>21</v>
      </c>
      <c r="I2895" s="21" t="s">
        <v>28</v>
      </c>
      <c r="J2895" s="21" t="str">
        <f>""</f>
        <v/>
      </c>
      <c r="K2895" s="21" t="str">
        <f>"PFES1162733314_0001"</f>
        <v>PFES1162733314_0001</v>
      </c>
      <c r="L2895" s="21">
        <v>1</v>
      </c>
      <c r="M2895" s="21">
        <v>2</v>
      </c>
    </row>
    <row r="2896" spans="1:13">
      <c r="A2896" s="6">
        <v>43858</v>
      </c>
      <c r="B2896" s="7">
        <v>0.50902777777777775</v>
      </c>
      <c r="C2896" s="21" t="str">
        <f>"FES1162733260"</f>
        <v>FES1162733260</v>
      </c>
      <c r="D2896" s="21" t="s">
        <v>19</v>
      </c>
      <c r="E2896" s="21" t="s">
        <v>222</v>
      </c>
      <c r="F2896" s="21" t="str">
        <f>"2170725772 "</f>
        <v xml:space="preserve">2170725772 </v>
      </c>
      <c r="G2896" s="21" t="str">
        <f t="shared" si="83"/>
        <v>ON1</v>
      </c>
      <c r="H2896" s="21" t="s">
        <v>21</v>
      </c>
      <c r="I2896" s="21" t="s">
        <v>28</v>
      </c>
      <c r="J2896" s="21" t="str">
        <f>""</f>
        <v/>
      </c>
      <c r="K2896" s="21" t="str">
        <f>"PFES1162733260_0001"</f>
        <v>PFES1162733260_0001</v>
      </c>
      <c r="L2896" s="21">
        <v>1</v>
      </c>
      <c r="M2896" s="21">
        <v>1</v>
      </c>
    </row>
    <row r="2897" spans="1:13">
      <c r="A2897" s="6">
        <v>43858</v>
      </c>
      <c r="B2897" s="7">
        <v>0.50902777777777775</v>
      </c>
      <c r="C2897" s="21" t="str">
        <f>"FES1162733227"</f>
        <v>FES1162733227</v>
      </c>
      <c r="D2897" s="21" t="s">
        <v>19</v>
      </c>
      <c r="E2897" s="21" t="s">
        <v>138</v>
      </c>
      <c r="F2897" s="21" t="str">
        <f>"2170725754 "</f>
        <v xml:space="preserve">2170725754 </v>
      </c>
      <c r="G2897" s="21" t="str">
        <f t="shared" si="83"/>
        <v>ON1</v>
      </c>
      <c r="H2897" s="21" t="s">
        <v>21</v>
      </c>
      <c r="I2897" s="21" t="s">
        <v>139</v>
      </c>
      <c r="J2897" s="21" t="str">
        <f>""</f>
        <v/>
      </c>
      <c r="K2897" s="21" t="str">
        <f>"PFES1162733227_0001"</f>
        <v>PFES1162733227_0001</v>
      </c>
      <c r="L2897" s="21">
        <v>1</v>
      </c>
      <c r="M2897" s="21">
        <v>1</v>
      </c>
    </row>
    <row r="2898" spans="1:13">
      <c r="A2898" s="6">
        <v>43858</v>
      </c>
      <c r="B2898" s="7">
        <v>0.50902777777777775</v>
      </c>
      <c r="C2898" s="21" t="str">
        <f>"FES1162733256"</f>
        <v>FES1162733256</v>
      </c>
      <c r="D2898" s="21" t="s">
        <v>19</v>
      </c>
      <c r="E2898" s="21" t="s">
        <v>118</v>
      </c>
      <c r="F2898" s="21" t="str">
        <f>"2170725769 "</f>
        <v xml:space="preserve">2170725769 </v>
      </c>
      <c r="G2898" s="21" t="str">
        <f t="shared" si="83"/>
        <v>ON1</v>
      </c>
      <c r="H2898" s="21" t="s">
        <v>21</v>
      </c>
      <c r="I2898" s="21" t="s">
        <v>119</v>
      </c>
      <c r="J2898" s="21" t="str">
        <f>""</f>
        <v/>
      </c>
      <c r="K2898" s="21" t="str">
        <f>"PFES1162733256_0001"</f>
        <v>PFES1162733256_0001</v>
      </c>
      <c r="L2898" s="21">
        <v>1</v>
      </c>
      <c r="M2898" s="21">
        <v>1</v>
      </c>
    </row>
    <row r="2899" spans="1:13">
      <c r="A2899" s="6">
        <v>43858</v>
      </c>
      <c r="B2899" s="7">
        <v>0.50902777777777775</v>
      </c>
      <c r="C2899" s="21" t="str">
        <f>"FES1162733310"</f>
        <v>FES1162733310</v>
      </c>
      <c r="D2899" s="21" t="s">
        <v>19</v>
      </c>
      <c r="E2899" s="21" t="s">
        <v>358</v>
      </c>
      <c r="F2899" s="21" t="str">
        <f>"21707258197 "</f>
        <v xml:space="preserve">21707258197 </v>
      </c>
      <c r="G2899" s="21" t="str">
        <f t="shared" si="83"/>
        <v>ON1</v>
      </c>
      <c r="H2899" s="21" t="s">
        <v>21</v>
      </c>
      <c r="I2899" s="21" t="s">
        <v>119</v>
      </c>
      <c r="J2899" s="21" t="str">
        <f>""</f>
        <v/>
      </c>
      <c r="K2899" s="21" t="str">
        <f>"PFES1162733310_0001"</f>
        <v>PFES1162733310_0001</v>
      </c>
      <c r="L2899" s="21">
        <v>1</v>
      </c>
      <c r="M2899" s="21">
        <v>3</v>
      </c>
    </row>
    <row r="2900" spans="1:13">
      <c r="A2900" s="6">
        <v>43858</v>
      </c>
      <c r="B2900" s="7">
        <v>0.5083333333333333</v>
      </c>
      <c r="C2900" s="21" t="str">
        <f>"FES1162733261"</f>
        <v>FES1162733261</v>
      </c>
      <c r="D2900" s="21" t="s">
        <v>19</v>
      </c>
      <c r="E2900" s="21" t="s">
        <v>752</v>
      </c>
      <c r="F2900" s="21" t="str">
        <f>"2170725773 "</f>
        <v xml:space="preserve">2170725773 </v>
      </c>
      <c r="G2900" s="21" t="str">
        <f t="shared" si="83"/>
        <v>ON1</v>
      </c>
      <c r="H2900" s="21" t="s">
        <v>21</v>
      </c>
      <c r="I2900" s="21" t="s">
        <v>31</v>
      </c>
      <c r="J2900" s="21" t="str">
        <f>""</f>
        <v/>
      </c>
      <c r="K2900" s="21" t="str">
        <f>"PFES1162733261_0001"</f>
        <v>PFES1162733261_0001</v>
      </c>
      <c r="L2900" s="21">
        <v>1</v>
      </c>
      <c r="M2900" s="21">
        <v>1</v>
      </c>
    </row>
    <row r="2901" spans="1:13">
      <c r="A2901" s="6">
        <v>43858</v>
      </c>
      <c r="B2901" s="7">
        <v>0.5083333333333333</v>
      </c>
      <c r="C2901" s="21" t="str">
        <f>"FES1162733284"</f>
        <v>FES1162733284</v>
      </c>
      <c r="D2901" s="21" t="s">
        <v>19</v>
      </c>
      <c r="E2901" s="21" t="s">
        <v>130</v>
      </c>
      <c r="F2901" s="21" t="str">
        <f>"2170725797 "</f>
        <v xml:space="preserve">2170725797 </v>
      </c>
      <c r="G2901" s="21" t="str">
        <f t="shared" si="83"/>
        <v>ON1</v>
      </c>
      <c r="H2901" s="21" t="s">
        <v>21</v>
      </c>
      <c r="I2901" s="21" t="s">
        <v>131</v>
      </c>
      <c r="J2901" s="21" t="str">
        <f>""</f>
        <v/>
      </c>
      <c r="K2901" s="21" t="str">
        <f>"PFES1162733284_0001"</f>
        <v>PFES1162733284_0001</v>
      </c>
      <c r="L2901" s="21">
        <v>1</v>
      </c>
      <c r="M2901" s="21">
        <v>6</v>
      </c>
    </row>
    <row r="2902" spans="1:13">
      <c r="A2902" s="6">
        <v>43858</v>
      </c>
      <c r="B2902" s="7">
        <v>0.5083333333333333</v>
      </c>
      <c r="C2902" s="21" t="str">
        <f>"FES1162733297"</f>
        <v>FES1162733297</v>
      </c>
      <c r="D2902" s="21" t="s">
        <v>19</v>
      </c>
      <c r="E2902" s="21" t="s">
        <v>808</v>
      </c>
      <c r="F2902" s="21" t="str">
        <f>"2170724180 "</f>
        <v xml:space="preserve">2170724180 </v>
      </c>
      <c r="G2902" s="21" t="str">
        <f t="shared" si="83"/>
        <v>ON1</v>
      </c>
      <c r="H2902" s="21" t="s">
        <v>21</v>
      </c>
      <c r="I2902" s="21" t="s">
        <v>488</v>
      </c>
      <c r="J2902" s="21" t="str">
        <f>""</f>
        <v/>
      </c>
      <c r="K2902" s="21" t="str">
        <f>"PFES1162733297_0001"</f>
        <v>PFES1162733297_0001</v>
      </c>
      <c r="L2902" s="21">
        <v>1</v>
      </c>
      <c r="M2902" s="21">
        <v>3</v>
      </c>
    </row>
    <row r="2903" spans="1:13">
      <c r="A2903" s="6">
        <v>43858</v>
      </c>
      <c r="B2903" s="7">
        <v>0.50763888888888886</v>
      </c>
      <c r="C2903" s="21" t="str">
        <f>"FES1162733290"</f>
        <v>FES1162733290</v>
      </c>
      <c r="D2903" s="21" t="s">
        <v>19</v>
      </c>
      <c r="E2903" s="21" t="s">
        <v>222</v>
      </c>
      <c r="F2903" s="21" t="str">
        <f>"2170721108 "</f>
        <v xml:space="preserve">2170721108 </v>
      </c>
      <c r="G2903" s="21" t="str">
        <f t="shared" si="83"/>
        <v>ON1</v>
      </c>
      <c r="H2903" s="21" t="s">
        <v>21</v>
      </c>
      <c r="I2903" s="21" t="s">
        <v>28</v>
      </c>
      <c r="J2903" s="21" t="str">
        <f>""</f>
        <v/>
      </c>
      <c r="K2903" s="21" t="str">
        <f>"PFES1162733290_0001"</f>
        <v>PFES1162733290_0001</v>
      </c>
      <c r="L2903" s="21">
        <v>1</v>
      </c>
      <c r="M2903" s="21">
        <v>2</v>
      </c>
    </row>
    <row r="2904" spans="1:13">
      <c r="A2904" s="6">
        <v>43858</v>
      </c>
      <c r="B2904" s="7">
        <v>0.50763888888888886</v>
      </c>
      <c r="C2904" s="21" t="str">
        <f>"FES1162733240"</f>
        <v>FES1162733240</v>
      </c>
      <c r="D2904" s="21" t="s">
        <v>19</v>
      </c>
      <c r="E2904" s="21" t="s">
        <v>64</v>
      </c>
      <c r="F2904" s="21" t="str">
        <f>"2170725260 "</f>
        <v xml:space="preserve">2170725260 </v>
      </c>
      <c r="G2904" s="21" t="str">
        <f t="shared" si="83"/>
        <v>ON1</v>
      </c>
      <c r="H2904" s="21" t="s">
        <v>21</v>
      </c>
      <c r="I2904" s="21" t="s">
        <v>60</v>
      </c>
      <c r="J2904" s="21" t="str">
        <f>""</f>
        <v/>
      </c>
      <c r="K2904" s="21" t="str">
        <f>"PFES1162733240_0001"</f>
        <v>PFES1162733240_0001</v>
      </c>
      <c r="L2904" s="21">
        <v>2</v>
      </c>
      <c r="M2904" s="21">
        <v>4</v>
      </c>
    </row>
    <row r="2905" spans="1:13">
      <c r="A2905" s="6">
        <v>43858</v>
      </c>
      <c r="B2905" s="7">
        <v>0.50763888888888886</v>
      </c>
      <c r="C2905" s="21" t="str">
        <f>"FES1162733240"</f>
        <v>FES1162733240</v>
      </c>
      <c r="D2905" s="21" t="s">
        <v>19</v>
      </c>
      <c r="E2905" s="21" t="s">
        <v>64</v>
      </c>
      <c r="F2905" s="21" t="str">
        <f>"2170725260 "</f>
        <v xml:space="preserve">2170725260 </v>
      </c>
      <c r="G2905" s="21" t="str">
        <f t="shared" si="83"/>
        <v>ON1</v>
      </c>
      <c r="H2905" s="21" t="s">
        <v>21</v>
      </c>
      <c r="I2905" s="21" t="s">
        <v>60</v>
      </c>
      <c r="J2905" s="21"/>
      <c r="K2905" s="21" t="str">
        <f>"PFES1162733240_0002"</f>
        <v>PFES1162733240_0002</v>
      </c>
      <c r="L2905" s="21">
        <v>2</v>
      </c>
      <c r="M2905" s="21">
        <v>4</v>
      </c>
    </row>
    <row r="2906" spans="1:13">
      <c r="A2906" s="6">
        <v>43858</v>
      </c>
      <c r="B2906" s="7">
        <v>0.50694444444444442</v>
      </c>
      <c r="C2906" s="21" t="str">
        <f>"FES1162733243"</f>
        <v>FES1162733243</v>
      </c>
      <c r="D2906" s="21" t="s">
        <v>19</v>
      </c>
      <c r="E2906" s="21" t="s">
        <v>835</v>
      </c>
      <c r="F2906" s="21" t="str">
        <f>"2170725326 "</f>
        <v xml:space="preserve">2170725326 </v>
      </c>
      <c r="G2906" s="21" t="str">
        <f t="shared" si="83"/>
        <v>ON1</v>
      </c>
      <c r="H2906" s="21" t="s">
        <v>21</v>
      </c>
      <c r="I2906" s="21" t="s">
        <v>36</v>
      </c>
      <c r="J2906" s="21" t="str">
        <f>""</f>
        <v/>
      </c>
      <c r="K2906" s="21" t="str">
        <f>"PFES1162733243_0001"</f>
        <v>PFES1162733243_0001</v>
      </c>
      <c r="L2906" s="21">
        <v>1</v>
      </c>
      <c r="M2906" s="21">
        <v>3</v>
      </c>
    </row>
    <row r="2907" spans="1:13">
      <c r="A2907" s="6">
        <v>43858</v>
      </c>
      <c r="B2907" s="7">
        <v>0.50694444444444442</v>
      </c>
      <c r="C2907" s="21" t="str">
        <f>"FES1162733229"</f>
        <v>FES1162733229</v>
      </c>
      <c r="D2907" s="21" t="s">
        <v>19</v>
      </c>
      <c r="E2907" s="21" t="s">
        <v>660</v>
      </c>
      <c r="F2907" s="21" t="str">
        <f>"2170723132 "</f>
        <v xml:space="preserve">2170723132 </v>
      </c>
      <c r="G2907" s="21" t="str">
        <f t="shared" si="83"/>
        <v>ON1</v>
      </c>
      <c r="H2907" s="21" t="s">
        <v>21</v>
      </c>
      <c r="I2907" s="21" t="s">
        <v>60</v>
      </c>
      <c r="J2907" s="21" t="str">
        <f>""</f>
        <v/>
      </c>
      <c r="K2907" s="21" t="str">
        <f>"PFES1162733229_0001"</f>
        <v>PFES1162733229_0001</v>
      </c>
      <c r="L2907" s="21">
        <v>1</v>
      </c>
      <c r="M2907" s="21">
        <v>3</v>
      </c>
    </row>
    <row r="2908" spans="1:13">
      <c r="A2908" s="6">
        <v>43858</v>
      </c>
      <c r="B2908" s="7">
        <v>0.50694444444444442</v>
      </c>
      <c r="C2908" s="21" t="str">
        <f>"FES1162733318"</f>
        <v>FES1162733318</v>
      </c>
      <c r="D2908" s="21" t="s">
        <v>19</v>
      </c>
      <c r="E2908" s="21" t="s">
        <v>1041</v>
      </c>
      <c r="F2908" s="21" t="str">
        <f>"2170725826 "</f>
        <v xml:space="preserve">2170725826 </v>
      </c>
      <c r="G2908" s="21" t="str">
        <f t="shared" si="83"/>
        <v>ON1</v>
      </c>
      <c r="H2908" s="21" t="s">
        <v>21</v>
      </c>
      <c r="I2908" s="21" t="s">
        <v>49</v>
      </c>
      <c r="J2908" s="21" t="str">
        <f>""</f>
        <v/>
      </c>
      <c r="K2908" s="21" t="str">
        <f>"PFES1162733318_0001"</f>
        <v>PFES1162733318_0001</v>
      </c>
      <c r="L2908" s="21">
        <v>1</v>
      </c>
      <c r="M2908" s="21">
        <v>1</v>
      </c>
    </row>
    <row r="2909" spans="1:13">
      <c r="A2909" s="6">
        <v>43858</v>
      </c>
      <c r="B2909" s="7">
        <v>0.50624999999999998</v>
      </c>
      <c r="C2909" s="21" t="str">
        <f>"FES1162733293"</f>
        <v>FES1162733293</v>
      </c>
      <c r="D2909" s="21" t="s">
        <v>19</v>
      </c>
      <c r="E2909" s="21" t="s">
        <v>352</v>
      </c>
      <c r="F2909" s="21" t="str">
        <f>"2170722310 "</f>
        <v xml:space="preserve">2170722310 </v>
      </c>
      <c r="G2909" s="21" t="str">
        <f t="shared" si="83"/>
        <v>ON1</v>
      </c>
      <c r="H2909" s="21" t="s">
        <v>21</v>
      </c>
      <c r="I2909" s="21" t="s">
        <v>114</v>
      </c>
      <c r="J2909" s="21" t="str">
        <f>""</f>
        <v/>
      </c>
      <c r="K2909" s="21" t="str">
        <f>"PFES1162733293_0001"</f>
        <v>PFES1162733293_0001</v>
      </c>
      <c r="L2909" s="21">
        <v>1</v>
      </c>
      <c r="M2909" s="21">
        <v>14</v>
      </c>
    </row>
    <row r="2910" spans="1:13">
      <c r="A2910" s="6">
        <v>43858</v>
      </c>
      <c r="B2910" s="7">
        <v>0.50624999999999998</v>
      </c>
      <c r="C2910" s="21" t="str">
        <f>"FES1162733295"</f>
        <v>FES1162733295</v>
      </c>
      <c r="D2910" s="21" t="s">
        <v>19</v>
      </c>
      <c r="E2910" s="21" t="s">
        <v>352</v>
      </c>
      <c r="F2910" s="21" t="str">
        <f>"2170723744 "</f>
        <v xml:space="preserve">2170723744 </v>
      </c>
      <c r="G2910" s="21" t="str">
        <f t="shared" si="83"/>
        <v>ON1</v>
      </c>
      <c r="H2910" s="21" t="s">
        <v>21</v>
      </c>
      <c r="I2910" s="21" t="s">
        <v>114</v>
      </c>
      <c r="J2910" s="21" t="str">
        <f>""</f>
        <v/>
      </c>
      <c r="K2910" s="21" t="str">
        <f>"PFES1162733295_0001"</f>
        <v>PFES1162733295_0001</v>
      </c>
      <c r="L2910" s="21">
        <v>1</v>
      </c>
      <c r="M2910" s="21">
        <v>1</v>
      </c>
    </row>
    <row r="2911" spans="1:13">
      <c r="A2911" s="6">
        <v>43858</v>
      </c>
      <c r="B2911" s="7">
        <v>0.50624999999999998</v>
      </c>
      <c r="C2911" s="21" t="str">
        <f>"FES1162733273"</f>
        <v>FES1162733273</v>
      </c>
      <c r="D2911" s="21" t="s">
        <v>19</v>
      </c>
      <c r="E2911" s="21" t="s">
        <v>742</v>
      </c>
      <c r="F2911" s="21" t="str">
        <f>"2170725783 "</f>
        <v xml:space="preserve">2170725783 </v>
      </c>
      <c r="G2911" s="21" t="str">
        <f t="shared" si="83"/>
        <v>ON1</v>
      </c>
      <c r="H2911" s="21" t="s">
        <v>21</v>
      </c>
      <c r="I2911" s="21" t="s">
        <v>743</v>
      </c>
      <c r="J2911" s="21" t="str">
        <f>""</f>
        <v/>
      </c>
      <c r="K2911" s="21" t="str">
        <f>"PFES1162733273_0001"</f>
        <v>PFES1162733273_0001</v>
      </c>
      <c r="L2911" s="21">
        <v>1</v>
      </c>
      <c r="M2911" s="21">
        <v>2</v>
      </c>
    </row>
    <row r="2912" spans="1:13">
      <c r="A2912" s="6">
        <v>43858</v>
      </c>
      <c r="B2912" s="7">
        <v>0.50555555555555554</v>
      </c>
      <c r="C2912" s="21" t="str">
        <f>"FES1162733250"</f>
        <v>FES1162733250</v>
      </c>
      <c r="D2912" s="21" t="s">
        <v>19</v>
      </c>
      <c r="E2912" s="21" t="s">
        <v>1042</v>
      </c>
      <c r="F2912" s="21" t="str">
        <f>"21707255755 "</f>
        <v xml:space="preserve">21707255755 </v>
      </c>
      <c r="G2912" s="21" t="str">
        <f t="shared" si="83"/>
        <v>ON1</v>
      </c>
      <c r="H2912" s="21" t="s">
        <v>21</v>
      </c>
      <c r="I2912" s="21" t="s">
        <v>1043</v>
      </c>
      <c r="J2912" s="21" t="str">
        <f>""</f>
        <v/>
      </c>
      <c r="K2912" s="21" t="str">
        <f>"PFES1162733250_0001"</f>
        <v>PFES1162733250_0001</v>
      </c>
      <c r="L2912" s="21">
        <v>1</v>
      </c>
      <c r="M2912" s="21">
        <v>1</v>
      </c>
    </row>
    <row r="2913" spans="1:13">
      <c r="A2913" s="6">
        <v>43858</v>
      </c>
      <c r="B2913" s="7">
        <v>0.50555555555555554</v>
      </c>
      <c r="C2913" s="21" t="str">
        <f>"FES1162733335"</f>
        <v>FES1162733335</v>
      </c>
      <c r="D2913" s="21" t="s">
        <v>19</v>
      </c>
      <c r="E2913" s="21" t="s">
        <v>1044</v>
      </c>
      <c r="F2913" s="21" t="str">
        <f>"2170725855 "</f>
        <v xml:space="preserve">2170725855 </v>
      </c>
      <c r="G2913" s="21" t="str">
        <f t="shared" si="83"/>
        <v>ON1</v>
      </c>
      <c r="H2913" s="21" t="s">
        <v>21</v>
      </c>
      <c r="I2913" s="21" t="s">
        <v>152</v>
      </c>
      <c r="J2913" s="21" t="str">
        <f>""</f>
        <v/>
      </c>
      <c r="K2913" s="21" t="str">
        <f>"PFES1162733335_0001"</f>
        <v>PFES1162733335_0001</v>
      </c>
      <c r="L2913" s="21">
        <v>1</v>
      </c>
      <c r="M2913" s="21">
        <v>3</v>
      </c>
    </row>
    <row r="2914" spans="1:13">
      <c r="A2914" s="6">
        <v>43858</v>
      </c>
      <c r="B2914" s="7">
        <v>0.50555555555555554</v>
      </c>
      <c r="C2914" s="21" t="str">
        <f>"FES1162733252"</f>
        <v>FES1162733252</v>
      </c>
      <c r="D2914" s="21" t="s">
        <v>19</v>
      </c>
      <c r="E2914" s="21" t="s">
        <v>259</v>
      </c>
      <c r="F2914" s="21" t="str">
        <f>"2170725760 "</f>
        <v xml:space="preserve">2170725760 </v>
      </c>
      <c r="G2914" s="21" t="str">
        <f t="shared" si="83"/>
        <v>ON1</v>
      </c>
      <c r="H2914" s="21" t="s">
        <v>21</v>
      </c>
      <c r="I2914" s="21" t="s">
        <v>260</v>
      </c>
      <c r="J2914" s="21" t="str">
        <f>""</f>
        <v/>
      </c>
      <c r="K2914" s="21" t="str">
        <f>"PFES1162733252_0001"</f>
        <v>PFES1162733252_0001</v>
      </c>
      <c r="L2914" s="21">
        <v>1</v>
      </c>
      <c r="M2914" s="21">
        <v>2</v>
      </c>
    </row>
    <row r="2915" spans="1:13">
      <c r="A2915" s="6">
        <v>43858</v>
      </c>
      <c r="B2915" s="7">
        <v>0.50486111111111109</v>
      </c>
      <c r="C2915" s="21" t="str">
        <f>"FES1162733251"</f>
        <v>FES1162733251</v>
      </c>
      <c r="D2915" s="21" t="s">
        <v>19</v>
      </c>
      <c r="E2915" s="21" t="s">
        <v>737</v>
      </c>
      <c r="F2915" s="21" t="str">
        <f>"2170725758 "</f>
        <v xml:space="preserve">2170725758 </v>
      </c>
      <c r="G2915" s="21" t="str">
        <f t="shared" si="83"/>
        <v>ON1</v>
      </c>
      <c r="H2915" s="21" t="s">
        <v>21</v>
      </c>
      <c r="I2915" s="21" t="s">
        <v>139</v>
      </c>
      <c r="J2915" s="21" t="str">
        <f>""</f>
        <v/>
      </c>
      <c r="K2915" s="21" t="str">
        <f>"PFES1162733251_0001"</f>
        <v>PFES1162733251_0001</v>
      </c>
      <c r="L2915" s="21">
        <v>1</v>
      </c>
      <c r="M2915" s="21">
        <v>1</v>
      </c>
    </row>
    <row r="2916" spans="1:13">
      <c r="A2916" s="6">
        <v>43858</v>
      </c>
      <c r="B2916" s="7">
        <v>0.50486111111111109</v>
      </c>
      <c r="C2916" s="21" t="str">
        <f>"FES1162733218"</f>
        <v>FES1162733218</v>
      </c>
      <c r="D2916" s="21" t="s">
        <v>19</v>
      </c>
      <c r="E2916" s="21" t="s">
        <v>1006</v>
      </c>
      <c r="F2916" s="21" t="str">
        <f>"2170725536 "</f>
        <v xml:space="preserve">2170725536 </v>
      </c>
      <c r="G2916" s="21" t="str">
        <f t="shared" si="83"/>
        <v>ON1</v>
      </c>
      <c r="H2916" s="21" t="s">
        <v>21</v>
      </c>
      <c r="I2916" s="21" t="s">
        <v>272</v>
      </c>
      <c r="J2916" s="21" t="str">
        <f>""</f>
        <v/>
      </c>
      <c r="K2916" s="21" t="str">
        <f>"PFES1162733218_0001"</f>
        <v>PFES1162733218_0001</v>
      </c>
      <c r="L2916" s="21">
        <v>1</v>
      </c>
      <c r="M2916" s="21">
        <v>2</v>
      </c>
    </row>
    <row r="2917" spans="1:13">
      <c r="A2917" s="6">
        <v>43858</v>
      </c>
      <c r="B2917" s="7">
        <v>0.41666666666666669</v>
      </c>
      <c r="C2917" s="21" t="str">
        <f>"009935712119"</f>
        <v>009935712119</v>
      </c>
      <c r="D2917" s="21" t="s">
        <v>19</v>
      </c>
      <c r="E2917" s="21" t="s">
        <v>384</v>
      </c>
      <c r="F2917" s="21" t="str">
        <f>"1162730674 "</f>
        <v xml:space="preserve">1162730674 </v>
      </c>
      <c r="G2917" s="21" t="str">
        <f t="shared" si="83"/>
        <v>ON1</v>
      </c>
      <c r="H2917" s="21" t="s">
        <v>21</v>
      </c>
      <c r="I2917" s="21" t="s">
        <v>1045</v>
      </c>
      <c r="J2917" s="21" t="str">
        <f>"RE SEND PARCEL"</f>
        <v>RE SEND PARCEL</v>
      </c>
      <c r="K2917" s="21" t="str">
        <f>"P009935712119_0001"</f>
        <v>P009935712119_0001</v>
      </c>
      <c r="L2917" s="21">
        <v>1</v>
      </c>
      <c r="M2917" s="21">
        <v>1</v>
      </c>
    </row>
    <row r="2918" spans="1:13">
      <c r="A2918" s="6">
        <v>43859</v>
      </c>
      <c r="B2918" s="7">
        <v>0.68055555555555547</v>
      </c>
      <c r="C2918" s="22" t="str">
        <f>"FES1162733497"</f>
        <v>FES1162733497</v>
      </c>
      <c r="D2918" s="22" t="s">
        <v>19</v>
      </c>
      <c r="E2918" s="22" t="s">
        <v>1046</v>
      </c>
      <c r="F2918" s="22" t="str">
        <f>"2170724058 "</f>
        <v xml:space="preserve">2170724058 </v>
      </c>
      <c r="G2918" s="22" t="str">
        <f t="shared" si="83"/>
        <v>ON1</v>
      </c>
      <c r="H2918" s="22" t="s">
        <v>21</v>
      </c>
      <c r="I2918" s="22" t="s">
        <v>270</v>
      </c>
      <c r="J2918" s="22" t="str">
        <f>""</f>
        <v/>
      </c>
      <c r="K2918" s="22" t="str">
        <f>"PFES1162733497_0001"</f>
        <v>PFES1162733497_0001</v>
      </c>
      <c r="L2918" s="22">
        <v>1</v>
      </c>
      <c r="M2918" s="22">
        <v>1</v>
      </c>
    </row>
    <row r="2919" spans="1:13">
      <c r="A2919" s="6">
        <v>43859</v>
      </c>
      <c r="B2919" s="7">
        <v>0.68055555555555547</v>
      </c>
      <c r="C2919" s="22" t="str">
        <f>"FES1162733633"</f>
        <v>FES1162733633</v>
      </c>
      <c r="D2919" s="22" t="s">
        <v>19</v>
      </c>
      <c r="E2919" s="22" t="s">
        <v>331</v>
      </c>
      <c r="F2919" s="22" t="str">
        <f>"2170726191 "</f>
        <v xml:space="preserve">2170726191 </v>
      </c>
      <c r="G2919" s="22" t="str">
        <f t="shared" si="83"/>
        <v>ON1</v>
      </c>
      <c r="H2919" s="22" t="s">
        <v>21</v>
      </c>
      <c r="I2919" s="22" t="s">
        <v>303</v>
      </c>
      <c r="J2919" s="22" t="str">
        <f>""</f>
        <v/>
      </c>
      <c r="K2919" s="22" t="str">
        <f>"PFES1162733633_0001"</f>
        <v>PFES1162733633_0001</v>
      </c>
      <c r="L2919" s="22">
        <v>1</v>
      </c>
      <c r="M2919" s="22">
        <v>9</v>
      </c>
    </row>
    <row r="2920" spans="1:13">
      <c r="A2920" s="6">
        <v>43859</v>
      </c>
      <c r="B2920" s="7">
        <v>0.68055555555555547</v>
      </c>
      <c r="C2920" s="22" t="str">
        <f>"FES1162733621"</f>
        <v>FES1162733621</v>
      </c>
      <c r="D2920" s="22" t="s">
        <v>19</v>
      </c>
      <c r="E2920" s="22" t="s">
        <v>352</v>
      </c>
      <c r="F2920" s="22" t="str">
        <f>"2170723746 "</f>
        <v xml:space="preserve">2170723746 </v>
      </c>
      <c r="G2920" s="22" t="str">
        <f t="shared" ref="G2920:G2933" si="84">"ON1"</f>
        <v>ON1</v>
      </c>
      <c r="H2920" s="22" t="s">
        <v>21</v>
      </c>
      <c r="I2920" s="22" t="s">
        <v>114</v>
      </c>
      <c r="J2920" s="22" t="str">
        <f>""</f>
        <v/>
      </c>
      <c r="K2920" s="22" t="str">
        <f>"PFES1162733621_0001"</f>
        <v>PFES1162733621_0001</v>
      </c>
      <c r="L2920" s="22">
        <v>1</v>
      </c>
      <c r="M2920" s="22">
        <v>4</v>
      </c>
    </row>
    <row r="2921" spans="1:13">
      <c r="A2921" s="6">
        <v>43859</v>
      </c>
      <c r="B2921" s="7">
        <v>0.67986111111111114</v>
      </c>
      <c r="C2921" s="22" t="str">
        <f>"FES1162733601"</f>
        <v>FES1162733601</v>
      </c>
      <c r="D2921" s="22" t="s">
        <v>19</v>
      </c>
      <c r="E2921" s="22" t="s">
        <v>232</v>
      </c>
      <c r="F2921" s="22" t="str">
        <f>"2170726167 "</f>
        <v xml:space="preserve">2170726167 </v>
      </c>
      <c r="G2921" s="22" t="str">
        <f t="shared" si="84"/>
        <v>ON1</v>
      </c>
      <c r="H2921" s="22" t="s">
        <v>21</v>
      </c>
      <c r="I2921" s="22" t="s">
        <v>247</v>
      </c>
      <c r="J2921" s="22" t="str">
        <f>""</f>
        <v/>
      </c>
      <c r="K2921" s="22" t="str">
        <f>"PFES1162733601_0001"</f>
        <v>PFES1162733601_0001</v>
      </c>
      <c r="L2921" s="22">
        <v>1</v>
      </c>
      <c r="M2921" s="22">
        <v>3</v>
      </c>
    </row>
    <row r="2922" spans="1:13">
      <c r="A2922" s="6">
        <v>43859</v>
      </c>
      <c r="B2922" s="7">
        <v>0.67986111111111114</v>
      </c>
      <c r="C2922" s="22" t="str">
        <f>"FES1162733612"</f>
        <v>FES1162733612</v>
      </c>
      <c r="D2922" s="22" t="s">
        <v>19</v>
      </c>
      <c r="E2922" s="22" t="s">
        <v>232</v>
      </c>
      <c r="F2922" s="22" t="str">
        <f>"2170726172 "</f>
        <v xml:space="preserve">2170726172 </v>
      </c>
      <c r="G2922" s="22" t="str">
        <f t="shared" si="84"/>
        <v>ON1</v>
      </c>
      <c r="H2922" s="22" t="s">
        <v>21</v>
      </c>
      <c r="I2922" s="22" t="s">
        <v>247</v>
      </c>
      <c r="J2922" s="22" t="str">
        <f>""</f>
        <v/>
      </c>
      <c r="K2922" s="22" t="str">
        <f>"PFES1162733612_0001"</f>
        <v>PFES1162733612_0001</v>
      </c>
      <c r="L2922" s="22">
        <v>1</v>
      </c>
      <c r="M2922" s="22">
        <v>2</v>
      </c>
    </row>
    <row r="2923" spans="1:13">
      <c r="A2923" s="6">
        <v>43859</v>
      </c>
      <c r="B2923" s="7">
        <v>0.67986111111111114</v>
      </c>
      <c r="C2923" s="22" t="str">
        <f>"FES1162733632"</f>
        <v>FES1162733632</v>
      </c>
      <c r="D2923" s="22" t="s">
        <v>19</v>
      </c>
      <c r="E2923" s="22" t="s">
        <v>737</v>
      </c>
      <c r="F2923" s="22" t="str">
        <f>"2170726190 "</f>
        <v xml:space="preserve">2170726190 </v>
      </c>
      <c r="G2923" s="22" t="str">
        <f t="shared" si="84"/>
        <v>ON1</v>
      </c>
      <c r="H2923" s="22" t="s">
        <v>21</v>
      </c>
      <c r="I2923" s="22" t="s">
        <v>139</v>
      </c>
      <c r="J2923" s="22" t="str">
        <f>""</f>
        <v/>
      </c>
      <c r="K2923" s="22" t="str">
        <f>"PFES1162733632_0001"</f>
        <v>PFES1162733632_0001</v>
      </c>
      <c r="L2923" s="22">
        <v>1</v>
      </c>
      <c r="M2923" s="22">
        <v>1</v>
      </c>
    </row>
    <row r="2924" spans="1:13">
      <c r="A2924" s="6">
        <v>43859</v>
      </c>
      <c r="B2924" s="7">
        <v>0.6791666666666667</v>
      </c>
      <c r="C2924" s="22" t="str">
        <f>"FES1162733629"</f>
        <v>FES1162733629</v>
      </c>
      <c r="D2924" s="22" t="s">
        <v>19</v>
      </c>
      <c r="E2924" s="22" t="s">
        <v>637</v>
      </c>
      <c r="F2924" s="22" t="str">
        <f>"2170726186 "</f>
        <v xml:space="preserve">2170726186 </v>
      </c>
      <c r="G2924" s="22" t="str">
        <f t="shared" si="84"/>
        <v>ON1</v>
      </c>
      <c r="H2924" s="22" t="s">
        <v>21</v>
      </c>
      <c r="I2924" s="22" t="s">
        <v>638</v>
      </c>
      <c r="J2924" s="22" t="str">
        <f>""</f>
        <v/>
      </c>
      <c r="K2924" s="22" t="str">
        <f>"PFES1162733629_0001"</f>
        <v>PFES1162733629_0001</v>
      </c>
      <c r="L2924" s="22">
        <v>1</v>
      </c>
      <c r="M2924" s="22">
        <v>1</v>
      </c>
    </row>
    <row r="2925" spans="1:13">
      <c r="A2925" s="6">
        <v>43859</v>
      </c>
      <c r="B2925" s="7">
        <v>0.67847222222222225</v>
      </c>
      <c r="C2925" s="22" t="str">
        <f>"FES1162733581"</f>
        <v>FES1162733581</v>
      </c>
      <c r="D2925" s="22" t="s">
        <v>19</v>
      </c>
      <c r="E2925" s="22" t="s">
        <v>240</v>
      </c>
      <c r="F2925" s="22" t="str">
        <f>"2170726135 "</f>
        <v xml:space="preserve">2170726135 </v>
      </c>
      <c r="G2925" s="22" t="str">
        <f t="shared" si="84"/>
        <v>ON1</v>
      </c>
      <c r="H2925" s="22" t="s">
        <v>21</v>
      </c>
      <c r="I2925" s="22" t="s">
        <v>241</v>
      </c>
      <c r="J2925" s="22" t="str">
        <f>""</f>
        <v/>
      </c>
      <c r="K2925" s="22" t="str">
        <f>"PFES1162733581_0001"</f>
        <v>PFES1162733581_0001</v>
      </c>
      <c r="L2925" s="22">
        <v>1</v>
      </c>
      <c r="M2925" s="22">
        <v>1</v>
      </c>
    </row>
    <row r="2926" spans="1:13">
      <c r="A2926" s="6">
        <v>43859</v>
      </c>
      <c r="B2926" s="7">
        <v>0.6777777777777777</v>
      </c>
      <c r="C2926" s="22" t="str">
        <f>"FES1162733620"</f>
        <v>FES1162733620</v>
      </c>
      <c r="D2926" s="22" t="s">
        <v>19</v>
      </c>
      <c r="E2926" s="22" t="s">
        <v>637</v>
      </c>
      <c r="F2926" s="22" t="str">
        <f>"2170726183 "</f>
        <v xml:space="preserve">2170726183 </v>
      </c>
      <c r="G2926" s="22" t="str">
        <f t="shared" si="84"/>
        <v>ON1</v>
      </c>
      <c r="H2926" s="22" t="s">
        <v>21</v>
      </c>
      <c r="I2926" s="22" t="s">
        <v>638</v>
      </c>
      <c r="J2926" s="22" t="str">
        <f>""</f>
        <v/>
      </c>
      <c r="K2926" s="22" t="str">
        <f>"PFES1162733620_0001"</f>
        <v>PFES1162733620_0001</v>
      </c>
      <c r="L2926" s="22">
        <v>1</v>
      </c>
      <c r="M2926" s="22">
        <v>1</v>
      </c>
    </row>
    <row r="2927" spans="1:13">
      <c r="A2927" s="6">
        <v>43859</v>
      </c>
      <c r="B2927" s="7">
        <v>0.67708333333333337</v>
      </c>
      <c r="C2927" s="22" t="str">
        <f>"FES1162733617"</f>
        <v>FES1162733617</v>
      </c>
      <c r="D2927" s="22" t="s">
        <v>19</v>
      </c>
      <c r="E2927" s="22" t="s">
        <v>132</v>
      </c>
      <c r="F2927" s="22" t="str">
        <f>"2170725142 "</f>
        <v xml:space="preserve">2170725142 </v>
      </c>
      <c r="G2927" s="22" t="str">
        <f t="shared" si="84"/>
        <v>ON1</v>
      </c>
      <c r="H2927" s="22" t="s">
        <v>21</v>
      </c>
      <c r="I2927" s="22" t="s">
        <v>133</v>
      </c>
      <c r="J2927" s="22" t="str">
        <f>""</f>
        <v/>
      </c>
      <c r="K2927" s="22" t="str">
        <f>"PFES1162733617_0001"</f>
        <v>PFES1162733617_0001</v>
      </c>
      <c r="L2927" s="22">
        <v>1</v>
      </c>
      <c r="M2927" s="22">
        <v>2</v>
      </c>
    </row>
    <row r="2928" spans="1:13">
      <c r="A2928" s="6">
        <v>43859</v>
      </c>
      <c r="B2928" s="7">
        <v>0.67638888888888893</v>
      </c>
      <c r="C2928" s="22" t="str">
        <f>"FES1162733618"</f>
        <v>FES1162733618</v>
      </c>
      <c r="D2928" s="22" t="s">
        <v>19</v>
      </c>
      <c r="E2928" s="22" t="s">
        <v>132</v>
      </c>
      <c r="F2928" s="22" t="str">
        <f>"2170725144 "</f>
        <v xml:space="preserve">2170725144 </v>
      </c>
      <c r="G2928" s="22" t="str">
        <f t="shared" si="84"/>
        <v>ON1</v>
      </c>
      <c r="H2928" s="22" t="s">
        <v>21</v>
      </c>
      <c r="I2928" s="22" t="s">
        <v>133</v>
      </c>
      <c r="J2928" s="22" t="str">
        <f>""</f>
        <v/>
      </c>
      <c r="K2928" s="22" t="str">
        <f>"PFES1162733618_0001"</f>
        <v>PFES1162733618_0001</v>
      </c>
      <c r="L2928" s="22">
        <v>1</v>
      </c>
      <c r="M2928" s="22">
        <v>3</v>
      </c>
    </row>
    <row r="2929" spans="1:13">
      <c r="A2929" s="6">
        <v>43859</v>
      </c>
      <c r="B2929" s="7">
        <v>0.6743055555555556</v>
      </c>
      <c r="C2929" s="22" t="str">
        <f>"FES1162733614"</f>
        <v>FES1162733614</v>
      </c>
      <c r="D2929" s="22" t="s">
        <v>19</v>
      </c>
      <c r="E2929" s="22" t="s">
        <v>354</v>
      </c>
      <c r="F2929" s="22" t="str">
        <f>"2170726177 "</f>
        <v xml:space="preserve">2170726177 </v>
      </c>
      <c r="G2929" s="22" t="str">
        <f t="shared" si="84"/>
        <v>ON1</v>
      </c>
      <c r="H2929" s="22" t="s">
        <v>21</v>
      </c>
      <c r="I2929" s="22" t="s">
        <v>355</v>
      </c>
      <c r="J2929" s="22" t="str">
        <f>""</f>
        <v/>
      </c>
      <c r="K2929" s="22" t="str">
        <f>"PFES1162733614_0001"</f>
        <v>PFES1162733614_0001</v>
      </c>
      <c r="L2929" s="22">
        <v>1</v>
      </c>
      <c r="M2929" s="22">
        <v>2</v>
      </c>
    </row>
    <row r="2930" spans="1:13">
      <c r="A2930" s="6">
        <v>43859</v>
      </c>
      <c r="B2930" s="7">
        <v>0.67361111111111116</v>
      </c>
      <c r="C2930" s="22" t="str">
        <f>"FES1162733604"</f>
        <v>FES1162733604</v>
      </c>
      <c r="D2930" s="22" t="s">
        <v>19</v>
      </c>
      <c r="E2930" s="22" t="s">
        <v>232</v>
      </c>
      <c r="F2930" s="22" t="str">
        <f>"2170726170 "</f>
        <v xml:space="preserve">2170726170 </v>
      </c>
      <c r="G2930" s="22" t="str">
        <f t="shared" si="84"/>
        <v>ON1</v>
      </c>
      <c r="H2930" s="22" t="s">
        <v>21</v>
      </c>
      <c r="I2930" s="22" t="s">
        <v>247</v>
      </c>
      <c r="J2930" s="22" t="str">
        <f>""</f>
        <v/>
      </c>
      <c r="K2930" s="22" t="str">
        <f>"PFES1162733604_0001"</f>
        <v>PFES1162733604_0001</v>
      </c>
      <c r="L2930" s="22">
        <v>1</v>
      </c>
      <c r="M2930" s="22">
        <v>7</v>
      </c>
    </row>
    <row r="2931" spans="1:13">
      <c r="A2931" s="6">
        <v>43859</v>
      </c>
      <c r="B2931" s="7">
        <v>0.67361111111111116</v>
      </c>
      <c r="C2931" s="22" t="str">
        <f>"FES1162733609"</f>
        <v>FES1162733609</v>
      </c>
      <c r="D2931" s="22" t="s">
        <v>19</v>
      </c>
      <c r="E2931" s="22" t="s">
        <v>190</v>
      </c>
      <c r="F2931" s="22" t="str">
        <f>"2170722717 "</f>
        <v xml:space="preserve">2170722717 </v>
      </c>
      <c r="G2931" s="22" t="str">
        <f t="shared" si="84"/>
        <v>ON1</v>
      </c>
      <c r="H2931" s="22" t="s">
        <v>21</v>
      </c>
      <c r="I2931" s="22" t="s">
        <v>191</v>
      </c>
      <c r="J2931" s="22" t="str">
        <f>""</f>
        <v/>
      </c>
      <c r="K2931" s="22" t="str">
        <f>"PFES1162733609_0001"</f>
        <v>PFES1162733609_0001</v>
      </c>
      <c r="L2931" s="22">
        <v>1</v>
      </c>
      <c r="M2931" s="22">
        <v>2</v>
      </c>
    </row>
    <row r="2932" spans="1:13">
      <c r="A2932" s="6">
        <v>43859</v>
      </c>
      <c r="B2932" s="7">
        <v>0.67222222222222217</v>
      </c>
      <c r="C2932" s="22" t="str">
        <f>"FES1162733631"</f>
        <v>FES1162733631</v>
      </c>
      <c r="D2932" s="22" t="s">
        <v>19</v>
      </c>
      <c r="E2932" s="22" t="s">
        <v>1047</v>
      </c>
      <c r="F2932" s="22" t="str">
        <f>"2170726189 "</f>
        <v xml:space="preserve">2170726189 </v>
      </c>
      <c r="G2932" s="22" t="str">
        <f t="shared" si="84"/>
        <v>ON1</v>
      </c>
      <c r="H2932" s="22" t="s">
        <v>21</v>
      </c>
      <c r="I2932" s="22" t="s">
        <v>165</v>
      </c>
      <c r="J2932" s="22" t="str">
        <f>""</f>
        <v/>
      </c>
      <c r="K2932" s="22" t="str">
        <f>"PFES1162733631_0001"</f>
        <v>PFES1162733631_0001</v>
      </c>
      <c r="L2932" s="22">
        <v>1</v>
      </c>
      <c r="M2932" s="22">
        <v>1</v>
      </c>
    </row>
    <row r="2933" spans="1:13">
      <c r="A2933" s="6">
        <v>43859</v>
      </c>
      <c r="B2933" s="7">
        <v>0.67083333333333339</v>
      </c>
      <c r="C2933" s="22" t="str">
        <f>"FES1162733630"</f>
        <v>FES1162733630</v>
      </c>
      <c r="D2933" s="22" t="s">
        <v>19</v>
      </c>
      <c r="E2933" s="22" t="s">
        <v>596</v>
      </c>
      <c r="F2933" s="22" t="str">
        <f>"2170726187 "</f>
        <v xml:space="preserve">2170726187 </v>
      </c>
      <c r="G2933" s="22" t="str">
        <f t="shared" si="84"/>
        <v>ON1</v>
      </c>
      <c r="H2933" s="22" t="s">
        <v>21</v>
      </c>
      <c r="I2933" s="22" t="s">
        <v>31</v>
      </c>
      <c r="J2933" s="22" t="str">
        <f>""</f>
        <v/>
      </c>
      <c r="K2933" s="22" t="str">
        <f>"PFES1162733630_0001"</f>
        <v>PFES1162733630_0001</v>
      </c>
      <c r="L2933" s="22">
        <v>1</v>
      </c>
      <c r="M2933" s="22">
        <v>1</v>
      </c>
    </row>
    <row r="2934" spans="1:13">
      <c r="A2934" s="6">
        <v>43859</v>
      </c>
      <c r="B2934" s="7">
        <v>0.67083333333333339</v>
      </c>
      <c r="C2934" s="22" t="str">
        <f>"009935723371"</f>
        <v>009935723371</v>
      </c>
      <c r="D2934" s="22" t="s">
        <v>19</v>
      </c>
      <c r="E2934" s="22" t="s">
        <v>142</v>
      </c>
      <c r="F2934" s="22" t="str">
        <f>"1162729216 "</f>
        <v xml:space="preserve">1162729216 </v>
      </c>
      <c r="G2934" s="22" t="str">
        <f>"DBC"</f>
        <v>DBC</v>
      </c>
      <c r="H2934" s="22" t="s">
        <v>21</v>
      </c>
      <c r="I2934" s="22" t="s">
        <v>123</v>
      </c>
      <c r="J2934" s="22" t="str">
        <f>"resend"</f>
        <v>resend</v>
      </c>
      <c r="K2934" s="22" t="str">
        <f>"P009935723371_0001"</f>
        <v>P009935723371_0001</v>
      </c>
      <c r="L2934" s="22">
        <v>1</v>
      </c>
      <c r="M2934" s="22">
        <v>26</v>
      </c>
    </row>
    <row r="2935" spans="1:13">
      <c r="A2935" s="6">
        <v>43859</v>
      </c>
      <c r="B2935" s="7">
        <v>0.66666666666666663</v>
      </c>
      <c r="C2935" s="22" t="str">
        <f>"FES1162733610"</f>
        <v>FES1162733610</v>
      </c>
      <c r="D2935" s="22" t="s">
        <v>19</v>
      </c>
      <c r="E2935" s="22" t="s">
        <v>734</v>
      </c>
      <c r="F2935" s="22" t="str">
        <f>"2170723920 "</f>
        <v xml:space="preserve">2170723920 </v>
      </c>
      <c r="G2935" s="22" t="str">
        <f t="shared" ref="G2935:G2992" si="85">"ON1"</f>
        <v>ON1</v>
      </c>
      <c r="H2935" s="22" t="s">
        <v>21</v>
      </c>
      <c r="I2935" s="22" t="s">
        <v>49</v>
      </c>
      <c r="J2935" s="22" t="str">
        <f>""</f>
        <v/>
      </c>
      <c r="K2935" s="22" t="str">
        <f>"PFES1162733610_0001"</f>
        <v>PFES1162733610_0001</v>
      </c>
      <c r="L2935" s="22">
        <v>1</v>
      </c>
      <c r="M2935" s="22">
        <v>4</v>
      </c>
    </row>
    <row r="2936" spans="1:13">
      <c r="A2936" s="6">
        <v>43859</v>
      </c>
      <c r="B2936" s="7">
        <v>0.66249999999999998</v>
      </c>
      <c r="C2936" s="22" t="str">
        <f>"FES1162733613"</f>
        <v>FES1162733613</v>
      </c>
      <c r="D2936" s="22" t="s">
        <v>19</v>
      </c>
      <c r="E2936" s="22" t="s">
        <v>184</v>
      </c>
      <c r="F2936" s="22" t="str">
        <f>"2170726176 "</f>
        <v xml:space="preserve">2170726176 </v>
      </c>
      <c r="G2936" s="22" t="str">
        <f t="shared" si="85"/>
        <v>ON1</v>
      </c>
      <c r="H2936" s="22" t="s">
        <v>21</v>
      </c>
      <c r="I2936" s="22" t="s">
        <v>49</v>
      </c>
      <c r="J2936" s="22" t="str">
        <f>""</f>
        <v/>
      </c>
      <c r="K2936" s="22" t="str">
        <f>"PFES1162733613_0001"</f>
        <v>PFES1162733613_0001</v>
      </c>
      <c r="L2936" s="22">
        <v>1</v>
      </c>
      <c r="M2936" s="22">
        <v>1</v>
      </c>
    </row>
    <row r="2937" spans="1:13">
      <c r="A2937" s="6">
        <v>43859</v>
      </c>
      <c r="B2937" s="7">
        <v>0.65138888888888891</v>
      </c>
      <c r="C2937" s="22" t="str">
        <f>"FES1162733595"</f>
        <v>FES1162733595</v>
      </c>
      <c r="D2937" s="22" t="s">
        <v>19</v>
      </c>
      <c r="E2937" s="22" t="s">
        <v>395</v>
      </c>
      <c r="F2937" s="22" t="str">
        <f>"2170726159 "</f>
        <v xml:space="preserve">2170726159 </v>
      </c>
      <c r="G2937" s="22" t="str">
        <f t="shared" si="85"/>
        <v>ON1</v>
      </c>
      <c r="H2937" s="22" t="s">
        <v>21</v>
      </c>
      <c r="I2937" s="22" t="s">
        <v>396</v>
      </c>
      <c r="J2937" s="22" t="str">
        <f>""</f>
        <v/>
      </c>
      <c r="K2937" s="22" t="str">
        <f>"PFES1162733595_0001"</f>
        <v>PFES1162733595_0001</v>
      </c>
      <c r="L2937" s="22">
        <v>1</v>
      </c>
      <c r="M2937" s="22">
        <v>1</v>
      </c>
    </row>
    <row r="2938" spans="1:13">
      <c r="A2938" s="6">
        <v>43859</v>
      </c>
      <c r="B2938" s="7">
        <v>0.65138888888888891</v>
      </c>
      <c r="C2938" s="22" t="str">
        <f>"FES1162733606"</f>
        <v>FES1162733606</v>
      </c>
      <c r="D2938" s="22" t="s">
        <v>19</v>
      </c>
      <c r="E2938" s="22" t="s">
        <v>118</v>
      </c>
      <c r="F2938" s="22" t="str">
        <f>"2170726173 "</f>
        <v xml:space="preserve">2170726173 </v>
      </c>
      <c r="G2938" s="22" t="str">
        <f t="shared" si="85"/>
        <v>ON1</v>
      </c>
      <c r="H2938" s="22" t="s">
        <v>21</v>
      </c>
      <c r="I2938" s="22" t="s">
        <v>119</v>
      </c>
      <c r="J2938" s="22" t="str">
        <f>""</f>
        <v/>
      </c>
      <c r="K2938" s="22" t="str">
        <f>"PFES1162733606_0001"</f>
        <v>PFES1162733606_0001</v>
      </c>
      <c r="L2938" s="22">
        <v>1</v>
      </c>
      <c r="M2938" s="22">
        <v>1</v>
      </c>
    </row>
    <row r="2939" spans="1:13">
      <c r="A2939" s="6">
        <v>43859</v>
      </c>
      <c r="B2939" s="7">
        <v>0.65069444444444446</v>
      </c>
      <c r="C2939" s="22" t="str">
        <f>"FES1162733580"</f>
        <v>FES1162733580</v>
      </c>
      <c r="D2939" s="22" t="s">
        <v>19</v>
      </c>
      <c r="E2939" s="22" t="s">
        <v>352</v>
      </c>
      <c r="F2939" s="22" t="str">
        <f>"2170726133 "</f>
        <v xml:space="preserve">2170726133 </v>
      </c>
      <c r="G2939" s="22" t="str">
        <f t="shared" si="85"/>
        <v>ON1</v>
      </c>
      <c r="H2939" s="22" t="s">
        <v>21</v>
      </c>
      <c r="I2939" s="22" t="s">
        <v>114</v>
      </c>
      <c r="J2939" s="22" t="str">
        <f>""</f>
        <v/>
      </c>
      <c r="K2939" s="22" t="str">
        <f>"PFES1162733580_0001"</f>
        <v>PFES1162733580_0001</v>
      </c>
      <c r="L2939" s="22">
        <v>1</v>
      </c>
      <c r="M2939" s="22">
        <v>2</v>
      </c>
    </row>
    <row r="2940" spans="1:13">
      <c r="A2940" s="6">
        <v>43859</v>
      </c>
      <c r="B2940" s="7">
        <v>0.65069444444444446</v>
      </c>
      <c r="C2940" s="22" t="str">
        <f>"FES1162733593"</f>
        <v>FES1162733593</v>
      </c>
      <c r="D2940" s="22" t="s">
        <v>19</v>
      </c>
      <c r="E2940" s="22" t="s">
        <v>134</v>
      </c>
      <c r="F2940" s="22" t="str">
        <f>"2170726157 "</f>
        <v xml:space="preserve">2170726157 </v>
      </c>
      <c r="G2940" s="22" t="str">
        <f t="shared" si="85"/>
        <v>ON1</v>
      </c>
      <c r="H2940" s="22" t="s">
        <v>21</v>
      </c>
      <c r="I2940" s="22" t="s">
        <v>135</v>
      </c>
      <c r="J2940" s="22" t="str">
        <f>""</f>
        <v/>
      </c>
      <c r="K2940" s="22" t="str">
        <f>"PFES1162733593_0001"</f>
        <v>PFES1162733593_0001</v>
      </c>
      <c r="L2940" s="22">
        <v>1</v>
      </c>
      <c r="M2940" s="22">
        <v>1</v>
      </c>
    </row>
    <row r="2941" spans="1:13">
      <c r="A2941" s="6">
        <v>43859</v>
      </c>
      <c r="B2941" s="7">
        <v>0.65069444444444446</v>
      </c>
      <c r="C2941" s="22" t="str">
        <f>"FES1162733599"</f>
        <v>FES1162733599</v>
      </c>
      <c r="D2941" s="22" t="s">
        <v>19</v>
      </c>
      <c r="E2941" s="22" t="s">
        <v>298</v>
      </c>
      <c r="F2941" s="22" t="str">
        <f>"2170726166 "</f>
        <v xml:space="preserve">2170726166 </v>
      </c>
      <c r="G2941" s="22" t="str">
        <f t="shared" si="85"/>
        <v>ON1</v>
      </c>
      <c r="H2941" s="22" t="s">
        <v>21</v>
      </c>
      <c r="I2941" s="22" t="s">
        <v>299</v>
      </c>
      <c r="J2941" s="22" t="str">
        <f>""</f>
        <v/>
      </c>
      <c r="K2941" s="22" t="str">
        <f>"PFES1162733599_0001"</f>
        <v>PFES1162733599_0001</v>
      </c>
      <c r="L2941" s="22">
        <v>1</v>
      </c>
      <c r="M2941" s="22">
        <v>2</v>
      </c>
    </row>
    <row r="2942" spans="1:13">
      <c r="A2942" s="6">
        <v>43859</v>
      </c>
      <c r="B2942" s="7">
        <v>0.65</v>
      </c>
      <c r="C2942" s="22" t="str">
        <f>"FES1162733602"</f>
        <v>FES1162733602</v>
      </c>
      <c r="D2942" s="22" t="s">
        <v>19</v>
      </c>
      <c r="E2942" s="22" t="s">
        <v>637</v>
      </c>
      <c r="F2942" s="22" t="str">
        <f>"2170726168 "</f>
        <v xml:space="preserve">2170726168 </v>
      </c>
      <c r="G2942" s="22" t="str">
        <f t="shared" si="85"/>
        <v>ON1</v>
      </c>
      <c r="H2942" s="22" t="s">
        <v>21</v>
      </c>
      <c r="I2942" s="22" t="s">
        <v>638</v>
      </c>
      <c r="J2942" s="22" t="str">
        <f>""</f>
        <v/>
      </c>
      <c r="K2942" s="22" t="str">
        <f>"PFES1162733602_0001"</f>
        <v>PFES1162733602_0001</v>
      </c>
      <c r="L2942" s="22">
        <v>1</v>
      </c>
      <c r="M2942" s="22">
        <v>1</v>
      </c>
    </row>
    <row r="2943" spans="1:13">
      <c r="A2943" s="6">
        <v>43859</v>
      </c>
      <c r="B2943" s="7">
        <v>0.65</v>
      </c>
      <c r="C2943" s="22" t="str">
        <f>"FES1162733600"</f>
        <v>FES1162733600</v>
      </c>
      <c r="D2943" s="22" t="s">
        <v>19</v>
      </c>
      <c r="E2943" s="22" t="s">
        <v>188</v>
      </c>
      <c r="F2943" s="22" t="str">
        <f>"2170726162 "</f>
        <v xml:space="preserve">2170726162 </v>
      </c>
      <c r="G2943" s="22" t="str">
        <f t="shared" si="85"/>
        <v>ON1</v>
      </c>
      <c r="H2943" s="22" t="s">
        <v>21</v>
      </c>
      <c r="I2943" s="22" t="s">
        <v>189</v>
      </c>
      <c r="J2943" s="22" t="str">
        <f>""</f>
        <v/>
      </c>
      <c r="K2943" s="22" t="str">
        <f>"PFES1162733600_0001"</f>
        <v>PFES1162733600_0001</v>
      </c>
      <c r="L2943" s="22">
        <v>1</v>
      </c>
      <c r="M2943" s="22">
        <v>1</v>
      </c>
    </row>
    <row r="2944" spans="1:13">
      <c r="A2944" s="6">
        <v>43859</v>
      </c>
      <c r="B2944" s="7">
        <v>0.64930555555555558</v>
      </c>
      <c r="C2944" s="22" t="str">
        <f>"FES1162733587"</f>
        <v>FES1162733587</v>
      </c>
      <c r="D2944" s="22" t="s">
        <v>19</v>
      </c>
      <c r="E2944" s="22" t="s">
        <v>637</v>
      </c>
      <c r="F2944" s="22" t="str">
        <f>"2170726147 "</f>
        <v xml:space="preserve">2170726147 </v>
      </c>
      <c r="G2944" s="22" t="str">
        <f t="shared" si="85"/>
        <v>ON1</v>
      </c>
      <c r="H2944" s="22" t="s">
        <v>21</v>
      </c>
      <c r="I2944" s="22" t="s">
        <v>638</v>
      </c>
      <c r="J2944" s="22" t="str">
        <f>""</f>
        <v/>
      </c>
      <c r="K2944" s="22" t="str">
        <f>"PFES1162733587_0001"</f>
        <v>PFES1162733587_0001</v>
      </c>
      <c r="L2944" s="22">
        <v>1</v>
      </c>
      <c r="M2944" s="22">
        <v>1</v>
      </c>
    </row>
    <row r="2945" spans="1:13">
      <c r="A2945" s="6">
        <v>43859</v>
      </c>
      <c r="B2945" s="7">
        <v>0.63472222222222219</v>
      </c>
      <c r="C2945" s="22" t="str">
        <f>"FES1162722535"</f>
        <v>FES1162722535</v>
      </c>
      <c r="D2945" s="22" t="s">
        <v>19</v>
      </c>
      <c r="E2945" s="22" t="s">
        <v>619</v>
      </c>
      <c r="F2945" s="22" t="str">
        <f>"21707105046 "</f>
        <v xml:space="preserve">21707105046 </v>
      </c>
      <c r="G2945" s="22" t="str">
        <f t="shared" si="85"/>
        <v>ON1</v>
      </c>
      <c r="H2945" s="22" t="s">
        <v>21</v>
      </c>
      <c r="I2945" s="22" t="s">
        <v>135</v>
      </c>
      <c r="J2945" s="22" t="str">
        <f>""</f>
        <v/>
      </c>
      <c r="K2945" s="22" t="str">
        <f>"PFES1162722535_0001"</f>
        <v>PFES1162722535_0001</v>
      </c>
      <c r="L2945" s="22">
        <v>1</v>
      </c>
      <c r="M2945" s="22">
        <v>4</v>
      </c>
    </row>
    <row r="2946" spans="1:13">
      <c r="A2946" s="6">
        <v>43859</v>
      </c>
      <c r="B2946" s="7">
        <v>0.63402777777777775</v>
      </c>
      <c r="C2946" s="22" t="str">
        <f>"FES1162733463"</f>
        <v>FES1162733463</v>
      </c>
      <c r="D2946" s="22" t="s">
        <v>19</v>
      </c>
      <c r="E2946" s="22" t="s">
        <v>1007</v>
      </c>
      <c r="F2946" s="22" t="str">
        <f>"21707206013 "</f>
        <v xml:space="preserve">21707206013 </v>
      </c>
      <c r="G2946" s="22" t="str">
        <f t="shared" si="85"/>
        <v>ON1</v>
      </c>
      <c r="H2946" s="22" t="s">
        <v>21</v>
      </c>
      <c r="I2946" s="22" t="s">
        <v>731</v>
      </c>
      <c r="J2946" s="22" t="str">
        <f>""</f>
        <v/>
      </c>
      <c r="K2946" s="22" t="str">
        <f>"PFES1162733463_0001"</f>
        <v>PFES1162733463_0001</v>
      </c>
      <c r="L2946" s="22">
        <v>1</v>
      </c>
      <c r="M2946" s="22">
        <v>1</v>
      </c>
    </row>
    <row r="2947" spans="1:13">
      <c r="A2947" s="6">
        <v>43859</v>
      </c>
      <c r="B2947" s="7">
        <v>0.6333333333333333</v>
      </c>
      <c r="C2947" s="22" t="str">
        <f>"FES1162733557"</f>
        <v>FES1162733557</v>
      </c>
      <c r="D2947" s="22" t="s">
        <v>19</v>
      </c>
      <c r="E2947" s="22" t="s">
        <v>245</v>
      </c>
      <c r="F2947" s="22" t="str">
        <f>"2170725808 "</f>
        <v xml:space="preserve">2170725808 </v>
      </c>
      <c r="G2947" s="22" t="str">
        <f t="shared" si="85"/>
        <v>ON1</v>
      </c>
      <c r="H2947" s="22" t="s">
        <v>21</v>
      </c>
      <c r="I2947" s="22" t="s">
        <v>96</v>
      </c>
      <c r="J2947" s="22" t="str">
        <f>""</f>
        <v/>
      </c>
      <c r="K2947" s="22" t="str">
        <f>"PFES1162733557_0001"</f>
        <v>PFES1162733557_0001</v>
      </c>
      <c r="L2947" s="22">
        <v>1</v>
      </c>
      <c r="M2947" s="22">
        <v>4</v>
      </c>
    </row>
    <row r="2948" spans="1:13">
      <c r="A2948" s="6">
        <v>43859</v>
      </c>
      <c r="B2948" s="7">
        <v>0.63194444444444442</v>
      </c>
      <c r="C2948" s="22" t="str">
        <f>"FES1162733578"</f>
        <v>FES1162733578</v>
      </c>
      <c r="D2948" s="22" t="s">
        <v>19</v>
      </c>
      <c r="E2948" s="22" t="s">
        <v>1048</v>
      </c>
      <c r="F2948" s="22" t="str">
        <f>"2170726131 "</f>
        <v xml:space="preserve">2170726131 </v>
      </c>
      <c r="G2948" s="22" t="str">
        <f t="shared" si="85"/>
        <v>ON1</v>
      </c>
      <c r="H2948" s="22" t="s">
        <v>21</v>
      </c>
      <c r="I2948" s="22" t="s">
        <v>338</v>
      </c>
      <c r="J2948" s="22" t="str">
        <f>""</f>
        <v/>
      </c>
      <c r="K2948" s="22" t="str">
        <f>"PFES1162733578_0001"</f>
        <v>PFES1162733578_0001</v>
      </c>
      <c r="L2948" s="22">
        <v>1</v>
      </c>
      <c r="M2948" s="22">
        <v>5</v>
      </c>
    </row>
    <row r="2949" spans="1:13">
      <c r="A2949" s="6">
        <v>43859</v>
      </c>
      <c r="B2949" s="7">
        <v>0.63124999999999998</v>
      </c>
      <c r="C2949" s="22" t="str">
        <f>"FES1162733571"</f>
        <v>FES1162733571</v>
      </c>
      <c r="D2949" s="22" t="s">
        <v>19</v>
      </c>
      <c r="E2949" s="22" t="s">
        <v>343</v>
      </c>
      <c r="F2949" s="22" t="str">
        <f>"2170726121 "</f>
        <v xml:space="preserve">2170726121 </v>
      </c>
      <c r="G2949" s="22" t="str">
        <f t="shared" si="85"/>
        <v>ON1</v>
      </c>
      <c r="H2949" s="22" t="s">
        <v>21</v>
      </c>
      <c r="I2949" s="22" t="s">
        <v>344</v>
      </c>
      <c r="J2949" s="22" t="str">
        <f>""</f>
        <v/>
      </c>
      <c r="K2949" s="22" t="str">
        <f>"PFES1162733571_0001"</f>
        <v>PFES1162733571_0001</v>
      </c>
      <c r="L2949" s="22">
        <v>1</v>
      </c>
      <c r="M2949" s="22">
        <v>1</v>
      </c>
    </row>
    <row r="2950" spans="1:13">
      <c r="A2950" s="6">
        <v>43859</v>
      </c>
      <c r="B2950" s="7">
        <v>0.62986111111111109</v>
      </c>
      <c r="C2950" s="22" t="str">
        <f>"009935712195"</f>
        <v>009935712195</v>
      </c>
      <c r="D2950" s="22" t="s">
        <v>19</v>
      </c>
      <c r="E2950" s="22" t="s">
        <v>306</v>
      </c>
      <c r="F2950" s="22" t="str">
        <f>"KAVENESH "</f>
        <v xml:space="preserve">KAVENESH </v>
      </c>
      <c r="G2950" s="22" t="str">
        <f t="shared" si="85"/>
        <v>ON1</v>
      </c>
      <c r="H2950" s="22" t="s">
        <v>21</v>
      </c>
      <c r="I2950" s="22" t="s">
        <v>307</v>
      </c>
      <c r="J2950" s="22" t="str">
        <f>""</f>
        <v/>
      </c>
      <c r="K2950" s="22" t="str">
        <f>"P009935712195_0001"</f>
        <v>P009935712195_0001</v>
      </c>
      <c r="L2950" s="22">
        <v>1</v>
      </c>
      <c r="M2950" s="22">
        <v>1</v>
      </c>
    </row>
    <row r="2951" spans="1:13">
      <c r="A2951" s="6">
        <v>43859</v>
      </c>
      <c r="B2951" s="7">
        <v>0.62847222222222221</v>
      </c>
      <c r="C2951" s="22" t="str">
        <f>"FES1162733598"</f>
        <v>FES1162733598</v>
      </c>
      <c r="D2951" s="22" t="s">
        <v>19</v>
      </c>
      <c r="E2951" s="22" t="s">
        <v>611</v>
      </c>
      <c r="F2951" s="22" t="str">
        <f>"2170726152 "</f>
        <v xml:space="preserve">2170726152 </v>
      </c>
      <c r="G2951" s="22" t="str">
        <f t="shared" si="85"/>
        <v>ON1</v>
      </c>
      <c r="H2951" s="22" t="s">
        <v>21</v>
      </c>
      <c r="I2951" s="22" t="s">
        <v>36</v>
      </c>
      <c r="J2951" s="22" t="str">
        <f>""</f>
        <v/>
      </c>
      <c r="K2951" s="22" t="str">
        <f>"PFES1162733598_0001"</f>
        <v>PFES1162733598_0001</v>
      </c>
      <c r="L2951" s="22">
        <v>1</v>
      </c>
      <c r="M2951" s="22">
        <v>1</v>
      </c>
    </row>
    <row r="2952" spans="1:13">
      <c r="A2952" s="6">
        <v>43859</v>
      </c>
      <c r="B2952" s="7">
        <v>0.62847222222222221</v>
      </c>
      <c r="C2952" s="22" t="str">
        <f>"FES1162733589"</f>
        <v>FES1162733589</v>
      </c>
      <c r="D2952" s="22" t="s">
        <v>19</v>
      </c>
      <c r="E2952" s="22" t="s">
        <v>748</v>
      </c>
      <c r="F2952" s="22" t="str">
        <f>"2170726150 "</f>
        <v xml:space="preserve">2170726150 </v>
      </c>
      <c r="G2952" s="22" t="str">
        <f t="shared" si="85"/>
        <v>ON1</v>
      </c>
      <c r="H2952" s="22" t="s">
        <v>21</v>
      </c>
      <c r="I2952" s="22" t="s">
        <v>466</v>
      </c>
      <c r="J2952" s="22" t="str">
        <f>""</f>
        <v/>
      </c>
      <c r="K2952" s="22" t="str">
        <f>"PFES1162733589_0001"</f>
        <v>PFES1162733589_0001</v>
      </c>
      <c r="L2952" s="22">
        <v>1</v>
      </c>
      <c r="M2952" s="22">
        <v>1</v>
      </c>
    </row>
    <row r="2953" spans="1:13">
      <c r="A2953" s="6">
        <v>43859</v>
      </c>
      <c r="B2953" s="7">
        <v>0.62777777777777777</v>
      </c>
      <c r="C2953" s="22" t="str">
        <f>"FES1162733583"</f>
        <v>FES1162733583</v>
      </c>
      <c r="D2953" s="22" t="s">
        <v>19</v>
      </c>
      <c r="E2953" s="22" t="s">
        <v>345</v>
      </c>
      <c r="F2953" s="22" t="str">
        <f>"2170726141 "</f>
        <v xml:space="preserve">2170726141 </v>
      </c>
      <c r="G2953" s="22" t="str">
        <f t="shared" si="85"/>
        <v>ON1</v>
      </c>
      <c r="H2953" s="22" t="s">
        <v>21</v>
      </c>
      <c r="I2953" s="22" t="s">
        <v>346</v>
      </c>
      <c r="J2953" s="22" t="str">
        <f>""</f>
        <v/>
      </c>
      <c r="K2953" s="22" t="str">
        <f>"PFES1162733583_0001"</f>
        <v>PFES1162733583_0001</v>
      </c>
      <c r="L2953" s="22">
        <v>1</v>
      </c>
      <c r="M2953" s="22">
        <v>1</v>
      </c>
    </row>
    <row r="2954" spans="1:13">
      <c r="A2954" s="6">
        <v>43859</v>
      </c>
      <c r="B2954" s="7">
        <v>0.62708333333333333</v>
      </c>
      <c r="C2954" s="22" t="str">
        <f>"FES1162733540"</f>
        <v>FES1162733540</v>
      </c>
      <c r="D2954" s="22" t="s">
        <v>19</v>
      </c>
      <c r="E2954" s="22" t="s">
        <v>105</v>
      </c>
      <c r="F2954" s="22" t="str">
        <f>"2170726077 "</f>
        <v xml:space="preserve">2170726077 </v>
      </c>
      <c r="G2954" s="22" t="str">
        <f t="shared" si="85"/>
        <v>ON1</v>
      </c>
      <c r="H2954" s="22" t="s">
        <v>21</v>
      </c>
      <c r="I2954" s="22" t="s">
        <v>106</v>
      </c>
      <c r="J2954" s="22" t="str">
        <f>""</f>
        <v/>
      </c>
      <c r="K2954" s="22" t="str">
        <f>"PFES1162733540_0001"</f>
        <v>PFES1162733540_0001</v>
      </c>
      <c r="L2954" s="22">
        <v>1</v>
      </c>
      <c r="M2954" s="22">
        <v>1</v>
      </c>
    </row>
    <row r="2955" spans="1:13">
      <c r="A2955" s="6">
        <v>43859</v>
      </c>
      <c r="B2955" s="7">
        <v>0.62638888888888888</v>
      </c>
      <c r="C2955" s="22" t="str">
        <f>"FES1162733566"</f>
        <v>FES1162733566</v>
      </c>
      <c r="D2955" s="22" t="s">
        <v>19</v>
      </c>
      <c r="E2955" s="22" t="s">
        <v>44</v>
      </c>
      <c r="F2955" s="22" t="str">
        <f>"2170726109 "</f>
        <v xml:space="preserve">2170726109 </v>
      </c>
      <c r="G2955" s="22" t="str">
        <f t="shared" si="85"/>
        <v>ON1</v>
      </c>
      <c r="H2955" s="22" t="s">
        <v>21</v>
      </c>
      <c r="I2955" s="22" t="s">
        <v>249</v>
      </c>
      <c r="J2955" s="22" t="str">
        <f>""</f>
        <v/>
      </c>
      <c r="K2955" s="22" t="str">
        <f>"PFES1162733566_0001"</f>
        <v>PFES1162733566_0001</v>
      </c>
      <c r="L2955" s="22">
        <v>1</v>
      </c>
      <c r="M2955" s="22">
        <v>1</v>
      </c>
    </row>
    <row r="2956" spans="1:13">
      <c r="A2956" s="6">
        <v>43859</v>
      </c>
      <c r="B2956" s="7">
        <v>0.62569444444444444</v>
      </c>
      <c r="C2956" s="22" t="str">
        <f>"FES1162733577"</f>
        <v>FES1162733577</v>
      </c>
      <c r="D2956" s="22" t="s">
        <v>19</v>
      </c>
      <c r="E2956" s="22" t="s">
        <v>352</v>
      </c>
      <c r="F2956" s="22" t="str">
        <f>"2170726130 "</f>
        <v xml:space="preserve">2170726130 </v>
      </c>
      <c r="G2956" s="22" t="str">
        <f t="shared" si="85"/>
        <v>ON1</v>
      </c>
      <c r="H2956" s="22" t="s">
        <v>21</v>
      </c>
      <c r="I2956" s="22" t="s">
        <v>114</v>
      </c>
      <c r="J2956" s="22" t="str">
        <f>""</f>
        <v/>
      </c>
      <c r="K2956" s="22" t="str">
        <f>"PFES1162733577_0001"</f>
        <v>PFES1162733577_0001</v>
      </c>
      <c r="L2956" s="22">
        <v>1</v>
      </c>
      <c r="M2956" s="22">
        <v>12</v>
      </c>
    </row>
    <row r="2957" spans="1:13">
      <c r="A2957" s="6">
        <v>43859</v>
      </c>
      <c r="B2957" s="7">
        <v>0.62569444444444444</v>
      </c>
      <c r="C2957" s="22" t="str">
        <f>"FES1162733592"</f>
        <v>FES1162733592</v>
      </c>
      <c r="D2957" s="22" t="s">
        <v>19</v>
      </c>
      <c r="E2957" s="22" t="s">
        <v>464</v>
      </c>
      <c r="F2957" s="22" t="str">
        <f>"2170726156 "</f>
        <v xml:space="preserve">2170726156 </v>
      </c>
      <c r="G2957" s="22" t="str">
        <f t="shared" si="85"/>
        <v>ON1</v>
      </c>
      <c r="H2957" s="22" t="s">
        <v>21</v>
      </c>
      <c r="I2957" s="22" t="s">
        <v>24</v>
      </c>
      <c r="J2957" s="22" t="str">
        <f>""</f>
        <v/>
      </c>
      <c r="K2957" s="22" t="str">
        <f>"PFES1162733592_0001"</f>
        <v>PFES1162733592_0001</v>
      </c>
      <c r="L2957" s="22">
        <v>1</v>
      </c>
      <c r="M2957" s="22">
        <v>3</v>
      </c>
    </row>
    <row r="2958" spans="1:13">
      <c r="A2958" s="6">
        <v>43859</v>
      </c>
      <c r="B2958" s="7">
        <v>0.625</v>
      </c>
      <c r="C2958" s="22" t="str">
        <f>"FES1162733541"</f>
        <v>FES1162733541</v>
      </c>
      <c r="D2958" s="22" t="s">
        <v>19</v>
      </c>
      <c r="E2958" s="22" t="s">
        <v>352</v>
      </c>
      <c r="F2958" s="22" t="str">
        <f>"2170726079 "</f>
        <v xml:space="preserve">2170726079 </v>
      </c>
      <c r="G2958" s="22" t="str">
        <f t="shared" si="85"/>
        <v>ON1</v>
      </c>
      <c r="H2958" s="22" t="s">
        <v>21</v>
      </c>
      <c r="I2958" s="22" t="s">
        <v>114</v>
      </c>
      <c r="J2958" s="22" t="str">
        <f>""</f>
        <v/>
      </c>
      <c r="K2958" s="22" t="str">
        <f>"PFES1162733541_0001"</f>
        <v>PFES1162733541_0001</v>
      </c>
      <c r="L2958" s="22">
        <v>1</v>
      </c>
      <c r="M2958" s="22">
        <v>10</v>
      </c>
    </row>
    <row r="2959" spans="1:13">
      <c r="A2959" s="6">
        <v>43859</v>
      </c>
      <c r="B2959" s="7">
        <v>0.62430555555555556</v>
      </c>
      <c r="C2959" s="22" t="str">
        <f>"FES1162733546"</f>
        <v>FES1162733546</v>
      </c>
      <c r="D2959" s="22" t="s">
        <v>19</v>
      </c>
      <c r="E2959" s="22" t="s">
        <v>354</v>
      </c>
      <c r="F2959" s="22" t="str">
        <f>"2170726088 "</f>
        <v xml:space="preserve">2170726088 </v>
      </c>
      <c r="G2959" s="22" t="str">
        <f t="shared" si="85"/>
        <v>ON1</v>
      </c>
      <c r="H2959" s="22" t="s">
        <v>21</v>
      </c>
      <c r="I2959" s="22" t="s">
        <v>601</v>
      </c>
      <c r="J2959" s="22" t="str">
        <f>""</f>
        <v/>
      </c>
      <c r="K2959" s="22" t="str">
        <f>"PFES1162733546_0001"</f>
        <v>PFES1162733546_0001</v>
      </c>
      <c r="L2959" s="22">
        <v>1</v>
      </c>
      <c r="M2959" s="22">
        <v>1</v>
      </c>
    </row>
    <row r="2960" spans="1:13">
      <c r="A2960" s="6">
        <v>43859</v>
      </c>
      <c r="B2960" s="7">
        <v>0.62361111111111112</v>
      </c>
      <c r="C2960" s="22" t="str">
        <f>"FES1162733586"</f>
        <v>FES1162733586</v>
      </c>
      <c r="D2960" s="22" t="s">
        <v>19</v>
      </c>
      <c r="E2960" s="22" t="s">
        <v>279</v>
      </c>
      <c r="F2960" s="22" t="str">
        <f>"2170726145 "</f>
        <v xml:space="preserve">2170726145 </v>
      </c>
      <c r="G2960" s="22" t="str">
        <f t="shared" si="85"/>
        <v>ON1</v>
      </c>
      <c r="H2960" s="22" t="s">
        <v>21</v>
      </c>
      <c r="I2960" s="22" t="s">
        <v>69</v>
      </c>
      <c r="J2960" s="22" t="str">
        <f>""</f>
        <v/>
      </c>
      <c r="K2960" s="22" t="str">
        <f>"PFES1162733586_0001"</f>
        <v>PFES1162733586_0001</v>
      </c>
      <c r="L2960" s="22">
        <v>1</v>
      </c>
      <c r="M2960" s="22">
        <v>1</v>
      </c>
    </row>
    <row r="2961" spans="1:13">
      <c r="A2961" s="6">
        <v>43859</v>
      </c>
      <c r="B2961" s="7">
        <v>0.62222222222222223</v>
      </c>
      <c r="C2961" s="22" t="str">
        <f>"FES1162733585"</f>
        <v>FES1162733585</v>
      </c>
      <c r="D2961" s="22" t="s">
        <v>19</v>
      </c>
      <c r="E2961" s="22" t="s">
        <v>563</v>
      </c>
      <c r="F2961" s="22" t="str">
        <f>"2170726144 "</f>
        <v xml:space="preserve">2170726144 </v>
      </c>
      <c r="G2961" s="22" t="str">
        <f t="shared" si="85"/>
        <v>ON1</v>
      </c>
      <c r="H2961" s="22" t="s">
        <v>21</v>
      </c>
      <c r="I2961" s="22" t="s">
        <v>564</v>
      </c>
      <c r="J2961" s="22" t="str">
        <f>""</f>
        <v/>
      </c>
      <c r="K2961" s="22" t="str">
        <f>"PFES1162733585_0001"</f>
        <v>PFES1162733585_0001</v>
      </c>
      <c r="L2961" s="22">
        <v>1</v>
      </c>
      <c r="M2961" s="22">
        <v>1</v>
      </c>
    </row>
    <row r="2962" spans="1:13">
      <c r="A2962" s="6">
        <v>43859</v>
      </c>
      <c r="B2962" s="7">
        <v>0.62152777777777779</v>
      </c>
      <c r="C2962" s="22" t="str">
        <f>"FES1162733590"</f>
        <v>FES1162733590</v>
      </c>
      <c r="D2962" s="22" t="s">
        <v>19</v>
      </c>
      <c r="E2962" s="22" t="s">
        <v>188</v>
      </c>
      <c r="F2962" s="22" t="str">
        <f>"2170726151 "</f>
        <v xml:space="preserve">2170726151 </v>
      </c>
      <c r="G2962" s="22" t="str">
        <f t="shared" si="85"/>
        <v>ON1</v>
      </c>
      <c r="H2962" s="22" t="s">
        <v>21</v>
      </c>
      <c r="I2962" s="22" t="s">
        <v>189</v>
      </c>
      <c r="J2962" s="22" t="str">
        <f>""</f>
        <v/>
      </c>
      <c r="K2962" s="22" t="str">
        <f>"PFES1162733590_0001"</f>
        <v>PFES1162733590_0001</v>
      </c>
      <c r="L2962" s="22">
        <v>1</v>
      </c>
      <c r="M2962" s="22">
        <v>1</v>
      </c>
    </row>
    <row r="2963" spans="1:13">
      <c r="A2963" s="6">
        <v>43859</v>
      </c>
      <c r="B2963" s="7">
        <v>0.62083333333333335</v>
      </c>
      <c r="C2963" s="22" t="str">
        <f>"FES1162733594"</f>
        <v>FES1162733594</v>
      </c>
      <c r="D2963" s="22" t="s">
        <v>19</v>
      </c>
      <c r="E2963" s="22" t="s">
        <v>188</v>
      </c>
      <c r="F2963" s="22" t="str">
        <f>"2170726158 "</f>
        <v xml:space="preserve">2170726158 </v>
      </c>
      <c r="G2963" s="22" t="str">
        <f t="shared" si="85"/>
        <v>ON1</v>
      </c>
      <c r="H2963" s="22" t="s">
        <v>21</v>
      </c>
      <c r="I2963" s="22" t="s">
        <v>189</v>
      </c>
      <c r="J2963" s="22" t="str">
        <f>""</f>
        <v/>
      </c>
      <c r="K2963" s="22" t="str">
        <f>"PFES1162733594_0001"</f>
        <v>PFES1162733594_0001</v>
      </c>
      <c r="L2963" s="22">
        <v>1</v>
      </c>
      <c r="M2963" s="22">
        <v>1</v>
      </c>
    </row>
    <row r="2964" spans="1:13">
      <c r="A2964" s="6">
        <v>43859</v>
      </c>
      <c r="B2964" s="7">
        <v>0.62013888888888891</v>
      </c>
      <c r="C2964" s="22" t="str">
        <f>"FES1162733584"</f>
        <v>FES1162733584</v>
      </c>
      <c r="D2964" s="22" t="s">
        <v>19</v>
      </c>
      <c r="E2964" s="22" t="s">
        <v>186</v>
      </c>
      <c r="F2964" s="22" t="str">
        <f>"2170726143 "</f>
        <v xml:space="preserve">2170726143 </v>
      </c>
      <c r="G2964" s="22" t="str">
        <f t="shared" si="85"/>
        <v>ON1</v>
      </c>
      <c r="H2964" s="22" t="s">
        <v>21</v>
      </c>
      <c r="I2964" s="22" t="s">
        <v>187</v>
      </c>
      <c r="J2964" s="22" t="str">
        <f>""</f>
        <v/>
      </c>
      <c r="K2964" s="22" t="str">
        <f>"PFES1162733584_0001"</f>
        <v>PFES1162733584_0001</v>
      </c>
      <c r="L2964" s="22">
        <v>1</v>
      </c>
      <c r="M2964" s="22">
        <v>1</v>
      </c>
    </row>
    <row r="2965" spans="1:13">
      <c r="A2965" s="6">
        <v>43859</v>
      </c>
      <c r="B2965" s="7">
        <v>0.61875000000000002</v>
      </c>
      <c r="C2965" s="22" t="str">
        <f>"FES1162733549"</f>
        <v>FES1162733549</v>
      </c>
      <c r="D2965" s="22" t="s">
        <v>19</v>
      </c>
      <c r="E2965" s="22" t="s">
        <v>557</v>
      </c>
      <c r="F2965" s="22" t="str">
        <f>"21707260912 "</f>
        <v xml:space="preserve">21707260912 </v>
      </c>
      <c r="G2965" s="22" t="str">
        <f t="shared" si="85"/>
        <v>ON1</v>
      </c>
      <c r="H2965" s="22" t="s">
        <v>21</v>
      </c>
      <c r="I2965" s="22" t="s">
        <v>558</v>
      </c>
      <c r="J2965" s="22" t="str">
        <f>""</f>
        <v/>
      </c>
      <c r="K2965" s="22" t="str">
        <f>"PFES1162733549_0001"</f>
        <v>PFES1162733549_0001</v>
      </c>
      <c r="L2965" s="22">
        <v>1</v>
      </c>
      <c r="M2965" s="22">
        <v>3</v>
      </c>
    </row>
    <row r="2966" spans="1:13">
      <c r="A2966" s="6">
        <v>43859</v>
      </c>
      <c r="B2966" s="7">
        <v>0.61875000000000002</v>
      </c>
      <c r="C2966" s="22" t="str">
        <f>"FES1162733556"</f>
        <v>FES1162733556</v>
      </c>
      <c r="D2966" s="22" t="s">
        <v>19</v>
      </c>
      <c r="E2966" s="22" t="s">
        <v>953</v>
      </c>
      <c r="F2966" s="22" t="str">
        <f>"2170725785 "</f>
        <v xml:space="preserve">2170725785 </v>
      </c>
      <c r="G2966" s="22" t="str">
        <f t="shared" si="85"/>
        <v>ON1</v>
      </c>
      <c r="H2966" s="22" t="s">
        <v>21</v>
      </c>
      <c r="I2966" s="22" t="s">
        <v>954</v>
      </c>
      <c r="J2966" s="22" t="str">
        <f>""</f>
        <v/>
      </c>
      <c r="K2966" s="22" t="str">
        <f>"PFES1162733556_0001"</f>
        <v>PFES1162733556_0001</v>
      </c>
      <c r="L2966" s="22">
        <v>1</v>
      </c>
      <c r="M2966" s="22">
        <v>7</v>
      </c>
    </row>
    <row r="2967" spans="1:13">
      <c r="A2967" s="6">
        <v>43859</v>
      </c>
      <c r="B2967" s="7">
        <v>0.61875000000000002</v>
      </c>
      <c r="C2967" s="22" t="str">
        <f>"FES1162733548"</f>
        <v>FES1162733548</v>
      </c>
      <c r="D2967" s="22" t="s">
        <v>19</v>
      </c>
      <c r="E2967" s="22" t="s">
        <v>199</v>
      </c>
      <c r="F2967" s="22" t="str">
        <f>"2170726090 "</f>
        <v xml:space="preserve">2170726090 </v>
      </c>
      <c r="G2967" s="22" t="str">
        <f t="shared" si="85"/>
        <v>ON1</v>
      </c>
      <c r="H2967" s="22" t="s">
        <v>21</v>
      </c>
      <c r="I2967" s="22" t="s">
        <v>200</v>
      </c>
      <c r="J2967" s="22" t="str">
        <f>""</f>
        <v/>
      </c>
      <c r="K2967" s="22" t="str">
        <f>"PFES1162733548_0001"</f>
        <v>PFES1162733548_0001</v>
      </c>
      <c r="L2967" s="22">
        <v>1</v>
      </c>
      <c r="M2967" s="22">
        <v>4</v>
      </c>
    </row>
    <row r="2968" spans="1:13">
      <c r="A2968" s="6">
        <v>43859</v>
      </c>
      <c r="B2968" s="7">
        <v>0.61805555555555558</v>
      </c>
      <c r="C2968" s="22" t="str">
        <f>"009935723370"</f>
        <v>009935723370</v>
      </c>
      <c r="D2968" s="22" t="s">
        <v>19</v>
      </c>
      <c r="E2968" s="22" t="s">
        <v>199</v>
      </c>
      <c r="F2968" s="22" t="str">
        <f>"1162729742 "</f>
        <v xml:space="preserve">1162729742 </v>
      </c>
      <c r="G2968" s="22" t="str">
        <f t="shared" si="85"/>
        <v>ON1</v>
      </c>
      <c r="H2968" s="22" t="s">
        <v>21</v>
      </c>
      <c r="I2968" s="22" t="s">
        <v>200</v>
      </c>
      <c r="J2968" s="22" t="str">
        <f>"RESEND"</f>
        <v>RESEND</v>
      </c>
      <c r="K2968" s="22" t="str">
        <f>"P009935723370_0001"</f>
        <v>P009935723370_0001</v>
      </c>
      <c r="L2968" s="22">
        <v>2</v>
      </c>
      <c r="M2968" s="22">
        <v>11</v>
      </c>
    </row>
    <row r="2969" spans="1:13">
      <c r="A2969" s="6">
        <v>43859</v>
      </c>
      <c r="B2969" s="7">
        <v>0.61111111111111105</v>
      </c>
      <c r="C2969" s="22" t="str">
        <f>"FES1162733582"</f>
        <v>FES1162733582</v>
      </c>
      <c r="D2969" s="22" t="s">
        <v>19</v>
      </c>
      <c r="E2969" s="22" t="s">
        <v>670</v>
      </c>
      <c r="F2969" s="22" t="str">
        <f>"2170726140 "</f>
        <v xml:space="preserve">2170726140 </v>
      </c>
      <c r="G2969" s="22" t="str">
        <f t="shared" si="85"/>
        <v>ON1</v>
      </c>
      <c r="H2969" s="22" t="s">
        <v>21</v>
      </c>
      <c r="I2969" s="22" t="s">
        <v>528</v>
      </c>
      <c r="J2969" s="22" t="str">
        <f>""</f>
        <v/>
      </c>
      <c r="K2969" s="22" t="str">
        <f>"PFES1162733582_0001"</f>
        <v>PFES1162733582_0001</v>
      </c>
      <c r="L2969" s="22">
        <v>1</v>
      </c>
      <c r="M2969" s="22">
        <v>1</v>
      </c>
    </row>
    <row r="2970" spans="1:13">
      <c r="A2970" s="6">
        <v>43859</v>
      </c>
      <c r="B2970" s="7">
        <v>0.60833333333333328</v>
      </c>
      <c r="C2970" s="22" t="str">
        <f>"FES1162733568"</f>
        <v>FES1162733568</v>
      </c>
      <c r="D2970" s="22" t="s">
        <v>19</v>
      </c>
      <c r="E2970" s="22" t="s">
        <v>308</v>
      </c>
      <c r="F2970" s="22" t="str">
        <f>"2170726116 "</f>
        <v xml:space="preserve">2170726116 </v>
      </c>
      <c r="G2970" s="22" t="str">
        <f t="shared" si="85"/>
        <v>ON1</v>
      </c>
      <c r="H2970" s="22" t="s">
        <v>21</v>
      </c>
      <c r="I2970" s="22" t="s">
        <v>309</v>
      </c>
      <c r="J2970" s="22" t="str">
        <f>""</f>
        <v/>
      </c>
      <c r="K2970" s="22" t="str">
        <f>"PFES1162733568_0001"</f>
        <v>PFES1162733568_0001</v>
      </c>
      <c r="L2970" s="22">
        <v>1</v>
      </c>
      <c r="M2970" s="22">
        <v>1</v>
      </c>
    </row>
    <row r="2971" spans="1:13">
      <c r="A2971" s="6">
        <v>43859</v>
      </c>
      <c r="B2971" s="7">
        <v>0.60763888888888895</v>
      </c>
      <c r="C2971" s="22" t="str">
        <f>"FES1162733554"</f>
        <v>FES1162733554</v>
      </c>
      <c r="D2971" s="22" t="s">
        <v>19</v>
      </c>
      <c r="E2971" s="22" t="s">
        <v>262</v>
      </c>
      <c r="F2971" s="22" t="str">
        <f>"2170725640 "</f>
        <v xml:space="preserve">2170725640 </v>
      </c>
      <c r="G2971" s="22" t="str">
        <f t="shared" si="85"/>
        <v>ON1</v>
      </c>
      <c r="H2971" s="22" t="s">
        <v>21</v>
      </c>
      <c r="I2971" s="22" t="s">
        <v>114</v>
      </c>
      <c r="J2971" s="22" t="str">
        <f>""</f>
        <v/>
      </c>
      <c r="K2971" s="22" t="str">
        <f>"PFES1162733554_0001"</f>
        <v>PFES1162733554_0001</v>
      </c>
      <c r="L2971" s="22">
        <v>1</v>
      </c>
      <c r="M2971" s="22">
        <v>1</v>
      </c>
    </row>
    <row r="2972" spans="1:13">
      <c r="A2972" s="6">
        <v>43859</v>
      </c>
      <c r="B2972" s="7">
        <v>0.6069444444444444</v>
      </c>
      <c r="C2972" s="22" t="str">
        <f>"FES1162733555"</f>
        <v>FES1162733555</v>
      </c>
      <c r="D2972" s="22" t="s">
        <v>19</v>
      </c>
      <c r="E2972" s="22" t="s">
        <v>1007</v>
      </c>
      <c r="F2972" s="22" t="str">
        <f>"2170725730 "</f>
        <v xml:space="preserve">2170725730 </v>
      </c>
      <c r="G2972" s="22" t="str">
        <f t="shared" si="85"/>
        <v>ON1</v>
      </c>
      <c r="H2972" s="22" t="s">
        <v>21</v>
      </c>
      <c r="I2972" s="22" t="s">
        <v>731</v>
      </c>
      <c r="J2972" s="22" t="str">
        <f>""</f>
        <v/>
      </c>
      <c r="K2972" s="22" t="str">
        <f>"PFES1162733555_0001"</f>
        <v>PFES1162733555_0001</v>
      </c>
      <c r="L2972" s="22">
        <v>1</v>
      </c>
      <c r="M2972" s="22">
        <v>1</v>
      </c>
    </row>
    <row r="2973" spans="1:13">
      <c r="A2973" s="6">
        <v>43859</v>
      </c>
      <c r="B2973" s="7">
        <v>0.60625000000000007</v>
      </c>
      <c r="C2973" s="22" t="str">
        <f>"FES1162733574"</f>
        <v>FES1162733574</v>
      </c>
      <c r="D2973" s="22" t="s">
        <v>19</v>
      </c>
      <c r="E2973" s="22" t="s">
        <v>745</v>
      </c>
      <c r="F2973" s="22" t="str">
        <f>"2170726125 "</f>
        <v xml:space="preserve">2170726125 </v>
      </c>
      <c r="G2973" s="22" t="str">
        <f t="shared" si="85"/>
        <v>ON1</v>
      </c>
      <c r="H2973" s="22" t="s">
        <v>21</v>
      </c>
      <c r="I2973" s="22" t="s">
        <v>36</v>
      </c>
      <c r="J2973" s="22" t="str">
        <f>""</f>
        <v/>
      </c>
      <c r="K2973" s="22" t="str">
        <f>"PFES1162733574_0001"</f>
        <v>PFES1162733574_0001</v>
      </c>
      <c r="L2973" s="22">
        <v>1</v>
      </c>
      <c r="M2973" s="22">
        <v>6</v>
      </c>
    </row>
    <row r="2974" spans="1:13">
      <c r="A2974" s="6">
        <v>43859</v>
      </c>
      <c r="B2974" s="7">
        <v>0.60625000000000007</v>
      </c>
      <c r="C2974" s="22" t="str">
        <f>"FES1162733569"</f>
        <v>FES1162733569</v>
      </c>
      <c r="D2974" s="22" t="s">
        <v>19</v>
      </c>
      <c r="E2974" s="22" t="s">
        <v>280</v>
      </c>
      <c r="F2974" s="22" t="str">
        <f>"2170726117 "</f>
        <v xml:space="preserve">2170726117 </v>
      </c>
      <c r="G2974" s="22" t="str">
        <f t="shared" si="85"/>
        <v>ON1</v>
      </c>
      <c r="H2974" s="22" t="s">
        <v>21</v>
      </c>
      <c r="I2974" s="22" t="s">
        <v>247</v>
      </c>
      <c r="J2974" s="22" t="str">
        <f>""</f>
        <v/>
      </c>
      <c r="K2974" s="22" t="str">
        <f>"PFES1162733569_0001"</f>
        <v>PFES1162733569_0001</v>
      </c>
      <c r="L2974" s="22">
        <v>1</v>
      </c>
      <c r="M2974" s="22">
        <v>1</v>
      </c>
    </row>
    <row r="2975" spans="1:13">
      <c r="A2975" s="6">
        <v>43859</v>
      </c>
      <c r="B2975" s="7">
        <v>0.60555555555555551</v>
      </c>
      <c r="C2975" s="22" t="str">
        <f>"FES1162733565"</f>
        <v>FES1162733565</v>
      </c>
      <c r="D2975" s="22" t="s">
        <v>19</v>
      </c>
      <c r="E2975" s="22" t="s">
        <v>529</v>
      </c>
      <c r="F2975" s="22" t="str">
        <f>"2170723461 "</f>
        <v xml:space="preserve">2170723461 </v>
      </c>
      <c r="G2975" s="22" t="str">
        <f t="shared" si="85"/>
        <v>ON1</v>
      </c>
      <c r="H2975" s="22" t="s">
        <v>21</v>
      </c>
      <c r="I2975" s="22" t="s">
        <v>36</v>
      </c>
      <c r="J2975" s="22" t="str">
        <f>""</f>
        <v/>
      </c>
      <c r="K2975" s="22" t="str">
        <f>"PFES1162733565_0001"</f>
        <v>PFES1162733565_0001</v>
      </c>
      <c r="L2975" s="22">
        <v>1</v>
      </c>
      <c r="M2975" s="22">
        <v>4</v>
      </c>
    </row>
    <row r="2976" spans="1:13">
      <c r="A2976" s="6">
        <v>43859</v>
      </c>
      <c r="B2976" s="7">
        <v>0.60555555555555551</v>
      </c>
      <c r="C2976" s="22" t="str">
        <f>"FES1162733575"</f>
        <v>FES1162733575</v>
      </c>
      <c r="D2976" s="22" t="s">
        <v>19</v>
      </c>
      <c r="E2976" s="22" t="s">
        <v>331</v>
      </c>
      <c r="F2976" s="22" t="str">
        <f>"2170726126 "</f>
        <v xml:space="preserve">2170726126 </v>
      </c>
      <c r="G2976" s="22" t="str">
        <f t="shared" si="85"/>
        <v>ON1</v>
      </c>
      <c r="H2976" s="22" t="s">
        <v>21</v>
      </c>
      <c r="I2976" s="22" t="s">
        <v>303</v>
      </c>
      <c r="J2976" s="22" t="str">
        <f>""</f>
        <v/>
      </c>
      <c r="K2976" s="22" t="str">
        <f>"PFES1162733575_0001"</f>
        <v>PFES1162733575_0001</v>
      </c>
      <c r="L2976" s="22">
        <v>1</v>
      </c>
      <c r="M2976" s="22">
        <v>3</v>
      </c>
    </row>
    <row r="2977" spans="1:13">
      <c r="A2977" s="6">
        <v>43859</v>
      </c>
      <c r="B2977" s="7">
        <v>0.60555555555555551</v>
      </c>
      <c r="C2977" s="22" t="str">
        <f>"FES1162733573"</f>
        <v>FES1162733573</v>
      </c>
      <c r="D2977" s="22" t="s">
        <v>19</v>
      </c>
      <c r="E2977" s="22" t="s">
        <v>222</v>
      </c>
      <c r="F2977" s="22" t="str">
        <f>"2170726124 "</f>
        <v xml:space="preserve">2170726124 </v>
      </c>
      <c r="G2977" s="22" t="str">
        <f t="shared" si="85"/>
        <v>ON1</v>
      </c>
      <c r="H2977" s="22" t="s">
        <v>21</v>
      </c>
      <c r="I2977" s="22" t="s">
        <v>28</v>
      </c>
      <c r="J2977" s="22" t="str">
        <f>""</f>
        <v/>
      </c>
      <c r="K2977" s="22" t="str">
        <f>"PFES1162733573_0001"</f>
        <v>PFES1162733573_0001</v>
      </c>
      <c r="L2977" s="22">
        <v>1</v>
      </c>
      <c r="M2977" s="22">
        <v>2</v>
      </c>
    </row>
    <row r="2978" spans="1:13">
      <c r="A2978" s="6">
        <v>43859</v>
      </c>
      <c r="B2978" s="7">
        <v>0.60486111111111118</v>
      </c>
      <c r="C2978" s="22" t="str">
        <f>"FES1162733496"</f>
        <v>FES1162733496</v>
      </c>
      <c r="D2978" s="22" t="s">
        <v>19</v>
      </c>
      <c r="E2978" s="22" t="s">
        <v>714</v>
      </c>
      <c r="F2978" s="22" t="str">
        <f>"2170724033 "</f>
        <v xml:space="preserve">2170724033 </v>
      </c>
      <c r="G2978" s="22" t="str">
        <f t="shared" si="85"/>
        <v>ON1</v>
      </c>
      <c r="H2978" s="22" t="s">
        <v>21</v>
      </c>
      <c r="I2978" s="22" t="s">
        <v>202</v>
      </c>
      <c r="J2978" s="22" t="str">
        <f>""</f>
        <v/>
      </c>
      <c r="K2978" s="22" t="str">
        <f>"PFES1162733496_0001"</f>
        <v>PFES1162733496_0001</v>
      </c>
      <c r="L2978" s="22">
        <v>1</v>
      </c>
      <c r="M2978" s="22">
        <v>1</v>
      </c>
    </row>
    <row r="2979" spans="1:13">
      <c r="A2979" s="6">
        <v>43859</v>
      </c>
      <c r="B2979" s="7">
        <v>0.60486111111111118</v>
      </c>
      <c r="C2979" s="22" t="str">
        <f>"FES1162733446"</f>
        <v>FES1162733446</v>
      </c>
      <c r="D2979" s="22" t="s">
        <v>19</v>
      </c>
      <c r="E2979" s="22" t="s">
        <v>586</v>
      </c>
      <c r="F2979" s="22" t="str">
        <f>"2170725977 "</f>
        <v xml:space="preserve">2170725977 </v>
      </c>
      <c r="G2979" s="22" t="str">
        <f t="shared" si="85"/>
        <v>ON1</v>
      </c>
      <c r="H2979" s="22" t="s">
        <v>21</v>
      </c>
      <c r="I2979" s="22" t="s">
        <v>127</v>
      </c>
      <c r="J2979" s="22" t="str">
        <f>""</f>
        <v/>
      </c>
      <c r="K2979" s="22" t="str">
        <f>"PFES1162733446_0001"</f>
        <v>PFES1162733446_0001</v>
      </c>
      <c r="L2979" s="22">
        <v>1</v>
      </c>
      <c r="M2979" s="22">
        <v>2</v>
      </c>
    </row>
    <row r="2980" spans="1:13">
      <c r="A2980" s="6">
        <v>43859</v>
      </c>
      <c r="B2980" s="7">
        <v>0.60416666666666663</v>
      </c>
      <c r="C2980" s="22" t="str">
        <f>"FES1162733570"</f>
        <v>FES1162733570</v>
      </c>
      <c r="D2980" s="22" t="s">
        <v>19</v>
      </c>
      <c r="E2980" s="22" t="s">
        <v>151</v>
      </c>
      <c r="F2980" s="22" t="str">
        <f>"2170726118 "</f>
        <v xml:space="preserve">2170726118 </v>
      </c>
      <c r="G2980" s="22" t="str">
        <f t="shared" si="85"/>
        <v>ON1</v>
      </c>
      <c r="H2980" s="22" t="s">
        <v>21</v>
      </c>
      <c r="I2980" s="22" t="s">
        <v>152</v>
      </c>
      <c r="J2980" s="22" t="str">
        <f>""</f>
        <v/>
      </c>
      <c r="K2980" s="22" t="str">
        <f>"PFES1162733570_0001"</f>
        <v>PFES1162733570_0001</v>
      </c>
      <c r="L2980" s="22">
        <v>1</v>
      </c>
      <c r="M2980" s="22">
        <v>1</v>
      </c>
    </row>
    <row r="2981" spans="1:13">
      <c r="A2981" s="6">
        <v>43859</v>
      </c>
      <c r="B2981" s="7">
        <v>0.60347222222222219</v>
      </c>
      <c r="C2981" s="22" t="str">
        <f>"FES1162733552"</f>
        <v>FES1162733552</v>
      </c>
      <c r="D2981" s="22" t="s">
        <v>19</v>
      </c>
      <c r="E2981" s="22" t="s">
        <v>469</v>
      </c>
      <c r="F2981" s="22" t="str">
        <f>"217072598 "</f>
        <v xml:space="preserve">217072598 </v>
      </c>
      <c r="G2981" s="22" t="str">
        <f t="shared" si="85"/>
        <v>ON1</v>
      </c>
      <c r="H2981" s="22" t="s">
        <v>21</v>
      </c>
      <c r="I2981" s="22" t="s">
        <v>47</v>
      </c>
      <c r="J2981" s="22" t="str">
        <f>""</f>
        <v/>
      </c>
      <c r="K2981" s="22" t="str">
        <f>"PFES1162733552_0001"</f>
        <v>PFES1162733552_0001</v>
      </c>
      <c r="L2981" s="22">
        <v>2</v>
      </c>
      <c r="M2981" s="22">
        <v>14</v>
      </c>
    </row>
    <row r="2982" spans="1:13">
      <c r="A2982" s="6">
        <v>43496</v>
      </c>
      <c r="B2982" s="7">
        <v>0.61458333333333337</v>
      </c>
      <c r="C2982" s="22" t="str">
        <f>"FES1162733552"</f>
        <v>FES1162733552</v>
      </c>
      <c r="D2982" s="22" t="s">
        <v>19</v>
      </c>
      <c r="E2982" s="22" t="s">
        <v>115</v>
      </c>
      <c r="F2982" s="22" t="str">
        <f>"2170672008 "</f>
        <v xml:space="preserve">2170672008 </v>
      </c>
      <c r="G2982" s="22" t="str">
        <f t="shared" si="85"/>
        <v>ON1</v>
      </c>
      <c r="H2982" s="22" t="s">
        <v>21</v>
      </c>
      <c r="I2982" s="22" t="s">
        <v>38</v>
      </c>
      <c r="J2982" s="22" t="str">
        <f>""</f>
        <v/>
      </c>
      <c r="K2982" s="22" t="str">
        <f>"PFES1162733552_0002"</f>
        <v>PFES1162733552_0002</v>
      </c>
      <c r="L2982" s="22">
        <v>1</v>
      </c>
      <c r="M2982" s="22">
        <v>1</v>
      </c>
    </row>
    <row r="2983" spans="1:13">
      <c r="A2983" s="6">
        <v>43859</v>
      </c>
      <c r="B2983" s="7">
        <v>0.60347222222222219</v>
      </c>
      <c r="C2983" s="22" t="str">
        <f>"FES1162733572"</f>
        <v>FES1162733572</v>
      </c>
      <c r="D2983" s="22" t="s">
        <v>19</v>
      </c>
      <c r="E2983" s="22" t="s">
        <v>205</v>
      </c>
      <c r="F2983" s="22" t="str">
        <f>"2170726123 "</f>
        <v xml:space="preserve">2170726123 </v>
      </c>
      <c r="G2983" s="22" t="str">
        <f t="shared" si="85"/>
        <v>ON1</v>
      </c>
      <c r="H2983" s="22" t="s">
        <v>21</v>
      </c>
      <c r="I2983" s="22" t="s">
        <v>88</v>
      </c>
      <c r="J2983" s="22" t="str">
        <f>""</f>
        <v/>
      </c>
      <c r="K2983" s="22" t="str">
        <f>"PFES1162733572_0001"</f>
        <v>PFES1162733572_0001</v>
      </c>
      <c r="L2983" s="22">
        <v>1</v>
      </c>
      <c r="M2983" s="22">
        <v>1</v>
      </c>
    </row>
    <row r="2984" spans="1:13">
      <c r="A2984" s="6">
        <v>43859</v>
      </c>
      <c r="B2984" s="7">
        <v>0.60277777777777775</v>
      </c>
      <c r="C2984" s="22" t="str">
        <f>"FES1162733562"</f>
        <v>FES1162733562</v>
      </c>
      <c r="D2984" s="22" t="s">
        <v>19</v>
      </c>
      <c r="E2984" s="22" t="s">
        <v>1049</v>
      </c>
      <c r="F2984" s="22" t="str">
        <f>"2170726102 "</f>
        <v xml:space="preserve">2170726102 </v>
      </c>
      <c r="G2984" s="22" t="str">
        <f t="shared" si="85"/>
        <v>ON1</v>
      </c>
      <c r="H2984" s="22" t="s">
        <v>21</v>
      </c>
      <c r="I2984" s="22" t="s">
        <v>1050</v>
      </c>
      <c r="J2984" s="22" t="str">
        <f>""</f>
        <v/>
      </c>
      <c r="K2984" s="22" t="str">
        <f>"PFES1162733562_0001"</f>
        <v>PFES1162733562_0001</v>
      </c>
      <c r="L2984" s="22">
        <v>1</v>
      </c>
      <c r="M2984" s="22">
        <v>1</v>
      </c>
    </row>
    <row r="2985" spans="1:13">
      <c r="A2985" s="6">
        <v>43859</v>
      </c>
      <c r="B2985" s="7">
        <v>0.60138888888888886</v>
      </c>
      <c r="C2985" s="22" t="str">
        <f>"FES1162733537"</f>
        <v>FES1162733537</v>
      </c>
      <c r="D2985" s="22" t="s">
        <v>19</v>
      </c>
      <c r="E2985" s="22" t="s">
        <v>262</v>
      </c>
      <c r="F2985" s="22" t="str">
        <f>"2170725973 "</f>
        <v xml:space="preserve">2170725973 </v>
      </c>
      <c r="G2985" s="22" t="str">
        <f t="shared" si="85"/>
        <v>ON1</v>
      </c>
      <c r="H2985" s="22" t="s">
        <v>21</v>
      </c>
      <c r="I2985" s="22" t="s">
        <v>114</v>
      </c>
      <c r="J2985" s="22" t="str">
        <f>""</f>
        <v/>
      </c>
      <c r="K2985" s="22" t="str">
        <f>"PFES1162733537_0001"</f>
        <v>PFES1162733537_0001</v>
      </c>
      <c r="L2985" s="22">
        <v>1</v>
      </c>
      <c r="M2985" s="22">
        <v>1</v>
      </c>
    </row>
    <row r="2986" spans="1:13">
      <c r="A2986" s="6">
        <v>43859</v>
      </c>
      <c r="B2986" s="7">
        <v>0.60069444444444442</v>
      </c>
      <c r="C2986" s="22" t="str">
        <f>"FES1162733576"</f>
        <v>FES1162733576</v>
      </c>
      <c r="D2986" s="22" t="s">
        <v>19</v>
      </c>
      <c r="E2986" s="22" t="s">
        <v>603</v>
      </c>
      <c r="F2986" s="22" t="str">
        <f>"2170726128 "</f>
        <v xml:space="preserve">2170726128 </v>
      </c>
      <c r="G2986" s="22" t="str">
        <f t="shared" si="85"/>
        <v>ON1</v>
      </c>
      <c r="H2986" s="22" t="s">
        <v>21</v>
      </c>
      <c r="I2986" s="22" t="s">
        <v>604</v>
      </c>
      <c r="J2986" s="22" t="str">
        <f>""</f>
        <v/>
      </c>
      <c r="K2986" s="22" t="str">
        <f>"PFES1162733576_0001"</f>
        <v>PFES1162733576_0001</v>
      </c>
      <c r="L2986" s="22">
        <v>1</v>
      </c>
      <c r="M2986" s="22">
        <v>1</v>
      </c>
    </row>
    <row r="2987" spans="1:13">
      <c r="A2987" s="6">
        <v>43859</v>
      </c>
      <c r="B2987" s="7">
        <v>0.57986111111111105</v>
      </c>
      <c r="C2987" s="22" t="str">
        <f>"FES1162733531"</f>
        <v>FES1162733531</v>
      </c>
      <c r="D2987" s="22" t="s">
        <v>19</v>
      </c>
      <c r="E2987" s="22" t="s">
        <v>142</v>
      </c>
      <c r="F2987" s="22" t="str">
        <f>"2170726062 "</f>
        <v xml:space="preserve">2170726062 </v>
      </c>
      <c r="G2987" s="22" t="str">
        <f t="shared" si="85"/>
        <v>ON1</v>
      </c>
      <c r="H2987" s="22" t="s">
        <v>21</v>
      </c>
      <c r="I2987" s="22" t="s">
        <v>123</v>
      </c>
      <c r="J2987" s="22" t="str">
        <f>""</f>
        <v/>
      </c>
      <c r="K2987" s="22" t="str">
        <f>"PFES1162733531_0001"</f>
        <v>PFES1162733531_0001</v>
      </c>
      <c r="L2987" s="22">
        <v>1</v>
      </c>
      <c r="M2987" s="22">
        <v>1</v>
      </c>
    </row>
    <row r="2988" spans="1:13">
      <c r="A2988" s="6">
        <v>43859</v>
      </c>
      <c r="B2988" s="7">
        <v>0.57916666666666672</v>
      </c>
      <c r="C2988" s="22" t="str">
        <f>"FES1162733447"</f>
        <v>FES1162733447</v>
      </c>
      <c r="D2988" s="22" t="s">
        <v>19</v>
      </c>
      <c r="E2988" s="22" t="s">
        <v>566</v>
      </c>
      <c r="F2988" s="22" t="str">
        <f>"2170725982 "</f>
        <v xml:space="preserve">2170725982 </v>
      </c>
      <c r="G2988" s="22" t="str">
        <f t="shared" si="85"/>
        <v>ON1</v>
      </c>
      <c r="H2988" s="22" t="s">
        <v>21</v>
      </c>
      <c r="I2988" s="22" t="s">
        <v>249</v>
      </c>
      <c r="J2988" s="22" t="str">
        <f>""</f>
        <v/>
      </c>
      <c r="K2988" s="22" t="str">
        <f>"PFES1162733447_0001"</f>
        <v>PFES1162733447_0001</v>
      </c>
      <c r="L2988" s="22">
        <v>1</v>
      </c>
      <c r="M2988" s="22">
        <v>1</v>
      </c>
    </row>
    <row r="2989" spans="1:13">
      <c r="A2989" s="6">
        <v>43859</v>
      </c>
      <c r="B2989" s="7">
        <v>0.57777777777777783</v>
      </c>
      <c r="C2989" s="22" t="str">
        <f>"FES1162733543"</f>
        <v>FES1162733543</v>
      </c>
      <c r="D2989" s="22" t="s">
        <v>19</v>
      </c>
      <c r="E2989" s="22" t="s">
        <v>222</v>
      </c>
      <c r="F2989" s="22" t="str">
        <f>"2170726081 "</f>
        <v xml:space="preserve">2170726081 </v>
      </c>
      <c r="G2989" s="22" t="str">
        <f t="shared" si="85"/>
        <v>ON1</v>
      </c>
      <c r="H2989" s="22" t="s">
        <v>21</v>
      </c>
      <c r="I2989" s="22" t="s">
        <v>28</v>
      </c>
      <c r="J2989" s="22" t="str">
        <f>""</f>
        <v/>
      </c>
      <c r="K2989" s="22" t="str">
        <f>"PFES1162733543_0001"</f>
        <v>PFES1162733543_0001</v>
      </c>
      <c r="L2989" s="22">
        <v>1</v>
      </c>
      <c r="M2989" s="22">
        <v>1</v>
      </c>
    </row>
    <row r="2990" spans="1:13">
      <c r="A2990" s="6">
        <v>43859</v>
      </c>
      <c r="B2990" s="7">
        <v>0.57708333333333328</v>
      </c>
      <c r="C2990" s="22" t="str">
        <f>"FES1162733560"</f>
        <v>FES1162733560</v>
      </c>
      <c r="D2990" s="22" t="s">
        <v>19</v>
      </c>
      <c r="E2990" s="22" t="s">
        <v>643</v>
      </c>
      <c r="F2990" s="22" t="str">
        <f>"2170726099 "</f>
        <v xml:space="preserve">2170726099 </v>
      </c>
      <c r="G2990" s="22" t="str">
        <f t="shared" si="85"/>
        <v>ON1</v>
      </c>
      <c r="H2990" s="22" t="s">
        <v>21</v>
      </c>
      <c r="I2990" s="22" t="s">
        <v>644</v>
      </c>
      <c r="J2990" s="22" t="str">
        <f>""</f>
        <v/>
      </c>
      <c r="K2990" s="22" t="str">
        <f>"PFES1162733560_0001"</f>
        <v>PFES1162733560_0001</v>
      </c>
      <c r="L2990" s="22">
        <v>1</v>
      </c>
      <c r="M2990" s="22">
        <v>1</v>
      </c>
    </row>
    <row r="2991" spans="1:13">
      <c r="A2991" s="6">
        <v>43859</v>
      </c>
      <c r="B2991" s="7">
        <v>0.56805555555555554</v>
      </c>
      <c r="C2991" s="22" t="str">
        <f>"FES1162733559"</f>
        <v>FES1162733559</v>
      </c>
      <c r="D2991" s="22" t="s">
        <v>19</v>
      </c>
      <c r="E2991" s="22" t="s">
        <v>118</v>
      </c>
      <c r="F2991" s="22" t="str">
        <f>"2170760698 "</f>
        <v xml:space="preserve">2170760698 </v>
      </c>
      <c r="G2991" s="22" t="str">
        <f t="shared" si="85"/>
        <v>ON1</v>
      </c>
      <c r="H2991" s="22" t="s">
        <v>21</v>
      </c>
      <c r="I2991" s="22" t="s">
        <v>119</v>
      </c>
      <c r="J2991" s="22" t="str">
        <f>""</f>
        <v/>
      </c>
      <c r="K2991" s="22" t="str">
        <f>"PFES1162733559_0001"</f>
        <v>PFES1162733559_0001</v>
      </c>
      <c r="L2991" s="22">
        <v>1</v>
      </c>
      <c r="M2991" s="22">
        <v>2</v>
      </c>
    </row>
    <row r="2992" spans="1:13">
      <c r="A2992" s="6">
        <v>43859</v>
      </c>
      <c r="B2992" s="7">
        <v>0.56736111111111109</v>
      </c>
      <c r="C2992" s="22" t="str">
        <f>"FES1162733528"</f>
        <v>FES1162733528</v>
      </c>
      <c r="D2992" s="22" t="s">
        <v>19</v>
      </c>
      <c r="E2992" s="22" t="s">
        <v>151</v>
      </c>
      <c r="F2992" s="22" t="str">
        <f>"2170726057 "</f>
        <v xml:space="preserve">2170726057 </v>
      </c>
      <c r="G2992" s="22" t="str">
        <f t="shared" si="85"/>
        <v>ON1</v>
      </c>
      <c r="H2992" s="22" t="s">
        <v>21</v>
      </c>
      <c r="I2992" s="22" t="s">
        <v>152</v>
      </c>
      <c r="J2992" s="22" t="str">
        <f>""</f>
        <v/>
      </c>
      <c r="K2992" s="22" t="str">
        <f>"PFES1162733528_0001"</f>
        <v>PFES1162733528_0001</v>
      </c>
      <c r="L2992" s="22">
        <v>1</v>
      </c>
      <c r="M2992" s="22">
        <v>4</v>
      </c>
    </row>
    <row r="2993" spans="1:13">
      <c r="A2993" s="6">
        <v>43859</v>
      </c>
      <c r="B2993" s="7">
        <v>0.56666666666666665</v>
      </c>
      <c r="C2993" s="22" t="str">
        <f>"FES1162733530"</f>
        <v>FES1162733530</v>
      </c>
      <c r="D2993" s="22" t="s">
        <v>19</v>
      </c>
      <c r="E2993" s="22" t="s">
        <v>1051</v>
      </c>
      <c r="F2993" s="22" t="str">
        <f>"217076068 "</f>
        <v xml:space="preserve">217076068 </v>
      </c>
      <c r="G2993" s="22" t="str">
        <f>"DBC"</f>
        <v>DBC</v>
      </c>
      <c r="H2993" s="22" t="s">
        <v>21</v>
      </c>
      <c r="I2993" s="22" t="s">
        <v>866</v>
      </c>
      <c r="J2993" s="22" t="str">
        <f>"GREASE"</f>
        <v>GREASE</v>
      </c>
      <c r="K2993" s="22" t="str">
        <f>"PFES1162733530_0001"</f>
        <v>PFES1162733530_0001</v>
      </c>
      <c r="L2993" s="22">
        <v>1</v>
      </c>
      <c r="M2993" s="22">
        <v>1</v>
      </c>
    </row>
    <row r="2994" spans="1:13">
      <c r="A2994" s="6">
        <v>43859</v>
      </c>
      <c r="B2994" s="7">
        <v>0.56666666666666665</v>
      </c>
      <c r="C2994" s="22" t="str">
        <f>"FES1162733467"</f>
        <v>FES1162733467</v>
      </c>
      <c r="D2994" s="22" t="s">
        <v>19</v>
      </c>
      <c r="E2994" s="22" t="s">
        <v>101</v>
      </c>
      <c r="F2994" s="22" t="str">
        <f>"2170726003 "</f>
        <v xml:space="preserve">2170726003 </v>
      </c>
      <c r="G2994" s="22" t="str">
        <f t="shared" ref="G2994:G3002" si="86">"ON1"</f>
        <v>ON1</v>
      </c>
      <c r="H2994" s="22" t="s">
        <v>21</v>
      </c>
      <c r="I2994" s="22" t="s">
        <v>102</v>
      </c>
      <c r="J2994" s="22" t="str">
        <f>""</f>
        <v/>
      </c>
      <c r="K2994" s="22" t="str">
        <f>"PFES1162733467_0001"</f>
        <v>PFES1162733467_0001</v>
      </c>
      <c r="L2994" s="22">
        <v>1</v>
      </c>
      <c r="M2994" s="22">
        <v>2</v>
      </c>
    </row>
    <row r="2995" spans="1:13">
      <c r="A2995" s="6">
        <v>43859</v>
      </c>
      <c r="B2995" s="7">
        <v>0.56597222222222221</v>
      </c>
      <c r="C2995" s="22" t="str">
        <f>"FES1162733544"</f>
        <v>FES1162733544</v>
      </c>
      <c r="D2995" s="22" t="s">
        <v>19</v>
      </c>
      <c r="E2995" s="22" t="s">
        <v>529</v>
      </c>
      <c r="F2995" s="22" t="str">
        <f>"2170726083 "</f>
        <v xml:space="preserve">2170726083 </v>
      </c>
      <c r="G2995" s="22" t="str">
        <f t="shared" si="86"/>
        <v>ON1</v>
      </c>
      <c r="H2995" s="22" t="s">
        <v>21</v>
      </c>
      <c r="I2995" s="22" t="s">
        <v>36</v>
      </c>
      <c r="J2995" s="22" t="str">
        <f>""</f>
        <v/>
      </c>
      <c r="K2995" s="22" t="str">
        <f>"PFES1162733544_0001"</f>
        <v>PFES1162733544_0001</v>
      </c>
      <c r="L2995" s="22">
        <v>1</v>
      </c>
      <c r="M2995" s="22">
        <v>5</v>
      </c>
    </row>
    <row r="2996" spans="1:13">
      <c r="A2996" s="6">
        <v>43859</v>
      </c>
      <c r="B2996" s="7">
        <v>0.56597222222222221</v>
      </c>
      <c r="C2996" s="22" t="str">
        <f>"FES1162733494"</f>
        <v>FES1162733494</v>
      </c>
      <c r="D2996" s="22" t="s">
        <v>19</v>
      </c>
      <c r="E2996" s="22" t="s">
        <v>516</v>
      </c>
      <c r="F2996" s="22" t="str">
        <f>"2170724025 "</f>
        <v xml:space="preserve">2170724025 </v>
      </c>
      <c r="G2996" s="22" t="str">
        <f t="shared" si="86"/>
        <v>ON1</v>
      </c>
      <c r="H2996" s="22" t="s">
        <v>21</v>
      </c>
      <c r="I2996" s="22" t="s">
        <v>517</v>
      </c>
      <c r="J2996" s="22" t="str">
        <f>""</f>
        <v/>
      </c>
      <c r="K2996" s="22" t="str">
        <f>"PFES1162733494_0001"</f>
        <v>PFES1162733494_0001</v>
      </c>
      <c r="L2996" s="22">
        <v>1</v>
      </c>
      <c r="M2996" s="22">
        <v>4</v>
      </c>
    </row>
    <row r="2997" spans="1:13">
      <c r="A2997" s="6">
        <v>43859</v>
      </c>
      <c r="B2997" s="7">
        <v>0.55486111111111114</v>
      </c>
      <c r="C2997" s="22" t="str">
        <f>"009935723369"</f>
        <v>009935723369</v>
      </c>
      <c r="D2997" s="22" t="s">
        <v>19</v>
      </c>
      <c r="E2997" s="22" t="s">
        <v>192</v>
      </c>
      <c r="F2997" s="22" t="str">
        <f>"1162710308 "</f>
        <v xml:space="preserve">1162710308 </v>
      </c>
      <c r="G2997" s="22" t="str">
        <f t="shared" si="86"/>
        <v>ON1</v>
      </c>
      <c r="H2997" s="22" t="s">
        <v>21</v>
      </c>
      <c r="I2997" s="22" t="s">
        <v>193</v>
      </c>
      <c r="J2997" s="22" t="str">
        <f>"RESEND"</f>
        <v>RESEND</v>
      </c>
      <c r="K2997" s="22" t="str">
        <f>"P009935723369_0001"</f>
        <v>P009935723369_0001</v>
      </c>
      <c r="L2997" s="22">
        <v>1</v>
      </c>
      <c r="M2997" s="22">
        <v>1</v>
      </c>
    </row>
    <row r="2998" spans="1:13">
      <c r="A2998" s="6">
        <v>43859</v>
      </c>
      <c r="B2998" s="7">
        <v>0.5541666666666667</v>
      </c>
      <c r="C2998" s="22" t="str">
        <f>"009935723368"</f>
        <v>009935723368</v>
      </c>
      <c r="D2998" s="22" t="s">
        <v>19</v>
      </c>
      <c r="E2998" s="22" t="s">
        <v>1052</v>
      </c>
      <c r="F2998" s="22" t="str">
        <f>"1162709297 "</f>
        <v xml:space="preserve">1162709297 </v>
      </c>
      <c r="G2998" s="22" t="str">
        <f t="shared" si="86"/>
        <v>ON1</v>
      </c>
      <c r="H2998" s="22" t="s">
        <v>21</v>
      </c>
      <c r="I2998" s="22" t="s">
        <v>85</v>
      </c>
      <c r="J2998" s="22" t="str">
        <f>"RESND"</f>
        <v>RESND</v>
      </c>
      <c r="K2998" s="22" t="str">
        <f>"P009935723368_0001"</f>
        <v>P009935723368_0001</v>
      </c>
      <c r="L2998" s="22">
        <v>1</v>
      </c>
      <c r="M2998" s="22">
        <v>1</v>
      </c>
    </row>
    <row r="2999" spans="1:13">
      <c r="A2999" s="6">
        <v>43859</v>
      </c>
      <c r="B2999" s="7">
        <v>0.55347222222222225</v>
      </c>
      <c r="C2999" s="22" t="str">
        <f>"FES1162733527"</f>
        <v>FES1162733527</v>
      </c>
      <c r="D2999" s="22" t="s">
        <v>19</v>
      </c>
      <c r="E2999" s="22" t="s">
        <v>683</v>
      </c>
      <c r="F2999" s="22" t="str">
        <f>"2170726055 "</f>
        <v xml:space="preserve">2170726055 </v>
      </c>
      <c r="G2999" s="22" t="str">
        <f t="shared" si="86"/>
        <v>ON1</v>
      </c>
      <c r="H2999" s="22" t="s">
        <v>21</v>
      </c>
      <c r="I2999" s="22" t="s">
        <v>31</v>
      </c>
      <c r="J2999" s="22" t="str">
        <f>""</f>
        <v/>
      </c>
      <c r="K2999" s="22" t="str">
        <f>"PFES1162733527_0001"</f>
        <v>PFES1162733527_0001</v>
      </c>
      <c r="L2999" s="22">
        <v>1</v>
      </c>
      <c r="M2999" s="22">
        <v>2</v>
      </c>
    </row>
    <row r="3000" spans="1:13">
      <c r="A3000" s="6">
        <v>43859</v>
      </c>
      <c r="B3000" s="7">
        <v>0.55347222222222225</v>
      </c>
      <c r="C3000" s="22" t="str">
        <f>"FES1162733522"</f>
        <v>FES1162733522</v>
      </c>
      <c r="D3000" s="22" t="s">
        <v>19</v>
      </c>
      <c r="E3000" s="22" t="s">
        <v>701</v>
      </c>
      <c r="F3000" s="22" t="str">
        <f>"2170726048 "</f>
        <v xml:space="preserve">2170726048 </v>
      </c>
      <c r="G3000" s="22" t="str">
        <f t="shared" si="86"/>
        <v>ON1</v>
      </c>
      <c r="H3000" s="22" t="s">
        <v>21</v>
      </c>
      <c r="I3000" s="22" t="s">
        <v>702</v>
      </c>
      <c r="J3000" s="22" t="str">
        <f>""</f>
        <v/>
      </c>
      <c r="K3000" s="22" t="str">
        <f>"PFES1162733522_0001"</f>
        <v>PFES1162733522_0001</v>
      </c>
      <c r="L3000" s="22">
        <v>1</v>
      </c>
      <c r="M3000" s="22">
        <v>2</v>
      </c>
    </row>
    <row r="3001" spans="1:13">
      <c r="A3001" s="6">
        <v>43859</v>
      </c>
      <c r="B3001" s="7">
        <v>0.55277777777777781</v>
      </c>
      <c r="C3001" s="22" t="str">
        <f>"FES1162733431"</f>
        <v>FES1162733431</v>
      </c>
      <c r="D3001" s="22" t="s">
        <v>19</v>
      </c>
      <c r="E3001" s="22" t="s">
        <v>259</v>
      </c>
      <c r="F3001" s="22" t="str">
        <f>"2170725759 "</f>
        <v xml:space="preserve">2170725759 </v>
      </c>
      <c r="G3001" s="22" t="str">
        <f t="shared" si="86"/>
        <v>ON1</v>
      </c>
      <c r="H3001" s="22" t="s">
        <v>21</v>
      </c>
      <c r="I3001" s="22" t="s">
        <v>260</v>
      </c>
      <c r="J3001" s="22" t="str">
        <f>""</f>
        <v/>
      </c>
      <c r="K3001" s="22" t="str">
        <f>"PFES1162733431_0001"</f>
        <v>PFES1162733431_0001</v>
      </c>
      <c r="L3001" s="22">
        <v>2</v>
      </c>
      <c r="M3001" s="22">
        <v>16</v>
      </c>
    </row>
    <row r="3002" spans="1:13">
      <c r="A3002" s="6">
        <v>43859</v>
      </c>
      <c r="B3002" s="7">
        <v>0.55277777777777781</v>
      </c>
      <c r="C3002" s="22" t="str">
        <f>"FES1162733431"</f>
        <v>FES1162733431</v>
      </c>
      <c r="D3002" s="22" t="s">
        <v>19</v>
      </c>
      <c r="E3002" s="22" t="s">
        <v>259</v>
      </c>
      <c r="F3002" s="22" t="str">
        <f>"2170725759 "</f>
        <v xml:space="preserve">2170725759 </v>
      </c>
      <c r="G3002" s="22" t="str">
        <f t="shared" si="86"/>
        <v>ON1</v>
      </c>
      <c r="H3002" s="22" t="s">
        <v>21</v>
      </c>
      <c r="I3002" s="22" t="s">
        <v>260</v>
      </c>
      <c r="J3002" s="22"/>
      <c r="K3002" s="22" t="str">
        <f>"PFES1162733431_0002"</f>
        <v>PFES1162733431_0002</v>
      </c>
      <c r="L3002" s="22">
        <v>2</v>
      </c>
      <c r="M3002" s="22">
        <v>16</v>
      </c>
    </row>
    <row r="3003" spans="1:13">
      <c r="A3003" s="6">
        <v>43859</v>
      </c>
      <c r="B3003" s="7">
        <v>0.55277777777777781</v>
      </c>
      <c r="C3003" s="22" t="str">
        <f>"FES1162733539"</f>
        <v>FES1162733539</v>
      </c>
      <c r="D3003" s="22" t="s">
        <v>19</v>
      </c>
      <c r="E3003" s="22" t="s">
        <v>59</v>
      </c>
      <c r="F3003" s="22" t="str">
        <f>"2170726076 "</f>
        <v xml:space="preserve">2170726076 </v>
      </c>
      <c r="G3003" s="22" t="str">
        <f>"ON1"</f>
        <v>ON1</v>
      </c>
      <c r="H3003" s="22" t="s">
        <v>21</v>
      </c>
      <c r="I3003" s="22" t="s">
        <v>60</v>
      </c>
      <c r="J3003" s="22" t="str">
        <f>""</f>
        <v/>
      </c>
      <c r="K3003" s="22" t="str">
        <f>"PFES1162733539_0001"</f>
        <v>PFES1162733539_0001</v>
      </c>
      <c r="L3003" s="22">
        <v>1</v>
      </c>
      <c r="M3003" s="22">
        <v>2</v>
      </c>
    </row>
    <row r="3004" spans="1:13">
      <c r="A3004" s="6">
        <v>43859</v>
      </c>
      <c r="B3004" s="7">
        <v>0.55208333333333337</v>
      </c>
      <c r="C3004" s="22" t="str">
        <f>"FES1162733507"</f>
        <v>FES1162733507</v>
      </c>
      <c r="D3004" s="22" t="s">
        <v>19</v>
      </c>
      <c r="E3004" s="22" t="s">
        <v>465</v>
      </c>
      <c r="F3004" s="22" t="str">
        <f>"2170726036 "</f>
        <v xml:space="preserve">2170726036 </v>
      </c>
      <c r="G3004" s="22" t="str">
        <f>"ON1"</f>
        <v>ON1</v>
      </c>
      <c r="H3004" s="22" t="s">
        <v>21</v>
      </c>
      <c r="I3004" s="22" t="s">
        <v>466</v>
      </c>
      <c r="J3004" s="22" t="str">
        <f>""</f>
        <v/>
      </c>
      <c r="K3004" s="22" t="str">
        <f>"PFES1162733507_0001"</f>
        <v>PFES1162733507_0001</v>
      </c>
      <c r="L3004" s="22">
        <v>1</v>
      </c>
      <c r="M3004" s="22">
        <v>2</v>
      </c>
    </row>
    <row r="3005" spans="1:13">
      <c r="A3005" s="6">
        <v>43859</v>
      </c>
      <c r="B3005" s="7">
        <v>0.55208333333333337</v>
      </c>
      <c r="C3005" s="22" t="str">
        <f>"FES1162733450"</f>
        <v>FES1162733450</v>
      </c>
      <c r="D3005" s="22" t="s">
        <v>19</v>
      </c>
      <c r="E3005" s="22" t="s">
        <v>1053</v>
      </c>
      <c r="F3005" s="22" t="str">
        <f>"2170725986 "</f>
        <v xml:space="preserve">2170725986 </v>
      </c>
      <c r="G3005" s="22" t="str">
        <f>"DBC"</f>
        <v>DBC</v>
      </c>
      <c r="H3005" s="22" t="s">
        <v>21</v>
      </c>
      <c r="I3005" s="22" t="s">
        <v>200</v>
      </c>
      <c r="J3005" s="22" t="str">
        <f>""</f>
        <v/>
      </c>
      <c r="K3005" s="22" t="str">
        <f>"PFES1162733450_0001"</f>
        <v>PFES1162733450_0001</v>
      </c>
      <c r="L3005" s="22">
        <v>1</v>
      </c>
      <c r="M3005" s="22">
        <v>22</v>
      </c>
    </row>
    <row r="3006" spans="1:13">
      <c r="A3006" s="6">
        <v>43859</v>
      </c>
      <c r="B3006" s="7">
        <v>0.55208333333333337</v>
      </c>
      <c r="C3006" s="22" t="str">
        <f>"FES1162733444"</f>
        <v>FES1162733444</v>
      </c>
      <c r="D3006" s="22" t="s">
        <v>19</v>
      </c>
      <c r="E3006" s="22" t="s">
        <v>354</v>
      </c>
      <c r="F3006" s="22" t="str">
        <f>"2170725975 "</f>
        <v xml:space="preserve">2170725975 </v>
      </c>
      <c r="G3006" s="22" t="str">
        <f t="shared" ref="G3006:G3069" si="87">"ON1"</f>
        <v>ON1</v>
      </c>
      <c r="H3006" s="22" t="s">
        <v>21</v>
      </c>
      <c r="I3006" s="22" t="s">
        <v>355</v>
      </c>
      <c r="J3006" s="22" t="str">
        <f>""</f>
        <v/>
      </c>
      <c r="K3006" s="22" t="str">
        <f>"PFES1162733444_0001"</f>
        <v>PFES1162733444_0001</v>
      </c>
      <c r="L3006" s="22">
        <v>1</v>
      </c>
      <c r="M3006" s="22">
        <v>3</v>
      </c>
    </row>
    <row r="3007" spans="1:13">
      <c r="A3007" s="6">
        <v>43859</v>
      </c>
      <c r="B3007" s="7">
        <v>0.55138888888888882</v>
      </c>
      <c r="C3007" s="22" t="str">
        <f>"FES1162733438"</f>
        <v>FES1162733438</v>
      </c>
      <c r="D3007" s="22" t="s">
        <v>19</v>
      </c>
      <c r="E3007" s="22" t="s">
        <v>33</v>
      </c>
      <c r="F3007" s="22" t="str">
        <f>"2170724217 "</f>
        <v xml:space="preserve">2170724217 </v>
      </c>
      <c r="G3007" s="22" t="str">
        <f t="shared" si="87"/>
        <v>ON1</v>
      </c>
      <c r="H3007" s="22" t="s">
        <v>21</v>
      </c>
      <c r="I3007" s="22" t="s">
        <v>34</v>
      </c>
      <c r="J3007" s="22" t="str">
        <f>""</f>
        <v/>
      </c>
      <c r="K3007" s="22" t="str">
        <f>"PFES1162733438_0001"</f>
        <v>PFES1162733438_0001</v>
      </c>
      <c r="L3007" s="22">
        <v>1</v>
      </c>
      <c r="M3007" s="22">
        <v>15</v>
      </c>
    </row>
    <row r="3008" spans="1:13">
      <c r="A3008" s="6">
        <v>43859</v>
      </c>
      <c r="B3008" s="7">
        <v>0.55138888888888882</v>
      </c>
      <c r="C3008" s="22" t="str">
        <f>"FES1162733430"</f>
        <v>FES1162733430</v>
      </c>
      <c r="D3008" s="22" t="s">
        <v>19</v>
      </c>
      <c r="E3008" s="22" t="s">
        <v>37</v>
      </c>
      <c r="F3008" s="22" t="str">
        <f>"2170725718 "</f>
        <v xml:space="preserve">2170725718 </v>
      </c>
      <c r="G3008" s="22" t="str">
        <f t="shared" si="87"/>
        <v>ON1</v>
      </c>
      <c r="H3008" s="22" t="s">
        <v>21</v>
      </c>
      <c r="I3008" s="22" t="s">
        <v>38</v>
      </c>
      <c r="J3008" s="22" t="str">
        <f>""</f>
        <v/>
      </c>
      <c r="K3008" s="22" t="str">
        <f>"PFES1162733430_0001"</f>
        <v>PFES1162733430_0001</v>
      </c>
      <c r="L3008" s="22">
        <v>1</v>
      </c>
      <c r="M3008" s="22">
        <v>5</v>
      </c>
    </row>
    <row r="3009" spans="1:13">
      <c r="A3009" s="6">
        <v>43859</v>
      </c>
      <c r="B3009" s="7">
        <v>0.55069444444444449</v>
      </c>
      <c r="C3009" s="22" t="str">
        <f>"FES1162733466"</f>
        <v>FES1162733466</v>
      </c>
      <c r="D3009" s="22" t="s">
        <v>19</v>
      </c>
      <c r="E3009" s="22" t="s">
        <v>1007</v>
      </c>
      <c r="F3009" s="22" t="str">
        <f>"2170726008 "</f>
        <v xml:space="preserve">2170726008 </v>
      </c>
      <c r="G3009" s="22" t="str">
        <f t="shared" si="87"/>
        <v>ON1</v>
      </c>
      <c r="H3009" s="22" t="s">
        <v>21</v>
      </c>
      <c r="I3009" s="22" t="s">
        <v>731</v>
      </c>
      <c r="J3009" s="22" t="str">
        <f>""</f>
        <v/>
      </c>
      <c r="K3009" s="22" t="str">
        <f>"PFES1162733466_0001"</f>
        <v>PFES1162733466_0001</v>
      </c>
      <c r="L3009" s="22">
        <v>1</v>
      </c>
      <c r="M3009" s="22">
        <v>1</v>
      </c>
    </row>
    <row r="3010" spans="1:13">
      <c r="A3010" s="6">
        <v>43859</v>
      </c>
      <c r="B3010" s="7">
        <v>0.55069444444444449</v>
      </c>
      <c r="C3010" s="22" t="str">
        <f>"FES1162733270"</f>
        <v>FES1162733270</v>
      </c>
      <c r="D3010" s="22" t="s">
        <v>19</v>
      </c>
      <c r="E3010" s="22" t="s">
        <v>607</v>
      </c>
      <c r="F3010" s="22" t="str">
        <f>"2170721063 "</f>
        <v xml:space="preserve">2170721063 </v>
      </c>
      <c r="G3010" s="22" t="str">
        <f t="shared" si="87"/>
        <v>ON1</v>
      </c>
      <c r="H3010" s="22" t="s">
        <v>21</v>
      </c>
      <c r="I3010" s="22" t="s">
        <v>416</v>
      </c>
      <c r="J3010" s="22" t="str">
        <f>""</f>
        <v/>
      </c>
      <c r="K3010" s="22" t="str">
        <f>"PFES1162733270_0001"</f>
        <v>PFES1162733270_0001</v>
      </c>
      <c r="L3010" s="22">
        <v>1</v>
      </c>
      <c r="M3010" s="22">
        <v>1</v>
      </c>
    </row>
    <row r="3011" spans="1:13">
      <c r="A3011" s="6">
        <v>43859</v>
      </c>
      <c r="B3011" s="7">
        <v>0.55069444444444449</v>
      </c>
      <c r="C3011" s="22" t="str">
        <f>"FES1162733448"</f>
        <v>FES1162733448</v>
      </c>
      <c r="D3011" s="22" t="s">
        <v>19</v>
      </c>
      <c r="E3011" s="22" t="s">
        <v>188</v>
      </c>
      <c r="F3011" s="22" t="str">
        <f>"2170725983 "</f>
        <v xml:space="preserve">2170725983 </v>
      </c>
      <c r="G3011" s="22" t="str">
        <f t="shared" si="87"/>
        <v>ON1</v>
      </c>
      <c r="H3011" s="22" t="s">
        <v>21</v>
      </c>
      <c r="I3011" s="22" t="s">
        <v>189</v>
      </c>
      <c r="J3011" s="22" t="str">
        <f>""</f>
        <v/>
      </c>
      <c r="K3011" s="22" t="str">
        <f>"PFES1162733448_0001"</f>
        <v>PFES1162733448_0001</v>
      </c>
      <c r="L3011" s="22">
        <v>1</v>
      </c>
      <c r="M3011" s="22">
        <v>4</v>
      </c>
    </row>
    <row r="3012" spans="1:13">
      <c r="A3012" s="6">
        <v>43859</v>
      </c>
      <c r="B3012" s="7">
        <v>0.54999999999999993</v>
      </c>
      <c r="C3012" s="22" t="str">
        <f>"FES1162733432"</f>
        <v>FES1162733432</v>
      </c>
      <c r="D3012" s="22" t="s">
        <v>19</v>
      </c>
      <c r="E3012" s="22" t="s">
        <v>190</v>
      </c>
      <c r="F3012" s="22" t="str">
        <f>"2170725816 "</f>
        <v xml:space="preserve">2170725816 </v>
      </c>
      <c r="G3012" s="22" t="str">
        <f t="shared" si="87"/>
        <v>ON1</v>
      </c>
      <c r="H3012" s="22" t="s">
        <v>21</v>
      </c>
      <c r="I3012" s="22" t="s">
        <v>191</v>
      </c>
      <c r="J3012" s="22" t="str">
        <f>""</f>
        <v/>
      </c>
      <c r="K3012" s="22" t="str">
        <f>"PFES1162733432_0001"</f>
        <v>PFES1162733432_0001</v>
      </c>
      <c r="L3012" s="22">
        <v>2</v>
      </c>
      <c r="M3012" s="22">
        <v>10</v>
      </c>
    </row>
    <row r="3013" spans="1:13">
      <c r="A3013" s="6">
        <v>43859</v>
      </c>
      <c r="B3013" s="7">
        <v>0.54999999999999993</v>
      </c>
      <c r="C3013" s="22" t="str">
        <f>"FES1162733432"</f>
        <v>FES1162733432</v>
      </c>
      <c r="D3013" s="22" t="s">
        <v>19</v>
      </c>
      <c r="E3013" s="22" t="s">
        <v>190</v>
      </c>
      <c r="F3013" s="22" t="str">
        <f>"2170725816 "</f>
        <v xml:space="preserve">2170725816 </v>
      </c>
      <c r="G3013" s="22" t="str">
        <f t="shared" si="87"/>
        <v>ON1</v>
      </c>
      <c r="H3013" s="22" t="s">
        <v>21</v>
      </c>
      <c r="I3013" s="22" t="s">
        <v>191</v>
      </c>
      <c r="J3013" s="22"/>
      <c r="K3013" s="22" t="str">
        <f>"PFES1162733432_0002"</f>
        <v>PFES1162733432_0002</v>
      </c>
      <c r="L3013" s="22">
        <v>2</v>
      </c>
      <c r="M3013" s="22">
        <v>10</v>
      </c>
    </row>
    <row r="3014" spans="1:13">
      <c r="A3014" s="6">
        <v>43859</v>
      </c>
      <c r="B3014" s="7">
        <v>0.54999999999999993</v>
      </c>
      <c r="C3014" s="22" t="str">
        <f>"FES1162733433"</f>
        <v>FES1162733433</v>
      </c>
      <c r="D3014" s="22" t="s">
        <v>19</v>
      </c>
      <c r="E3014" s="22" t="s">
        <v>547</v>
      </c>
      <c r="F3014" s="22" t="str">
        <f>"2170725962 "</f>
        <v xml:space="preserve">2170725962 </v>
      </c>
      <c r="G3014" s="22" t="str">
        <f t="shared" si="87"/>
        <v>ON1</v>
      </c>
      <c r="H3014" s="22" t="s">
        <v>21</v>
      </c>
      <c r="I3014" s="22" t="s">
        <v>548</v>
      </c>
      <c r="J3014" s="22" t="str">
        <f>""</f>
        <v/>
      </c>
      <c r="K3014" s="22" t="str">
        <f>"PFES1162733433_0001"</f>
        <v>PFES1162733433_0001</v>
      </c>
      <c r="L3014" s="22">
        <v>1</v>
      </c>
      <c r="M3014" s="22">
        <v>18</v>
      </c>
    </row>
    <row r="3015" spans="1:13">
      <c r="A3015" s="6">
        <v>43859</v>
      </c>
      <c r="B3015" s="7">
        <v>0.5493055555555556</v>
      </c>
      <c r="C3015" s="22" t="str">
        <f>"FES1162733471"</f>
        <v>FES1162733471</v>
      </c>
      <c r="D3015" s="22" t="s">
        <v>19</v>
      </c>
      <c r="E3015" s="22" t="s">
        <v>20</v>
      </c>
      <c r="F3015" s="22" t="str">
        <f>"2170723314 "</f>
        <v xml:space="preserve">2170723314 </v>
      </c>
      <c r="G3015" s="22" t="str">
        <f t="shared" si="87"/>
        <v>ON1</v>
      </c>
      <c r="H3015" s="22" t="s">
        <v>21</v>
      </c>
      <c r="I3015" s="22" t="s">
        <v>22</v>
      </c>
      <c r="J3015" s="22" t="str">
        <f>""</f>
        <v/>
      </c>
      <c r="K3015" s="22" t="str">
        <f>"PFES1162733471_0001"</f>
        <v>PFES1162733471_0001</v>
      </c>
      <c r="L3015" s="22">
        <v>1</v>
      </c>
      <c r="M3015" s="22">
        <v>2</v>
      </c>
    </row>
    <row r="3016" spans="1:13">
      <c r="A3016" s="6">
        <v>43859</v>
      </c>
      <c r="B3016" s="7">
        <v>0.5493055555555556</v>
      </c>
      <c r="C3016" s="22" t="str">
        <f>"FES1162733472"</f>
        <v>FES1162733472</v>
      </c>
      <c r="D3016" s="22" t="s">
        <v>19</v>
      </c>
      <c r="E3016" s="22" t="s">
        <v>465</v>
      </c>
      <c r="F3016" s="22" t="str">
        <f>"2170726018 "</f>
        <v xml:space="preserve">2170726018 </v>
      </c>
      <c r="G3016" s="22" t="str">
        <f t="shared" si="87"/>
        <v>ON1</v>
      </c>
      <c r="H3016" s="22" t="s">
        <v>21</v>
      </c>
      <c r="I3016" s="22" t="s">
        <v>466</v>
      </c>
      <c r="J3016" s="22" t="str">
        <f>""</f>
        <v/>
      </c>
      <c r="K3016" s="22" t="str">
        <f>"PFES1162733472_0001"</f>
        <v>PFES1162733472_0001</v>
      </c>
      <c r="L3016" s="22">
        <v>1</v>
      </c>
      <c r="M3016" s="22">
        <v>7</v>
      </c>
    </row>
    <row r="3017" spans="1:13">
      <c r="A3017" s="6">
        <v>43859</v>
      </c>
      <c r="B3017" s="7">
        <v>0.54861111111111105</v>
      </c>
      <c r="C3017" s="22" t="str">
        <f>"FES1162733510"</f>
        <v>FES1162733510</v>
      </c>
      <c r="D3017" s="22" t="s">
        <v>19</v>
      </c>
      <c r="E3017" s="22" t="s">
        <v>222</v>
      </c>
      <c r="F3017" s="22" t="str">
        <f>"2170726037 "</f>
        <v xml:space="preserve">2170726037 </v>
      </c>
      <c r="G3017" s="22" t="str">
        <f t="shared" si="87"/>
        <v>ON1</v>
      </c>
      <c r="H3017" s="22" t="s">
        <v>21</v>
      </c>
      <c r="I3017" s="22" t="s">
        <v>28</v>
      </c>
      <c r="J3017" s="22" t="str">
        <f>""</f>
        <v/>
      </c>
      <c r="K3017" s="22" t="str">
        <f>"PFES1162733510_0001"</f>
        <v>PFES1162733510_0001</v>
      </c>
      <c r="L3017" s="22">
        <v>1</v>
      </c>
      <c r="M3017" s="22">
        <v>10</v>
      </c>
    </row>
    <row r="3018" spans="1:13">
      <c r="A3018" s="6">
        <v>43859</v>
      </c>
      <c r="B3018" s="7">
        <v>0.54861111111111105</v>
      </c>
      <c r="C3018" s="22" t="str">
        <f>"FES1162732104"</f>
        <v>FES1162732104</v>
      </c>
      <c r="D3018" s="22" t="s">
        <v>19</v>
      </c>
      <c r="E3018" s="22" t="s">
        <v>1035</v>
      </c>
      <c r="F3018" s="22" t="str">
        <f>"2170722311 "</f>
        <v xml:space="preserve">2170722311 </v>
      </c>
      <c r="G3018" s="22" t="str">
        <f t="shared" si="87"/>
        <v>ON1</v>
      </c>
      <c r="H3018" s="22" t="s">
        <v>21</v>
      </c>
      <c r="I3018" s="22" t="s">
        <v>355</v>
      </c>
      <c r="J3018" s="22" t="str">
        <f>""</f>
        <v/>
      </c>
      <c r="K3018" s="22" t="str">
        <f>"PFES1162732104_0001"</f>
        <v>PFES1162732104_0001</v>
      </c>
      <c r="L3018" s="22">
        <v>1</v>
      </c>
      <c r="M3018" s="22">
        <v>3</v>
      </c>
    </row>
    <row r="3019" spans="1:13">
      <c r="A3019" s="6">
        <v>43859</v>
      </c>
      <c r="B3019" s="7">
        <v>0.54791666666666672</v>
      </c>
      <c r="C3019" s="22" t="str">
        <f>"FES1162733516"</f>
        <v>FES1162733516</v>
      </c>
      <c r="D3019" s="22" t="s">
        <v>19</v>
      </c>
      <c r="E3019" s="22" t="s">
        <v>120</v>
      </c>
      <c r="F3019" s="22" t="str">
        <f>"2170724005 "</f>
        <v xml:space="preserve">2170724005 </v>
      </c>
      <c r="G3019" s="22" t="str">
        <f t="shared" si="87"/>
        <v>ON1</v>
      </c>
      <c r="H3019" s="22" t="s">
        <v>21</v>
      </c>
      <c r="I3019" s="22" t="s">
        <v>121</v>
      </c>
      <c r="J3019" s="22" t="str">
        <f>""</f>
        <v/>
      </c>
      <c r="K3019" s="22" t="str">
        <f>"PFES1162733516_0001"</f>
        <v>PFES1162733516_0001</v>
      </c>
      <c r="L3019" s="22">
        <v>1</v>
      </c>
      <c r="M3019" s="22">
        <v>1</v>
      </c>
    </row>
    <row r="3020" spans="1:13">
      <c r="A3020" s="6">
        <v>43859</v>
      </c>
      <c r="B3020" s="7">
        <v>0.54791666666666672</v>
      </c>
      <c r="C3020" s="22" t="str">
        <f>"FES1162733521"</f>
        <v>FES1162733521</v>
      </c>
      <c r="D3020" s="22" t="s">
        <v>19</v>
      </c>
      <c r="E3020" s="22" t="s">
        <v>160</v>
      </c>
      <c r="F3020" s="22" t="str">
        <f>"2170726047 "</f>
        <v xml:space="preserve">2170726047 </v>
      </c>
      <c r="G3020" s="22" t="str">
        <f t="shared" si="87"/>
        <v>ON1</v>
      </c>
      <c r="H3020" s="22" t="s">
        <v>21</v>
      </c>
      <c r="I3020" s="22" t="s">
        <v>161</v>
      </c>
      <c r="J3020" s="22" t="str">
        <f>""</f>
        <v/>
      </c>
      <c r="K3020" s="22" t="str">
        <f>"PFES1162733521_0001"</f>
        <v>PFES1162733521_0001</v>
      </c>
      <c r="L3020" s="22">
        <v>1</v>
      </c>
      <c r="M3020" s="22">
        <v>1</v>
      </c>
    </row>
    <row r="3021" spans="1:13">
      <c r="A3021" s="6">
        <v>43859</v>
      </c>
      <c r="B3021" s="7">
        <v>0.54722222222222217</v>
      </c>
      <c r="C3021" s="22" t="str">
        <f>"FES1162733538"</f>
        <v>FES1162733538</v>
      </c>
      <c r="D3021" s="22" t="s">
        <v>19</v>
      </c>
      <c r="E3021" s="22" t="s">
        <v>59</v>
      </c>
      <c r="F3021" s="22" t="str">
        <f>"2170726075 "</f>
        <v xml:space="preserve">2170726075 </v>
      </c>
      <c r="G3021" s="22" t="str">
        <f t="shared" si="87"/>
        <v>ON1</v>
      </c>
      <c r="H3021" s="22" t="s">
        <v>21</v>
      </c>
      <c r="I3021" s="22" t="s">
        <v>60</v>
      </c>
      <c r="J3021" s="22" t="str">
        <f>""</f>
        <v/>
      </c>
      <c r="K3021" s="22" t="str">
        <f>"PFES1162733538_0001"</f>
        <v>PFES1162733538_0001</v>
      </c>
      <c r="L3021" s="22">
        <v>1</v>
      </c>
      <c r="M3021" s="22">
        <v>1</v>
      </c>
    </row>
    <row r="3022" spans="1:13">
      <c r="A3022" s="6">
        <v>43859</v>
      </c>
      <c r="B3022" s="7">
        <v>0.54722222222222217</v>
      </c>
      <c r="C3022" s="22" t="str">
        <f>"FES1162733520"</f>
        <v>FES1162733520</v>
      </c>
      <c r="D3022" s="22" t="s">
        <v>19</v>
      </c>
      <c r="E3022" s="22" t="s">
        <v>67</v>
      </c>
      <c r="F3022" s="22" t="str">
        <f>"2170723858 "</f>
        <v xml:space="preserve">2170723858 </v>
      </c>
      <c r="G3022" s="22" t="str">
        <f t="shared" si="87"/>
        <v>ON1</v>
      </c>
      <c r="H3022" s="22" t="s">
        <v>21</v>
      </c>
      <c r="I3022" s="22" t="s">
        <v>253</v>
      </c>
      <c r="J3022" s="22" t="str">
        <f>""</f>
        <v/>
      </c>
      <c r="K3022" s="22" t="str">
        <f>"PFES1162733520_0001"</f>
        <v>PFES1162733520_0001</v>
      </c>
      <c r="L3022" s="22">
        <v>1</v>
      </c>
      <c r="M3022" s="22">
        <v>1</v>
      </c>
    </row>
    <row r="3023" spans="1:13">
      <c r="A3023" s="6">
        <v>43859</v>
      </c>
      <c r="B3023" s="7">
        <v>0.54722222222222217</v>
      </c>
      <c r="C3023" s="22" t="str">
        <f>"FES1162733434"</f>
        <v>FES1162733434</v>
      </c>
      <c r="D3023" s="22" t="s">
        <v>19</v>
      </c>
      <c r="E3023" s="22" t="s">
        <v>192</v>
      </c>
      <c r="F3023" s="22" t="str">
        <f>"2170725963 "</f>
        <v xml:space="preserve">2170725963 </v>
      </c>
      <c r="G3023" s="22" t="str">
        <f t="shared" si="87"/>
        <v>ON1</v>
      </c>
      <c r="H3023" s="22" t="s">
        <v>21</v>
      </c>
      <c r="I3023" s="22" t="s">
        <v>193</v>
      </c>
      <c r="J3023" s="22" t="str">
        <f>""</f>
        <v/>
      </c>
      <c r="K3023" s="22" t="str">
        <f>"PFES1162733434_0001"</f>
        <v>PFES1162733434_0001</v>
      </c>
      <c r="L3023" s="22">
        <v>1</v>
      </c>
      <c r="M3023" s="22">
        <v>1</v>
      </c>
    </row>
    <row r="3024" spans="1:13">
      <c r="A3024" s="6">
        <v>43859</v>
      </c>
      <c r="B3024" s="7">
        <v>0.54722222222222217</v>
      </c>
      <c r="C3024" s="22" t="str">
        <f>"FES1162733464"</f>
        <v>FES1162733464</v>
      </c>
      <c r="D3024" s="22" t="s">
        <v>19</v>
      </c>
      <c r="E3024" s="22" t="s">
        <v>86</v>
      </c>
      <c r="F3024" s="22" t="str">
        <f>"2170723781 "</f>
        <v xml:space="preserve">2170723781 </v>
      </c>
      <c r="G3024" s="22" t="str">
        <f t="shared" si="87"/>
        <v>ON1</v>
      </c>
      <c r="H3024" s="22" t="s">
        <v>21</v>
      </c>
      <c r="I3024" s="22" t="s">
        <v>63</v>
      </c>
      <c r="J3024" s="22" t="str">
        <f>""</f>
        <v/>
      </c>
      <c r="K3024" s="22" t="str">
        <f>"PFES1162733464_0001"</f>
        <v>PFES1162733464_0001</v>
      </c>
      <c r="L3024" s="22">
        <v>1</v>
      </c>
      <c r="M3024" s="22">
        <v>1</v>
      </c>
    </row>
    <row r="3025" spans="1:13">
      <c r="A3025" s="6">
        <v>43859</v>
      </c>
      <c r="B3025" s="7">
        <v>0.54652777777777783</v>
      </c>
      <c r="C3025" s="22" t="str">
        <f>"FES1162733493"</f>
        <v>FES1162733493</v>
      </c>
      <c r="D3025" s="22" t="s">
        <v>19</v>
      </c>
      <c r="E3025" s="22" t="s">
        <v>474</v>
      </c>
      <c r="F3025" s="22" t="str">
        <f>"21707240004 "</f>
        <v xml:space="preserve">21707240004 </v>
      </c>
      <c r="G3025" s="22" t="str">
        <f t="shared" si="87"/>
        <v>ON1</v>
      </c>
      <c r="H3025" s="22" t="s">
        <v>21</v>
      </c>
      <c r="I3025" s="22" t="s">
        <v>85</v>
      </c>
      <c r="J3025" s="22" t="str">
        <f>""</f>
        <v/>
      </c>
      <c r="K3025" s="22" t="str">
        <f>"PFES1162733493_0001"</f>
        <v>PFES1162733493_0001</v>
      </c>
      <c r="L3025" s="22">
        <v>1</v>
      </c>
      <c r="M3025" s="22">
        <v>1</v>
      </c>
    </row>
    <row r="3026" spans="1:13">
      <c r="A3026" s="6">
        <v>43859</v>
      </c>
      <c r="B3026" s="7">
        <v>0.54652777777777783</v>
      </c>
      <c r="C3026" s="22" t="str">
        <f>"FES1162733518"</f>
        <v>FES1162733518</v>
      </c>
      <c r="D3026" s="22" t="s">
        <v>19</v>
      </c>
      <c r="E3026" s="22" t="s">
        <v>1054</v>
      </c>
      <c r="F3026" s="22" t="str">
        <f>"2170726045 "</f>
        <v xml:space="preserve">2170726045 </v>
      </c>
      <c r="G3026" s="22" t="str">
        <f t="shared" si="87"/>
        <v>ON1</v>
      </c>
      <c r="H3026" s="22" t="s">
        <v>21</v>
      </c>
      <c r="I3026" s="22" t="s">
        <v>1055</v>
      </c>
      <c r="J3026" s="22" t="str">
        <f>""</f>
        <v/>
      </c>
      <c r="K3026" s="22" t="str">
        <f>"PFES1162733518_0001"</f>
        <v>PFES1162733518_0001</v>
      </c>
      <c r="L3026" s="22">
        <v>1</v>
      </c>
      <c r="M3026" s="22">
        <v>1</v>
      </c>
    </row>
    <row r="3027" spans="1:13">
      <c r="A3027" s="6">
        <v>43859</v>
      </c>
      <c r="B3027" s="7">
        <v>0.54513888888888895</v>
      </c>
      <c r="C3027" s="22" t="str">
        <f>"FES1162733449"</f>
        <v>FES1162733449</v>
      </c>
      <c r="D3027" s="22" t="s">
        <v>19</v>
      </c>
      <c r="E3027" s="22" t="s">
        <v>188</v>
      </c>
      <c r="F3027" s="22" t="str">
        <f>"2170725984 "</f>
        <v xml:space="preserve">2170725984 </v>
      </c>
      <c r="G3027" s="22" t="str">
        <f t="shared" si="87"/>
        <v>ON1</v>
      </c>
      <c r="H3027" s="22" t="s">
        <v>21</v>
      </c>
      <c r="I3027" s="22" t="s">
        <v>189</v>
      </c>
      <c r="J3027" s="22" t="str">
        <f>""</f>
        <v/>
      </c>
      <c r="K3027" s="22" t="str">
        <f>"PFES1162733449_0001"</f>
        <v>PFES1162733449_0001</v>
      </c>
      <c r="L3027" s="22">
        <v>1</v>
      </c>
      <c r="M3027" s="22">
        <v>1</v>
      </c>
    </row>
    <row r="3028" spans="1:13">
      <c r="A3028" s="6">
        <v>43859</v>
      </c>
      <c r="B3028" s="7">
        <v>0.54513888888888895</v>
      </c>
      <c r="C3028" s="22" t="str">
        <f>"FES1162733354"</f>
        <v>FES1162733354</v>
      </c>
      <c r="D3028" s="22" t="s">
        <v>19</v>
      </c>
      <c r="E3028" s="22" t="s">
        <v>1056</v>
      </c>
      <c r="F3028" s="22" t="str">
        <f>"2150725347 "</f>
        <v xml:space="preserve">2150725347 </v>
      </c>
      <c r="G3028" s="22" t="str">
        <f t="shared" si="87"/>
        <v>ON1</v>
      </c>
      <c r="H3028" s="22" t="s">
        <v>21</v>
      </c>
      <c r="I3028" s="22" t="s">
        <v>1057</v>
      </c>
      <c r="J3028" s="22" t="str">
        <f>""</f>
        <v/>
      </c>
      <c r="K3028" s="22" t="str">
        <f>"PFES1162733354_0001"</f>
        <v>PFES1162733354_0001</v>
      </c>
      <c r="L3028" s="22">
        <v>1</v>
      </c>
      <c r="M3028" s="22">
        <v>1</v>
      </c>
    </row>
    <row r="3029" spans="1:13">
      <c r="A3029" s="6">
        <v>43859</v>
      </c>
      <c r="B3029" s="7">
        <v>0.54513888888888895</v>
      </c>
      <c r="C3029" s="22" t="str">
        <f>"FES1162733451"</f>
        <v>FES1162733451</v>
      </c>
      <c r="D3029" s="22" t="s">
        <v>19</v>
      </c>
      <c r="E3029" s="22" t="s">
        <v>248</v>
      </c>
      <c r="F3029" s="22" t="str">
        <f>"2170725987 "</f>
        <v xml:space="preserve">2170725987 </v>
      </c>
      <c r="G3029" s="22" t="str">
        <f t="shared" si="87"/>
        <v>ON1</v>
      </c>
      <c r="H3029" s="22" t="s">
        <v>21</v>
      </c>
      <c r="I3029" s="22" t="s">
        <v>209</v>
      </c>
      <c r="J3029" s="22" t="str">
        <f>""</f>
        <v/>
      </c>
      <c r="K3029" s="22" t="str">
        <f>"PFES1162733451_0001"</f>
        <v>PFES1162733451_0001</v>
      </c>
      <c r="L3029" s="22">
        <v>1</v>
      </c>
      <c r="M3029" s="22">
        <v>1</v>
      </c>
    </row>
    <row r="3030" spans="1:13">
      <c r="A3030" s="6">
        <v>43859</v>
      </c>
      <c r="B3030" s="7">
        <v>0.5444444444444444</v>
      </c>
      <c r="C3030" s="22" t="str">
        <f>"FES1162733452"</f>
        <v>FES1162733452</v>
      </c>
      <c r="D3030" s="22" t="s">
        <v>19</v>
      </c>
      <c r="E3030" s="22" t="s">
        <v>480</v>
      </c>
      <c r="F3030" s="22" t="str">
        <f>"2170725988 "</f>
        <v xml:space="preserve">2170725988 </v>
      </c>
      <c r="G3030" s="22" t="str">
        <f t="shared" si="87"/>
        <v>ON1</v>
      </c>
      <c r="H3030" s="22" t="s">
        <v>21</v>
      </c>
      <c r="I3030" s="22" t="s">
        <v>481</v>
      </c>
      <c r="J3030" s="22" t="str">
        <f>""</f>
        <v/>
      </c>
      <c r="K3030" s="22" t="str">
        <f>"PFES1162733452_0001"</f>
        <v>PFES1162733452_0001</v>
      </c>
      <c r="L3030" s="22">
        <v>1</v>
      </c>
      <c r="M3030" s="22">
        <v>1</v>
      </c>
    </row>
    <row r="3031" spans="1:13">
      <c r="A3031" s="6">
        <v>43859</v>
      </c>
      <c r="B3031" s="7">
        <v>0.5444444444444444</v>
      </c>
      <c r="C3031" s="22" t="str">
        <f>"FES1162733435"</f>
        <v>FES1162733435</v>
      </c>
      <c r="D3031" s="22" t="s">
        <v>19</v>
      </c>
      <c r="E3031" s="22" t="s">
        <v>1058</v>
      </c>
      <c r="F3031" s="22" t="str">
        <f>"2170725964 "</f>
        <v xml:space="preserve">2170725964 </v>
      </c>
      <c r="G3031" s="22" t="str">
        <f t="shared" si="87"/>
        <v>ON1</v>
      </c>
      <c r="H3031" s="22" t="s">
        <v>21</v>
      </c>
      <c r="I3031" s="22" t="s">
        <v>127</v>
      </c>
      <c r="J3031" s="22" t="str">
        <f>""</f>
        <v/>
      </c>
      <c r="K3031" s="22" t="str">
        <f>"PFES1162733435_0001"</f>
        <v>PFES1162733435_0001</v>
      </c>
      <c r="L3031" s="22">
        <v>1</v>
      </c>
      <c r="M3031" s="22">
        <v>1</v>
      </c>
    </row>
    <row r="3032" spans="1:13">
      <c r="A3032" s="6">
        <v>43859</v>
      </c>
      <c r="B3032" s="7">
        <v>0.5444444444444444</v>
      </c>
      <c r="C3032" s="22" t="str">
        <f>"FES1162733542"</f>
        <v>FES1162733542</v>
      </c>
      <c r="D3032" s="22" t="s">
        <v>19</v>
      </c>
      <c r="E3032" s="22" t="s">
        <v>1059</v>
      </c>
      <c r="F3032" s="22" t="str">
        <f>"2170726080 "</f>
        <v xml:space="preserve">2170726080 </v>
      </c>
      <c r="G3032" s="22" t="str">
        <f t="shared" si="87"/>
        <v>ON1</v>
      </c>
      <c r="H3032" s="22" t="s">
        <v>21</v>
      </c>
      <c r="I3032" s="22" t="s">
        <v>53</v>
      </c>
      <c r="J3032" s="22" t="str">
        <f>""</f>
        <v/>
      </c>
      <c r="K3032" s="22" t="str">
        <f>"PFES1162733542_0001"</f>
        <v>PFES1162733542_0001</v>
      </c>
      <c r="L3032" s="22">
        <v>1</v>
      </c>
      <c r="M3032" s="22">
        <v>1</v>
      </c>
    </row>
    <row r="3033" spans="1:13">
      <c r="A3033" s="6">
        <v>43859</v>
      </c>
      <c r="B3033" s="7">
        <v>0.54375000000000007</v>
      </c>
      <c r="C3033" s="22" t="str">
        <f>"FES1162733545"</f>
        <v>FES1162733545</v>
      </c>
      <c r="D3033" s="22" t="s">
        <v>19</v>
      </c>
      <c r="E3033" s="22" t="s">
        <v>447</v>
      </c>
      <c r="F3033" s="22" t="str">
        <f>"2170726085 "</f>
        <v xml:space="preserve">2170726085 </v>
      </c>
      <c r="G3033" s="22" t="str">
        <f t="shared" si="87"/>
        <v>ON1</v>
      </c>
      <c r="H3033" s="22" t="s">
        <v>21</v>
      </c>
      <c r="I3033" s="22" t="s">
        <v>448</v>
      </c>
      <c r="J3033" s="22" t="str">
        <f>""</f>
        <v/>
      </c>
      <c r="K3033" s="22" t="str">
        <f>"PFES1162733545_0001"</f>
        <v>PFES1162733545_0001</v>
      </c>
      <c r="L3033" s="22">
        <v>1</v>
      </c>
      <c r="M3033" s="22">
        <v>1</v>
      </c>
    </row>
    <row r="3034" spans="1:13">
      <c r="A3034" s="6">
        <v>43859</v>
      </c>
      <c r="B3034" s="7">
        <v>0.54375000000000007</v>
      </c>
      <c r="C3034" s="22" t="str">
        <f>"FES1162733474"</f>
        <v>FES1162733474</v>
      </c>
      <c r="D3034" s="22" t="s">
        <v>19</v>
      </c>
      <c r="E3034" s="22" t="s">
        <v>611</v>
      </c>
      <c r="F3034" s="22" t="str">
        <f>"21707260061 "</f>
        <v xml:space="preserve">21707260061 </v>
      </c>
      <c r="G3034" s="22" t="str">
        <f t="shared" si="87"/>
        <v>ON1</v>
      </c>
      <c r="H3034" s="22" t="s">
        <v>21</v>
      </c>
      <c r="I3034" s="22" t="s">
        <v>36</v>
      </c>
      <c r="J3034" s="22" t="str">
        <f>""</f>
        <v/>
      </c>
      <c r="K3034" s="22" t="str">
        <f>"PFES1162733474_0001"</f>
        <v>PFES1162733474_0001</v>
      </c>
      <c r="L3034" s="22">
        <v>1</v>
      </c>
      <c r="M3034" s="22">
        <v>1</v>
      </c>
    </row>
    <row r="3035" spans="1:13">
      <c r="A3035" s="6">
        <v>43859</v>
      </c>
      <c r="B3035" s="7">
        <v>0.54375000000000007</v>
      </c>
      <c r="C3035" s="22" t="str">
        <f>"FES1162733506"</f>
        <v>FES1162733506</v>
      </c>
      <c r="D3035" s="22" t="s">
        <v>19</v>
      </c>
      <c r="E3035" s="22" t="s">
        <v>434</v>
      </c>
      <c r="F3035" s="22" t="str">
        <f>"2170726034 "</f>
        <v xml:space="preserve">2170726034 </v>
      </c>
      <c r="G3035" s="22" t="str">
        <f t="shared" si="87"/>
        <v>ON1</v>
      </c>
      <c r="H3035" s="22" t="s">
        <v>21</v>
      </c>
      <c r="I3035" s="22" t="s">
        <v>344</v>
      </c>
      <c r="J3035" s="22" t="str">
        <f>""</f>
        <v/>
      </c>
      <c r="K3035" s="22" t="str">
        <f>"PFES1162733506_0001"</f>
        <v>PFES1162733506_0001</v>
      </c>
      <c r="L3035" s="22">
        <v>1</v>
      </c>
      <c r="M3035" s="22">
        <v>1</v>
      </c>
    </row>
    <row r="3036" spans="1:13">
      <c r="A3036" s="6">
        <v>43859</v>
      </c>
      <c r="B3036" s="7">
        <v>0.54375000000000007</v>
      </c>
      <c r="C3036" s="22" t="str">
        <f>"FES1162733442"</f>
        <v>FES1162733442</v>
      </c>
      <c r="D3036" s="22" t="s">
        <v>19</v>
      </c>
      <c r="E3036" s="22" t="s">
        <v>923</v>
      </c>
      <c r="F3036" s="22" t="str">
        <f>"2170725971 "</f>
        <v xml:space="preserve">2170725971 </v>
      </c>
      <c r="G3036" s="22" t="str">
        <f t="shared" si="87"/>
        <v>ON1</v>
      </c>
      <c r="H3036" s="22" t="s">
        <v>21</v>
      </c>
      <c r="I3036" s="22" t="s">
        <v>416</v>
      </c>
      <c r="J3036" s="22" t="str">
        <f>""</f>
        <v/>
      </c>
      <c r="K3036" s="22" t="str">
        <f>"PFES1162733442_0001"</f>
        <v>PFES1162733442_0001</v>
      </c>
      <c r="L3036" s="22">
        <v>1</v>
      </c>
      <c r="M3036" s="22">
        <v>1</v>
      </c>
    </row>
    <row r="3037" spans="1:13">
      <c r="A3037" s="6">
        <v>43859</v>
      </c>
      <c r="B3037" s="7">
        <v>0.54305555555555551</v>
      </c>
      <c r="C3037" s="22" t="str">
        <f>"FES1162733523"</f>
        <v>FES1162733523</v>
      </c>
      <c r="D3037" s="22" t="s">
        <v>19</v>
      </c>
      <c r="E3037" s="22" t="s">
        <v>222</v>
      </c>
      <c r="F3037" s="22" t="str">
        <f>"2170726049 "</f>
        <v xml:space="preserve">2170726049 </v>
      </c>
      <c r="G3037" s="22" t="str">
        <f t="shared" si="87"/>
        <v>ON1</v>
      </c>
      <c r="H3037" s="22" t="s">
        <v>21</v>
      </c>
      <c r="I3037" s="22" t="s">
        <v>28</v>
      </c>
      <c r="J3037" s="22" t="str">
        <f>""</f>
        <v/>
      </c>
      <c r="K3037" s="22" t="str">
        <f>"PFES1162733523_0001"</f>
        <v>PFES1162733523_0001</v>
      </c>
      <c r="L3037" s="22">
        <v>1</v>
      </c>
      <c r="M3037" s="22">
        <v>1</v>
      </c>
    </row>
    <row r="3038" spans="1:13">
      <c r="A3038" s="6">
        <v>43859</v>
      </c>
      <c r="B3038" s="7">
        <v>0.54305555555555551</v>
      </c>
      <c r="C3038" s="22" t="str">
        <f>"FES1162733462"</f>
        <v>FES1162733462</v>
      </c>
      <c r="D3038" s="22" t="s">
        <v>19</v>
      </c>
      <c r="E3038" s="22" t="s">
        <v>758</v>
      </c>
      <c r="F3038" s="22" t="str">
        <f>"2170726000 "</f>
        <v xml:space="preserve">2170726000 </v>
      </c>
      <c r="G3038" s="22" t="str">
        <f t="shared" si="87"/>
        <v>ON1</v>
      </c>
      <c r="H3038" s="22" t="s">
        <v>21</v>
      </c>
      <c r="I3038" s="22" t="s">
        <v>193</v>
      </c>
      <c r="J3038" s="22" t="str">
        <f>""</f>
        <v/>
      </c>
      <c r="K3038" s="22" t="str">
        <f>"PFES1162733462_0001"</f>
        <v>PFES1162733462_0001</v>
      </c>
      <c r="L3038" s="22">
        <v>1</v>
      </c>
      <c r="M3038" s="22">
        <v>1</v>
      </c>
    </row>
    <row r="3039" spans="1:13">
      <c r="A3039" s="6">
        <v>43859</v>
      </c>
      <c r="B3039" s="7">
        <v>0.54305555555555551</v>
      </c>
      <c r="C3039" s="22" t="str">
        <f>"FES1162733429"</f>
        <v>FES1162733429</v>
      </c>
      <c r="D3039" s="22" t="s">
        <v>19</v>
      </c>
      <c r="E3039" s="22" t="s">
        <v>86</v>
      </c>
      <c r="F3039" s="22" t="str">
        <f>"2170725528 "</f>
        <v xml:space="preserve">2170725528 </v>
      </c>
      <c r="G3039" s="22" t="str">
        <f t="shared" si="87"/>
        <v>ON1</v>
      </c>
      <c r="H3039" s="22" t="s">
        <v>21</v>
      </c>
      <c r="I3039" s="22" t="s">
        <v>63</v>
      </c>
      <c r="J3039" s="22" t="str">
        <f>""</f>
        <v/>
      </c>
      <c r="K3039" s="22" t="str">
        <f>"PFES1162733429_0001"</f>
        <v>PFES1162733429_0001</v>
      </c>
      <c r="L3039" s="22">
        <v>1</v>
      </c>
      <c r="M3039" s="22">
        <v>1</v>
      </c>
    </row>
    <row r="3040" spans="1:13">
      <c r="A3040" s="6">
        <v>43859</v>
      </c>
      <c r="B3040" s="7">
        <v>0.54305555555555551</v>
      </c>
      <c r="C3040" s="22" t="str">
        <f>"FES1162733512"</f>
        <v>FES1162733512</v>
      </c>
      <c r="D3040" s="22" t="s">
        <v>19</v>
      </c>
      <c r="E3040" s="22" t="s">
        <v>917</v>
      </c>
      <c r="F3040" s="22" t="str">
        <f>"2170726039 "</f>
        <v xml:space="preserve">2170726039 </v>
      </c>
      <c r="G3040" s="22" t="str">
        <f t="shared" si="87"/>
        <v>ON1</v>
      </c>
      <c r="H3040" s="22" t="s">
        <v>21</v>
      </c>
      <c r="I3040" s="22" t="s">
        <v>918</v>
      </c>
      <c r="J3040" s="22" t="str">
        <f>""</f>
        <v/>
      </c>
      <c r="K3040" s="22" t="str">
        <f>"PFES1162733512_0001"</f>
        <v>PFES1162733512_0001</v>
      </c>
      <c r="L3040" s="22">
        <v>1</v>
      </c>
      <c r="M3040" s="22">
        <v>1</v>
      </c>
    </row>
    <row r="3041" spans="1:13">
      <c r="A3041" s="6">
        <v>43859</v>
      </c>
      <c r="B3041" s="7">
        <v>0.54236111111111118</v>
      </c>
      <c r="C3041" s="22" t="str">
        <f>"FES1162733492"</f>
        <v>FES1162733492</v>
      </c>
      <c r="D3041" s="22" t="s">
        <v>19</v>
      </c>
      <c r="E3041" s="22" t="s">
        <v>734</v>
      </c>
      <c r="F3041" s="22" t="str">
        <f>"2170723920 "</f>
        <v xml:space="preserve">2170723920 </v>
      </c>
      <c r="G3041" s="22" t="str">
        <f t="shared" si="87"/>
        <v>ON1</v>
      </c>
      <c r="H3041" s="22" t="s">
        <v>21</v>
      </c>
      <c r="I3041" s="22" t="s">
        <v>49</v>
      </c>
      <c r="J3041" s="22" t="str">
        <f>""</f>
        <v/>
      </c>
      <c r="K3041" s="22" t="str">
        <f>"PFES1162733492_0001"</f>
        <v>PFES1162733492_0001</v>
      </c>
      <c r="L3041" s="22">
        <v>1</v>
      </c>
      <c r="M3041" s="22">
        <v>1</v>
      </c>
    </row>
    <row r="3042" spans="1:13">
      <c r="A3042" s="6">
        <v>43859</v>
      </c>
      <c r="B3042" s="7">
        <v>0.54166666666666663</v>
      </c>
      <c r="C3042" s="22" t="str">
        <f>"FES1162733478"</f>
        <v>FES1162733478</v>
      </c>
      <c r="D3042" s="22" t="s">
        <v>19</v>
      </c>
      <c r="E3042" s="22" t="s">
        <v>876</v>
      </c>
      <c r="F3042" s="22" t="str">
        <f>"2170722871 "</f>
        <v xml:space="preserve">2170722871 </v>
      </c>
      <c r="G3042" s="22" t="str">
        <f t="shared" si="87"/>
        <v>ON1</v>
      </c>
      <c r="H3042" s="22" t="s">
        <v>21</v>
      </c>
      <c r="I3042" s="22" t="s">
        <v>877</v>
      </c>
      <c r="J3042" s="22" t="str">
        <f>""</f>
        <v/>
      </c>
      <c r="K3042" s="22" t="str">
        <f>"PFES1162733478_0001"</f>
        <v>PFES1162733478_0001</v>
      </c>
      <c r="L3042" s="22">
        <v>1</v>
      </c>
      <c r="M3042" s="22">
        <v>1</v>
      </c>
    </row>
    <row r="3043" spans="1:13">
      <c r="A3043" s="6">
        <v>43859</v>
      </c>
      <c r="B3043" s="7">
        <v>0.54166666666666663</v>
      </c>
      <c r="C3043" s="22" t="str">
        <f>"FES1162733483"</f>
        <v>FES1162733483</v>
      </c>
      <c r="D3043" s="22" t="s">
        <v>19</v>
      </c>
      <c r="E3043" s="22" t="s">
        <v>1060</v>
      </c>
      <c r="F3043" s="22" t="str">
        <f>"2170726027 "</f>
        <v xml:space="preserve">2170726027 </v>
      </c>
      <c r="G3043" s="22" t="str">
        <f t="shared" si="87"/>
        <v>ON1</v>
      </c>
      <c r="H3043" s="22" t="s">
        <v>21</v>
      </c>
      <c r="I3043" s="22" t="s">
        <v>403</v>
      </c>
      <c r="J3043" s="22" t="str">
        <f>""</f>
        <v/>
      </c>
      <c r="K3043" s="22" t="str">
        <f>"PFES1162733483_0001"</f>
        <v>PFES1162733483_0001</v>
      </c>
      <c r="L3043" s="22">
        <v>1</v>
      </c>
      <c r="M3043" s="22">
        <v>1</v>
      </c>
    </row>
    <row r="3044" spans="1:13">
      <c r="A3044" s="6">
        <v>43859</v>
      </c>
      <c r="B3044" s="7">
        <v>0.54166666666666663</v>
      </c>
      <c r="C3044" s="22" t="str">
        <f>"FES1162733495"</f>
        <v>FES1162733495</v>
      </c>
      <c r="D3044" s="22" t="s">
        <v>19</v>
      </c>
      <c r="E3044" s="22" t="s">
        <v>365</v>
      </c>
      <c r="F3044" s="22" t="str">
        <f>"2170724027 "</f>
        <v xml:space="preserve">2170724027 </v>
      </c>
      <c r="G3044" s="22" t="str">
        <f t="shared" si="87"/>
        <v>ON1</v>
      </c>
      <c r="H3044" s="22" t="s">
        <v>21</v>
      </c>
      <c r="I3044" s="22" t="s">
        <v>366</v>
      </c>
      <c r="J3044" s="22" t="str">
        <f>""</f>
        <v/>
      </c>
      <c r="K3044" s="22" t="str">
        <f>"PFES1162733495_0001"</f>
        <v>PFES1162733495_0001</v>
      </c>
      <c r="L3044" s="22">
        <v>1</v>
      </c>
      <c r="M3044" s="22">
        <v>1</v>
      </c>
    </row>
    <row r="3045" spans="1:13">
      <c r="A3045" s="6">
        <v>43859</v>
      </c>
      <c r="B3045" s="7">
        <v>0.54097222222222219</v>
      </c>
      <c r="C3045" s="22" t="str">
        <f>"FES1162733459"</f>
        <v>FES1162733459</v>
      </c>
      <c r="D3045" s="22" t="s">
        <v>19</v>
      </c>
      <c r="E3045" s="22" t="s">
        <v>1061</v>
      </c>
      <c r="F3045" s="22" t="str">
        <f>"2170725968 "</f>
        <v xml:space="preserve">2170725968 </v>
      </c>
      <c r="G3045" s="22" t="str">
        <f t="shared" si="87"/>
        <v>ON1</v>
      </c>
      <c r="H3045" s="22" t="s">
        <v>21</v>
      </c>
      <c r="I3045" s="22" t="s">
        <v>202</v>
      </c>
      <c r="J3045" s="22" t="str">
        <f>""</f>
        <v/>
      </c>
      <c r="K3045" s="22" t="str">
        <f>"PFES1162733459_0001"</f>
        <v>PFES1162733459_0001</v>
      </c>
      <c r="L3045" s="22">
        <v>1</v>
      </c>
      <c r="M3045" s="22">
        <v>1</v>
      </c>
    </row>
    <row r="3046" spans="1:13">
      <c r="A3046" s="6">
        <v>43859</v>
      </c>
      <c r="B3046" s="7">
        <v>0.54097222222222219</v>
      </c>
      <c r="C3046" s="22" t="str">
        <f>"FES1162733508"</f>
        <v>FES1162733508</v>
      </c>
      <c r="D3046" s="22" t="s">
        <v>19</v>
      </c>
      <c r="E3046" s="22" t="s">
        <v>1062</v>
      </c>
      <c r="F3046" s="22" t="str">
        <f>"2170725940 "</f>
        <v xml:space="preserve">2170725940 </v>
      </c>
      <c r="G3046" s="22" t="str">
        <f t="shared" si="87"/>
        <v>ON1</v>
      </c>
      <c r="H3046" s="22" t="s">
        <v>21</v>
      </c>
      <c r="I3046" s="22" t="s">
        <v>1063</v>
      </c>
      <c r="J3046" s="22" t="str">
        <f>""</f>
        <v/>
      </c>
      <c r="K3046" s="22" t="str">
        <f>"PFES1162733508_0001"</f>
        <v>PFES1162733508_0001</v>
      </c>
      <c r="L3046" s="22">
        <v>1</v>
      </c>
      <c r="M3046" s="22">
        <v>1</v>
      </c>
    </row>
    <row r="3047" spans="1:13">
      <c r="A3047" s="6">
        <v>43859</v>
      </c>
      <c r="B3047" s="7">
        <v>0.54097222222222219</v>
      </c>
      <c r="C3047" s="22" t="str">
        <f>"FES1162733525"</f>
        <v>FES1162733525</v>
      </c>
      <c r="D3047" s="22" t="s">
        <v>19</v>
      </c>
      <c r="E3047" s="22" t="s">
        <v>721</v>
      </c>
      <c r="F3047" s="22" t="str">
        <f>"2170726052 "</f>
        <v xml:space="preserve">2170726052 </v>
      </c>
      <c r="G3047" s="22" t="str">
        <f t="shared" si="87"/>
        <v>ON1</v>
      </c>
      <c r="H3047" s="22" t="s">
        <v>21</v>
      </c>
      <c r="I3047" s="22" t="s">
        <v>288</v>
      </c>
      <c r="J3047" s="22" t="str">
        <f>""</f>
        <v/>
      </c>
      <c r="K3047" s="22" t="str">
        <f>"PFES1162733525_0001"</f>
        <v>PFES1162733525_0001</v>
      </c>
      <c r="L3047" s="22">
        <v>1</v>
      </c>
      <c r="M3047" s="22">
        <v>1</v>
      </c>
    </row>
    <row r="3048" spans="1:13">
      <c r="A3048" s="6">
        <v>43859</v>
      </c>
      <c r="B3048" s="7">
        <v>0.54027777777777775</v>
      </c>
      <c r="C3048" s="22" t="str">
        <f>"FES1162733437"</f>
        <v>FES1162733437</v>
      </c>
      <c r="D3048" s="22" t="s">
        <v>19</v>
      </c>
      <c r="E3048" s="22" t="s">
        <v>748</v>
      </c>
      <c r="F3048" s="22" t="str">
        <f>"2170723922 "</f>
        <v xml:space="preserve">2170723922 </v>
      </c>
      <c r="G3048" s="22" t="str">
        <f t="shared" si="87"/>
        <v>ON1</v>
      </c>
      <c r="H3048" s="22" t="s">
        <v>21</v>
      </c>
      <c r="I3048" s="22" t="s">
        <v>466</v>
      </c>
      <c r="J3048" s="22" t="str">
        <f>""</f>
        <v/>
      </c>
      <c r="K3048" s="22" t="str">
        <f>"PFES1162733437_0001"</f>
        <v>PFES1162733437_0001</v>
      </c>
      <c r="L3048" s="22">
        <v>1</v>
      </c>
      <c r="M3048" s="22">
        <v>1</v>
      </c>
    </row>
    <row r="3049" spans="1:13">
      <c r="A3049" s="6">
        <v>43859</v>
      </c>
      <c r="B3049" s="7">
        <v>0.54027777777777775</v>
      </c>
      <c r="C3049" s="22" t="str">
        <f>"FES1162733460"</f>
        <v>FES1162733460</v>
      </c>
      <c r="D3049" s="22" t="s">
        <v>19</v>
      </c>
      <c r="E3049" s="22" t="s">
        <v>1061</v>
      </c>
      <c r="F3049" s="22" t="str">
        <f>"2170725970 "</f>
        <v xml:space="preserve">2170725970 </v>
      </c>
      <c r="G3049" s="22" t="str">
        <f t="shared" si="87"/>
        <v>ON1</v>
      </c>
      <c r="H3049" s="22" t="s">
        <v>21</v>
      </c>
      <c r="I3049" s="22" t="s">
        <v>202</v>
      </c>
      <c r="J3049" s="22" t="str">
        <f>""</f>
        <v/>
      </c>
      <c r="K3049" s="22" t="str">
        <f>"PFES1162733460_0001"</f>
        <v>PFES1162733460_0001</v>
      </c>
      <c r="L3049" s="22">
        <v>1</v>
      </c>
      <c r="M3049" s="22">
        <v>1</v>
      </c>
    </row>
    <row r="3050" spans="1:13">
      <c r="A3050" s="6">
        <v>43859</v>
      </c>
      <c r="B3050" s="7">
        <v>0.54027777777777775</v>
      </c>
      <c r="C3050" s="22" t="str">
        <f>"FES1162733436"</f>
        <v>FES1162733436</v>
      </c>
      <c r="D3050" s="22" t="s">
        <v>19</v>
      </c>
      <c r="E3050" s="22" t="s">
        <v>141</v>
      </c>
      <c r="F3050" s="22" t="str">
        <f>"2170722577 "</f>
        <v xml:space="preserve">2170722577 </v>
      </c>
      <c r="G3050" s="22" t="str">
        <f t="shared" si="87"/>
        <v>ON1</v>
      </c>
      <c r="H3050" s="22" t="s">
        <v>21</v>
      </c>
      <c r="I3050" s="22" t="s">
        <v>90</v>
      </c>
      <c r="J3050" s="22" t="str">
        <f>""</f>
        <v/>
      </c>
      <c r="K3050" s="22" t="str">
        <f>"PFES1162733436_0001"</f>
        <v>PFES1162733436_0001</v>
      </c>
      <c r="L3050" s="22">
        <v>1</v>
      </c>
      <c r="M3050" s="22">
        <v>1</v>
      </c>
    </row>
    <row r="3051" spans="1:13">
      <c r="A3051" s="6">
        <v>43859</v>
      </c>
      <c r="B3051" s="7">
        <v>0.54027777777777775</v>
      </c>
      <c r="C3051" s="22" t="str">
        <f>"FES1162733443"</f>
        <v>FES1162733443</v>
      </c>
      <c r="D3051" s="22" t="s">
        <v>19</v>
      </c>
      <c r="E3051" s="22" t="s">
        <v>607</v>
      </c>
      <c r="F3051" s="22" t="str">
        <f>"2170725974 "</f>
        <v xml:space="preserve">2170725974 </v>
      </c>
      <c r="G3051" s="22" t="str">
        <f t="shared" si="87"/>
        <v>ON1</v>
      </c>
      <c r="H3051" s="22" t="s">
        <v>21</v>
      </c>
      <c r="I3051" s="22" t="s">
        <v>416</v>
      </c>
      <c r="J3051" s="22" t="str">
        <f>""</f>
        <v/>
      </c>
      <c r="K3051" s="22" t="str">
        <f>"PFES1162733443_0001"</f>
        <v>PFES1162733443_0001</v>
      </c>
      <c r="L3051" s="22">
        <v>1</v>
      </c>
      <c r="M3051" s="22">
        <v>1</v>
      </c>
    </row>
    <row r="3052" spans="1:13">
      <c r="A3052" s="6">
        <v>43859</v>
      </c>
      <c r="B3052" s="7">
        <v>0.5395833333333333</v>
      </c>
      <c r="C3052" s="22" t="str">
        <f>"FES1162733532"</f>
        <v>FES1162733532</v>
      </c>
      <c r="D3052" s="22" t="s">
        <v>19</v>
      </c>
      <c r="E3052" s="22" t="s">
        <v>132</v>
      </c>
      <c r="F3052" s="22" t="str">
        <f>"2170726063 "</f>
        <v xml:space="preserve">2170726063 </v>
      </c>
      <c r="G3052" s="22" t="str">
        <f t="shared" si="87"/>
        <v>ON1</v>
      </c>
      <c r="H3052" s="22" t="s">
        <v>21</v>
      </c>
      <c r="I3052" s="22" t="s">
        <v>133</v>
      </c>
      <c r="J3052" s="22" t="str">
        <f>""</f>
        <v/>
      </c>
      <c r="K3052" s="22" t="str">
        <f>"PFES1162733532_0001"</f>
        <v>PFES1162733532_0001</v>
      </c>
      <c r="L3052" s="22">
        <v>1</v>
      </c>
      <c r="M3052" s="22">
        <v>1</v>
      </c>
    </row>
    <row r="3053" spans="1:13">
      <c r="A3053" s="6">
        <v>43859</v>
      </c>
      <c r="B3053" s="7">
        <v>0.5395833333333333</v>
      </c>
      <c r="C3053" s="22" t="str">
        <f>"FES1162733454"</f>
        <v>FES1162733454</v>
      </c>
      <c r="D3053" s="22" t="s">
        <v>19</v>
      </c>
      <c r="E3053" s="22" t="s">
        <v>665</v>
      </c>
      <c r="F3053" s="22" t="str">
        <f>"2170725993 "</f>
        <v xml:space="preserve">2170725993 </v>
      </c>
      <c r="G3053" s="22" t="str">
        <f t="shared" si="87"/>
        <v>ON1</v>
      </c>
      <c r="H3053" s="22" t="s">
        <v>21</v>
      </c>
      <c r="I3053" s="22" t="s">
        <v>499</v>
      </c>
      <c r="J3053" s="22" t="str">
        <f>""</f>
        <v/>
      </c>
      <c r="K3053" s="22" t="str">
        <f>"PFES1162733454_0001"</f>
        <v>PFES1162733454_0001</v>
      </c>
      <c r="L3053" s="22">
        <v>1</v>
      </c>
      <c r="M3053" s="22">
        <v>1</v>
      </c>
    </row>
    <row r="3054" spans="1:13">
      <c r="A3054" s="6">
        <v>43859</v>
      </c>
      <c r="B3054" s="7">
        <v>0.5395833333333333</v>
      </c>
      <c r="C3054" s="22" t="str">
        <f>"FES1162733477"</f>
        <v>FES1162733477</v>
      </c>
      <c r="D3054" s="22" t="s">
        <v>19</v>
      </c>
      <c r="E3054" s="22" t="s">
        <v>141</v>
      </c>
      <c r="F3054" s="22" t="str">
        <f>"2170722577 "</f>
        <v xml:space="preserve">2170722577 </v>
      </c>
      <c r="G3054" s="22" t="str">
        <f t="shared" si="87"/>
        <v>ON1</v>
      </c>
      <c r="H3054" s="22" t="s">
        <v>21</v>
      </c>
      <c r="I3054" s="22" t="s">
        <v>90</v>
      </c>
      <c r="J3054" s="22" t="str">
        <f>""</f>
        <v/>
      </c>
      <c r="K3054" s="22" t="str">
        <f>"PFES1162733477_0001"</f>
        <v>PFES1162733477_0001</v>
      </c>
      <c r="L3054" s="22">
        <v>1</v>
      </c>
      <c r="M3054" s="22">
        <v>1</v>
      </c>
    </row>
    <row r="3055" spans="1:13">
      <c r="A3055" s="6">
        <v>43859</v>
      </c>
      <c r="B3055" s="7">
        <v>0.53888888888888886</v>
      </c>
      <c r="C3055" s="22" t="str">
        <f>"FES1162733480"</f>
        <v>FES1162733480</v>
      </c>
      <c r="D3055" s="22" t="s">
        <v>19</v>
      </c>
      <c r="E3055" s="22" t="s">
        <v>349</v>
      </c>
      <c r="F3055" s="22" t="str">
        <f>"2170724345 "</f>
        <v xml:space="preserve">2170724345 </v>
      </c>
      <c r="G3055" s="22" t="str">
        <f t="shared" si="87"/>
        <v>ON1</v>
      </c>
      <c r="H3055" s="22" t="s">
        <v>21</v>
      </c>
      <c r="I3055" s="22" t="s">
        <v>85</v>
      </c>
      <c r="J3055" s="22" t="str">
        <f>""</f>
        <v/>
      </c>
      <c r="K3055" s="22" t="str">
        <f>"PFES1162733480_0001"</f>
        <v>PFES1162733480_0001</v>
      </c>
      <c r="L3055" s="22">
        <v>1</v>
      </c>
      <c r="M3055" s="22">
        <v>1</v>
      </c>
    </row>
    <row r="3056" spans="1:13">
      <c r="A3056" s="6">
        <v>43859</v>
      </c>
      <c r="B3056" s="7">
        <v>0.53888888888888886</v>
      </c>
      <c r="C3056" s="22" t="str">
        <f>"FES1162733473"</f>
        <v>FES1162733473</v>
      </c>
      <c r="D3056" s="22" t="s">
        <v>19</v>
      </c>
      <c r="E3056" s="22" t="s">
        <v>222</v>
      </c>
      <c r="F3056" s="22" t="str">
        <f>"2170726021 "</f>
        <v xml:space="preserve">2170726021 </v>
      </c>
      <c r="G3056" s="22" t="str">
        <f t="shared" si="87"/>
        <v>ON1</v>
      </c>
      <c r="H3056" s="22" t="s">
        <v>21</v>
      </c>
      <c r="I3056" s="22" t="s">
        <v>28</v>
      </c>
      <c r="J3056" s="22" t="str">
        <f>""</f>
        <v/>
      </c>
      <c r="K3056" s="22" t="str">
        <f>"PFES1162733473_0001"</f>
        <v>PFES1162733473_0001</v>
      </c>
      <c r="L3056" s="22">
        <v>1</v>
      </c>
      <c r="M3056" s="22">
        <v>1</v>
      </c>
    </row>
    <row r="3057" spans="1:13">
      <c r="A3057" s="6">
        <v>43859</v>
      </c>
      <c r="B3057" s="7">
        <v>0.53819444444444442</v>
      </c>
      <c r="C3057" s="22" t="str">
        <f>"FES1162733427"</f>
        <v>FES1162733427</v>
      </c>
      <c r="D3057" s="22" t="s">
        <v>19</v>
      </c>
      <c r="E3057" s="22" t="s">
        <v>136</v>
      </c>
      <c r="F3057" s="22" t="str">
        <f>"2170725960 "</f>
        <v xml:space="preserve">2170725960 </v>
      </c>
      <c r="G3057" s="22" t="str">
        <f t="shared" si="87"/>
        <v>ON1</v>
      </c>
      <c r="H3057" s="22" t="s">
        <v>21</v>
      </c>
      <c r="I3057" s="22" t="s">
        <v>137</v>
      </c>
      <c r="J3057" s="22" t="str">
        <f>""</f>
        <v/>
      </c>
      <c r="K3057" s="22" t="str">
        <f>"PFES1162733427_0001"</f>
        <v>PFES1162733427_0001</v>
      </c>
      <c r="L3057" s="22">
        <v>1</v>
      </c>
      <c r="M3057" s="22">
        <v>1</v>
      </c>
    </row>
    <row r="3058" spans="1:13">
      <c r="A3058" s="6">
        <v>43859</v>
      </c>
      <c r="B3058" s="7">
        <v>0.53749999999999998</v>
      </c>
      <c r="C3058" s="22" t="str">
        <f>"FES1162733487"</f>
        <v>FES1162733487</v>
      </c>
      <c r="D3058" s="22" t="s">
        <v>19</v>
      </c>
      <c r="E3058" s="22" t="s">
        <v>659</v>
      </c>
      <c r="F3058" s="22" t="str">
        <f>"2170723593 "</f>
        <v xml:space="preserve">2170723593 </v>
      </c>
      <c r="G3058" s="22" t="str">
        <f t="shared" si="87"/>
        <v>ON1</v>
      </c>
      <c r="H3058" s="22" t="s">
        <v>21</v>
      </c>
      <c r="I3058" s="22" t="s">
        <v>28</v>
      </c>
      <c r="J3058" s="22" t="str">
        <f>""</f>
        <v/>
      </c>
      <c r="K3058" s="22" t="str">
        <f>"PFES1162733487_0001"</f>
        <v>PFES1162733487_0001</v>
      </c>
      <c r="L3058" s="22">
        <v>1</v>
      </c>
      <c r="M3058" s="22">
        <v>1</v>
      </c>
    </row>
    <row r="3059" spans="1:13">
      <c r="A3059" s="6">
        <v>43859</v>
      </c>
      <c r="B3059" s="7">
        <v>0.53611111111111109</v>
      </c>
      <c r="C3059" s="22" t="str">
        <f>"FES1162733456"</f>
        <v>FES1162733456</v>
      </c>
      <c r="D3059" s="22" t="s">
        <v>19</v>
      </c>
      <c r="E3059" s="22" t="s">
        <v>44</v>
      </c>
      <c r="F3059" s="22" t="str">
        <f>"2170725751 "</f>
        <v xml:space="preserve">2170725751 </v>
      </c>
      <c r="G3059" s="22" t="str">
        <f t="shared" si="87"/>
        <v>ON1</v>
      </c>
      <c r="H3059" s="22" t="s">
        <v>21</v>
      </c>
      <c r="I3059" s="22" t="s">
        <v>45</v>
      </c>
      <c r="J3059" s="22" t="str">
        <f>""</f>
        <v/>
      </c>
      <c r="K3059" s="22" t="str">
        <f>"PFES1162733456_0001"</f>
        <v>PFES1162733456_0001</v>
      </c>
      <c r="L3059" s="22">
        <v>1</v>
      </c>
      <c r="M3059" s="22">
        <v>1</v>
      </c>
    </row>
    <row r="3060" spans="1:13">
      <c r="A3060" s="6">
        <v>43859</v>
      </c>
      <c r="B3060" s="7">
        <v>0.53472222222222221</v>
      </c>
      <c r="C3060" s="22" t="str">
        <f>"FES1162733428"</f>
        <v>FES1162733428</v>
      </c>
      <c r="D3060" s="22" t="s">
        <v>19</v>
      </c>
      <c r="E3060" s="22" t="s">
        <v>1064</v>
      </c>
      <c r="F3060" s="22" t="str">
        <f>"2170725961 "</f>
        <v xml:space="preserve">2170725961 </v>
      </c>
      <c r="G3060" s="22" t="str">
        <f t="shared" si="87"/>
        <v>ON1</v>
      </c>
      <c r="H3060" s="22" t="s">
        <v>21</v>
      </c>
      <c r="I3060" s="22" t="s">
        <v>313</v>
      </c>
      <c r="J3060" s="22" t="str">
        <f>""</f>
        <v/>
      </c>
      <c r="K3060" s="22" t="str">
        <f>"PFES1162733428_0001"</f>
        <v>PFES1162733428_0001</v>
      </c>
      <c r="L3060" s="22">
        <v>1</v>
      </c>
      <c r="M3060" s="22">
        <v>1</v>
      </c>
    </row>
    <row r="3061" spans="1:13">
      <c r="A3061" s="6">
        <v>43859</v>
      </c>
      <c r="B3061" s="7">
        <v>0.53263888888888888</v>
      </c>
      <c r="C3061" s="22" t="str">
        <f>"FES1162733514"</f>
        <v>FES1162733514</v>
      </c>
      <c r="D3061" s="22" t="s">
        <v>19</v>
      </c>
      <c r="E3061" s="22" t="s">
        <v>1002</v>
      </c>
      <c r="F3061" s="22" t="str">
        <f>"2170726042 "</f>
        <v xml:space="preserve">2170726042 </v>
      </c>
      <c r="G3061" s="22" t="str">
        <f t="shared" si="87"/>
        <v>ON1</v>
      </c>
      <c r="H3061" s="22" t="s">
        <v>21</v>
      </c>
      <c r="I3061" s="22" t="s">
        <v>150</v>
      </c>
      <c r="J3061" s="22" t="str">
        <f>""</f>
        <v/>
      </c>
      <c r="K3061" s="22" t="str">
        <f>"PFES1162733514_0001"</f>
        <v>PFES1162733514_0001</v>
      </c>
      <c r="L3061" s="22">
        <v>1</v>
      </c>
      <c r="M3061" s="22">
        <v>1</v>
      </c>
    </row>
    <row r="3062" spans="1:13">
      <c r="A3062" s="6">
        <v>43859</v>
      </c>
      <c r="B3062" s="7">
        <v>0.53194444444444444</v>
      </c>
      <c r="C3062" s="22" t="str">
        <f>"FES1162733504"</f>
        <v>FES1162733504</v>
      </c>
      <c r="D3062" s="22" t="s">
        <v>19</v>
      </c>
      <c r="E3062" s="22" t="s">
        <v>1065</v>
      </c>
      <c r="F3062" s="22" t="str">
        <f>"2170726031 "</f>
        <v xml:space="preserve">2170726031 </v>
      </c>
      <c r="G3062" s="22" t="str">
        <f t="shared" si="87"/>
        <v>ON1</v>
      </c>
      <c r="H3062" s="22" t="s">
        <v>21</v>
      </c>
      <c r="I3062" s="22" t="s">
        <v>743</v>
      </c>
      <c r="J3062" s="22" t="str">
        <f>""</f>
        <v/>
      </c>
      <c r="K3062" s="22" t="str">
        <f>"PFES1162733504_0001"</f>
        <v>PFES1162733504_0001</v>
      </c>
      <c r="L3062" s="22">
        <v>1</v>
      </c>
      <c r="M3062" s="22">
        <v>1</v>
      </c>
    </row>
    <row r="3063" spans="1:13">
      <c r="A3063" s="6">
        <v>43859</v>
      </c>
      <c r="B3063" s="7">
        <v>0.53125</v>
      </c>
      <c r="C3063" s="22" t="str">
        <f>"FES1162733445"</f>
        <v>FES1162733445</v>
      </c>
      <c r="D3063" s="22" t="s">
        <v>19</v>
      </c>
      <c r="E3063" s="22" t="s">
        <v>1002</v>
      </c>
      <c r="F3063" s="22" t="str">
        <f>"2170725976 "</f>
        <v xml:space="preserve">2170725976 </v>
      </c>
      <c r="G3063" s="22" t="str">
        <f t="shared" si="87"/>
        <v>ON1</v>
      </c>
      <c r="H3063" s="22" t="s">
        <v>21</v>
      </c>
      <c r="I3063" s="22" t="s">
        <v>150</v>
      </c>
      <c r="J3063" s="22" t="str">
        <f>""</f>
        <v/>
      </c>
      <c r="K3063" s="22" t="str">
        <f>"PFES1162733445_0001"</f>
        <v>PFES1162733445_0001</v>
      </c>
      <c r="L3063" s="22">
        <v>1</v>
      </c>
      <c r="M3063" s="22">
        <v>1</v>
      </c>
    </row>
    <row r="3064" spans="1:13">
      <c r="A3064" s="6">
        <v>43859</v>
      </c>
      <c r="B3064" s="7">
        <v>0.52986111111111112</v>
      </c>
      <c r="C3064" s="22" t="str">
        <f>"FES1162733439"</f>
        <v>FES1162733439</v>
      </c>
      <c r="D3064" s="22" t="s">
        <v>19</v>
      </c>
      <c r="E3064" s="22" t="s">
        <v>262</v>
      </c>
      <c r="F3064" s="22" t="str">
        <f>"2170725288 "</f>
        <v xml:space="preserve">2170725288 </v>
      </c>
      <c r="G3064" s="22" t="str">
        <f t="shared" si="87"/>
        <v>ON1</v>
      </c>
      <c r="H3064" s="22" t="s">
        <v>21</v>
      </c>
      <c r="I3064" s="22" t="s">
        <v>114</v>
      </c>
      <c r="J3064" s="22" t="str">
        <f>""</f>
        <v/>
      </c>
      <c r="K3064" s="22" t="str">
        <f>"PFES1162733439_0001"</f>
        <v>PFES1162733439_0001</v>
      </c>
      <c r="L3064" s="22">
        <v>1</v>
      </c>
      <c r="M3064" s="22">
        <v>1</v>
      </c>
    </row>
    <row r="3065" spans="1:13">
      <c r="A3065" s="6">
        <v>43859</v>
      </c>
      <c r="B3065" s="7">
        <v>0.52916666666666667</v>
      </c>
      <c r="C3065" s="22" t="str">
        <f>"FES1162733440"</f>
        <v>FES1162733440</v>
      </c>
      <c r="D3065" s="22" t="s">
        <v>19</v>
      </c>
      <c r="E3065" s="22" t="s">
        <v>262</v>
      </c>
      <c r="F3065" s="22" t="str">
        <f>"2170725688 "</f>
        <v xml:space="preserve">2170725688 </v>
      </c>
      <c r="G3065" s="22" t="str">
        <f t="shared" si="87"/>
        <v>ON1</v>
      </c>
      <c r="H3065" s="22" t="s">
        <v>21</v>
      </c>
      <c r="I3065" s="22" t="s">
        <v>114</v>
      </c>
      <c r="J3065" s="22" t="str">
        <f>""</f>
        <v/>
      </c>
      <c r="K3065" s="22" t="str">
        <f>"PFES1162733440_0001"</f>
        <v>PFES1162733440_0001</v>
      </c>
      <c r="L3065" s="22">
        <v>1</v>
      </c>
      <c r="M3065" s="22">
        <v>1</v>
      </c>
    </row>
    <row r="3066" spans="1:13">
      <c r="A3066" s="6">
        <v>43859</v>
      </c>
      <c r="B3066" s="7">
        <v>0.52847222222222223</v>
      </c>
      <c r="C3066" s="22" t="str">
        <f>"FES1162733500"</f>
        <v>FES1162733500</v>
      </c>
      <c r="D3066" s="22" t="s">
        <v>19</v>
      </c>
      <c r="E3066" s="22" t="s">
        <v>944</v>
      </c>
      <c r="F3066" s="22" t="str">
        <f>"2170724936 "</f>
        <v xml:space="preserve">2170724936 </v>
      </c>
      <c r="G3066" s="22" t="str">
        <f t="shared" si="87"/>
        <v>ON1</v>
      </c>
      <c r="H3066" s="22" t="s">
        <v>21</v>
      </c>
      <c r="I3066" s="22" t="s">
        <v>146</v>
      </c>
      <c r="J3066" s="22" t="str">
        <f>""</f>
        <v/>
      </c>
      <c r="K3066" s="22" t="str">
        <f>"PFES1162733500_0001"</f>
        <v>PFES1162733500_0001</v>
      </c>
      <c r="L3066" s="22">
        <v>1</v>
      </c>
      <c r="M3066" s="22">
        <v>1</v>
      </c>
    </row>
    <row r="3067" spans="1:13">
      <c r="A3067" s="6">
        <v>43859</v>
      </c>
      <c r="B3067" s="7">
        <v>0.52708333333333335</v>
      </c>
      <c r="C3067" s="22" t="str">
        <f>"FES1162733484"</f>
        <v>FES1162733484</v>
      </c>
      <c r="D3067" s="22" t="s">
        <v>19</v>
      </c>
      <c r="E3067" s="22" t="s">
        <v>134</v>
      </c>
      <c r="F3067" s="22" t="str">
        <f>"2170726030 "</f>
        <v xml:space="preserve">2170726030 </v>
      </c>
      <c r="G3067" s="22" t="str">
        <f t="shared" si="87"/>
        <v>ON1</v>
      </c>
      <c r="H3067" s="22" t="s">
        <v>21</v>
      </c>
      <c r="I3067" s="22" t="s">
        <v>135</v>
      </c>
      <c r="J3067" s="22" t="str">
        <f>""</f>
        <v/>
      </c>
      <c r="K3067" s="22" t="str">
        <f>"PFES1162733484_0001"</f>
        <v>PFES1162733484_0001</v>
      </c>
      <c r="L3067" s="22">
        <v>1</v>
      </c>
      <c r="M3067" s="22">
        <v>1</v>
      </c>
    </row>
    <row r="3068" spans="1:13">
      <c r="A3068" s="6">
        <v>43859</v>
      </c>
      <c r="B3068" s="7">
        <v>0.52638888888888891</v>
      </c>
      <c r="C3068" s="22" t="str">
        <f>"FES1162733498"</f>
        <v>FES1162733498</v>
      </c>
      <c r="D3068" s="22" t="s">
        <v>19</v>
      </c>
      <c r="E3068" s="22" t="s">
        <v>224</v>
      </c>
      <c r="F3068" s="22" t="str">
        <f>"2170724077 "</f>
        <v xml:space="preserve">2170724077 </v>
      </c>
      <c r="G3068" s="22" t="str">
        <f t="shared" si="87"/>
        <v>ON1</v>
      </c>
      <c r="H3068" s="22" t="s">
        <v>21</v>
      </c>
      <c r="I3068" s="22" t="s">
        <v>225</v>
      </c>
      <c r="J3068" s="22" t="str">
        <f>""</f>
        <v/>
      </c>
      <c r="K3068" s="22" t="str">
        <f>"PFES1162733498_0001"</f>
        <v>PFES1162733498_0001</v>
      </c>
      <c r="L3068" s="22">
        <v>1</v>
      </c>
      <c r="M3068" s="22">
        <v>1</v>
      </c>
    </row>
    <row r="3069" spans="1:13">
      <c r="A3069" s="6">
        <v>43859</v>
      </c>
      <c r="B3069" s="7">
        <v>0.52500000000000002</v>
      </c>
      <c r="C3069" s="22" t="str">
        <f>"FES1162733469"</f>
        <v>FES1162733469</v>
      </c>
      <c r="D3069" s="22" t="s">
        <v>19</v>
      </c>
      <c r="E3069" s="22" t="s">
        <v>251</v>
      </c>
      <c r="F3069" s="22" t="str">
        <f>"2170726014 "</f>
        <v xml:space="preserve">2170726014 </v>
      </c>
      <c r="G3069" s="22" t="str">
        <f t="shared" si="87"/>
        <v>ON1</v>
      </c>
      <c r="H3069" s="22" t="s">
        <v>21</v>
      </c>
      <c r="I3069" s="22" t="s">
        <v>183</v>
      </c>
      <c r="J3069" s="22" t="str">
        <f>""</f>
        <v/>
      </c>
      <c r="K3069" s="22" t="str">
        <f>"PFES1162733469_0001"</f>
        <v>PFES1162733469_0001</v>
      </c>
      <c r="L3069" s="22">
        <v>1</v>
      </c>
      <c r="M3069" s="22">
        <v>1</v>
      </c>
    </row>
    <row r="3070" spans="1:13">
      <c r="A3070" s="6">
        <v>43859</v>
      </c>
      <c r="B3070" s="7">
        <v>0.52430555555555558</v>
      </c>
      <c r="C3070" s="22" t="str">
        <f>"FES1162733470"</f>
        <v>FES1162733470</v>
      </c>
      <c r="D3070" s="22" t="s">
        <v>19</v>
      </c>
      <c r="E3070" s="22" t="s">
        <v>251</v>
      </c>
      <c r="F3070" s="22" t="str">
        <f>"2170726015 "</f>
        <v xml:space="preserve">2170726015 </v>
      </c>
      <c r="G3070" s="22" t="str">
        <f t="shared" ref="G3070:G3097" si="88">"ON1"</f>
        <v>ON1</v>
      </c>
      <c r="H3070" s="22" t="s">
        <v>21</v>
      </c>
      <c r="I3070" s="22" t="s">
        <v>183</v>
      </c>
      <c r="J3070" s="22" t="str">
        <f>""</f>
        <v/>
      </c>
      <c r="K3070" s="22" t="str">
        <f>"PFES1162733470_0001"</f>
        <v>PFES1162733470_0001</v>
      </c>
      <c r="L3070" s="22">
        <v>1</v>
      </c>
      <c r="M3070" s="22">
        <v>1</v>
      </c>
    </row>
    <row r="3071" spans="1:13">
      <c r="A3071" s="6">
        <v>43859</v>
      </c>
      <c r="B3071" s="7">
        <v>0.52361111111111114</v>
      </c>
      <c r="C3071" s="22" t="str">
        <f>"FES1162727293"</f>
        <v>FES1162727293</v>
      </c>
      <c r="D3071" s="22" t="s">
        <v>19</v>
      </c>
      <c r="E3071" s="22" t="s">
        <v>1066</v>
      </c>
      <c r="F3071" s="22" t="str">
        <f>"2170718433 "</f>
        <v xml:space="preserve">2170718433 </v>
      </c>
      <c r="G3071" s="22" t="str">
        <f t="shared" si="88"/>
        <v>ON1</v>
      </c>
      <c r="H3071" s="22" t="s">
        <v>21</v>
      </c>
      <c r="I3071" s="22" t="s">
        <v>1067</v>
      </c>
      <c r="J3071" s="22" t="str">
        <f>""</f>
        <v/>
      </c>
      <c r="K3071" s="22" t="str">
        <f>"PFES1162727293_0001"</f>
        <v>PFES1162727293_0001</v>
      </c>
      <c r="L3071" s="22">
        <v>1</v>
      </c>
      <c r="M3071" s="22">
        <v>1</v>
      </c>
    </row>
    <row r="3072" spans="1:13">
      <c r="A3072" s="6">
        <v>43859</v>
      </c>
      <c r="B3072" s="7">
        <v>0.5229166666666667</v>
      </c>
      <c r="C3072" s="22" t="str">
        <f>"FES1162719060"</f>
        <v>FES1162719060</v>
      </c>
      <c r="D3072" s="22" t="s">
        <v>19</v>
      </c>
      <c r="E3072" s="22" t="s">
        <v>1061</v>
      </c>
      <c r="F3072" s="22" t="str">
        <f>"2170711854 "</f>
        <v xml:space="preserve">2170711854 </v>
      </c>
      <c r="G3072" s="22" t="str">
        <f t="shared" si="88"/>
        <v>ON1</v>
      </c>
      <c r="H3072" s="22" t="s">
        <v>21</v>
      </c>
      <c r="I3072" s="22" t="s">
        <v>202</v>
      </c>
      <c r="J3072" s="22" t="str">
        <f>""</f>
        <v/>
      </c>
      <c r="K3072" s="22" t="str">
        <f>"PFES1162719060_0001"</f>
        <v>PFES1162719060_0001</v>
      </c>
      <c r="L3072" s="22">
        <v>1</v>
      </c>
      <c r="M3072" s="22">
        <v>1</v>
      </c>
    </row>
    <row r="3073" spans="1:13">
      <c r="A3073" s="6">
        <v>43859</v>
      </c>
      <c r="B3073" s="7">
        <v>0.5131944444444444</v>
      </c>
      <c r="C3073" s="22" t="str">
        <f>"FES1162728089"</f>
        <v>FES1162728089</v>
      </c>
      <c r="D3073" s="22" t="s">
        <v>19</v>
      </c>
      <c r="E3073" s="22" t="s">
        <v>1066</v>
      </c>
      <c r="F3073" s="22" t="str">
        <f>"2170718433 "</f>
        <v xml:space="preserve">2170718433 </v>
      </c>
      <c r="G3073" s="22" t="str">
        <f t="shared" si="88"/>
        <v>ON1</v>
      </c>
      <c r="H3073" s="22" t="s">
        <v>21</v>
      </c>
      <c r="I3073" s="22" t="s">
        <v>1067</v>
      </c>
      <c r="J3073" s="22" t="str">
        <f>""</f>
        <v/>
      </c>
      <c r="K3073" s="22" t="str">
        <f>"PFES1162728089_0001"</f>
        <v>PFES1162728089_0001</v>
      </c>
      <c r="L3073" s="22">
        <v>1</v>
      </c>
      <c r="M3073" s="22">
        <v>1</v>
      </c>
    </row>
    <row r="3074" spans="1:13">
      <c r="A3074" s="6">
        <v>43859</v>
      </c>
      <c r="B3074" s="7">
        <v>0.51180555555555551</v>
      </c>
      <c r="C3074" s="22" t="str">
        <f>"FES1162724873"</f>
        <v>FES1162724873</v>
      </c>
      <c r="D3074" s="22" t="s">
        <v>19</v>
      </c>
      <c r="E3074" s="22" t="s">
        <v>1068</v>
      </c>
      <c r="F3074" s="22" t="str">
        <f>"2170717931 "</f>
        <v xml:space="preserve">2170717931 </v>
      </c>
      <c r="G3074" s="22" t="str">
        <f t="shared" si="88"/>
        <v>ON1</v>
      </c>
      <c r="H3074" s="22" t="s">
        <v>21</v>
      </c>
      <c r="I3074" s="22" t="s">
        <v>576</v>
      </c>
      <c r="J3074" s="22" t="str">
        <f>""</f>
        <v/>
      </c>
      <c r="K3074" s="22" t="str">
        <f>"PFES1162724873_0001"</f>
        <v>PFES1162724873_0001</v>
      </c>
      <c r="L3074" s="22">
        <v>1</v>
      </c>
      <c r="M3074" s="22">
        <v>1</v>
      </c>
    </row>
    <row r="3075" spans="1:13">
      <c r="A3075" s="6">
        <v>43859</v>
      </c>
      <c r="B3075" s="7">
        <v>0.51111111111111118</v>
      </c>
      <c r="C3075" s="22" t="str">
        <f>"FES1162725265"</f>
        <v>FES1162725265</v>
      </c>
      <c r="D3075" s="22" t="s">
        <v>19</v>
      </c>
      <c r="E3075" s="22" t="s">
        <v>1069</v>
      </c>
      <c r="F3075" s="22" t="str">
        <f>"2170719002 "</f>
        <v xml:space="preserve">2170719002 </v>
      </c>
      <c r="G3075" s="22" t="str">
        <f t="shared" si="88"/>
        <v>ON1</v>
      </c>
      <c r="H3075" s="22" t="s">
        <v>21</v>
      </c>
      <c r="I3075" s="22" t="s">
        <v>247</v>
      </c>
      <c r="J3075" s="22" t="str">
        <f>""</f>
        <v/>
      </c>
      <c r="K3075" s="22" t="str">
        <f>"PFES1162725265_0001"</f>
        <v>PFES1162725265_0001</v>
      </c>
      <c r="L3075" s="22">
        <v>1</v>
      </c>
      <c r="M3075" s="22">
        <v>1</v>
      </c>
    </row>
    <row r="3076" spans="1:13">
      <c r="A3076" s="6">
        <v>43860</v>
      </c>
      <c r="B3076" s="7">
        <v>0.68680555555555556</v>
      </c>
      <c r="C3076" s="23" t="str">
        <f>"009935723373"</f>
        <v>009935723373</v>
      </c>
      <c r="D3076" s="23" t="s">
        <v>19</v>
      </c>
      <c r="E3076" s="23" t="s">
        <v>44</v>
      </c>
      <c r="F3076" s="23" t="str">
        <f>"1162729007 "</f>
        <v xml:space="preserve">1162729007 </v>
      </c>
      <c r="G3076" s="23" t="str">
        <f t="shared" si="88"/>
        <v>ON1</v>
      </c>
      <c r="H3076" s="23" t="s">
        <v>21</v>
      </c>
      <c r="I3076" s="23" t="s">
        <v>249</v>
      </c>
      <c r="J3076" s="23" t="str">
        <f>""</f>
        <v/>
      </c>
      <c r="K3076" s="23" t="str">
        <f>"P009935723373_0001"</f>
        <v>P009935723373_0001</v>
      </c>
      <c r="L3076" s="23">
        <v>1</v>
      </c>
      <c r="M3076" s="23">
        <v>5</v>
      </c>
    </row>
    <row r="3077" spans="1:13">
      <c r="A3077" s="6">
        <v>43860</v>
      </c>
      <c r="B3077" s="7">
        <v>0.68541666666666667</v>
      </c>
      <c r="C3077" s="23" t="str">
        <f>"FES1162733910"</f>
        <v>FES1162733910</v>
      </c>
      <c r="D3077" s="23" t="s">
        <v>19</v>
      </c>
      <c r="E3077" s="23" t="s">
        <v>302</v>
      </c>
      <c r="F3077" s="23" t="str">
        <f>"217072632 "</f>
        <v xml:space="preserve">217072632 </v>
      </c>
      <c r="G3077" s="23" t="str">
        <f t="shared" si="88"/>
        <v>ON1</v>
      </c>
      <c r="H3077" s="23" t="s">
        <v>21</v>
      </c>
      <c r="I3077" s="23" t="s">
        <v>303</v>
      </c>
      <c r="J3077" s="23" t="str">
        <f>""</f>
        <v/>
      </c>
      <c r="K3077" s="23" t="str">
        <f>"PFES1162733910_0001"</f>
        <v>PFES1162733910_0001</v>
      </c>
      <c r="L3077" s="23">
        <v>1</v>
      </c>
      <c r="M3077" s="23">
        <v>3</v>
      </c>
    </row>
    <row r="3078" spans="1:13">
      <c r="A3078" s="6">
        <v>43860</v>
      </c>
      <c r="B3078" s="7">
        <v>0.68472222222222223</v>
      </c>
      <c r="C3078" s="23" t="str">
        <f>"FES1162733817"</f>
        <v>FES1162733817</v>
      </c>
      <c r="D3078" s="23" t="s">
        <v>19</v>
      </c>
      <c r="E3078" s="23" t="s">
        <v>1070</v>
      </c>
      <c r="F3078" s="23" t="str">
        <f>"2170726307 "</f>
        <v xml:space="preserve">2170726307 </v>
      </c>
      <c r="G3078" s="23" t="str">
        <f t="shared" si="88"/>
        <v>ON1</v>
      </c>
      <c r="H3078" s="23" t="s">
        <v>21</v>
      </c>
      <c r="I3078" s="23" t="s">
        <v>288</v>
      </c>
      <c r="J3078" s="23" t="str">
        <f>""</f>
        <v/>
      </c>
      <c r="K3078" s="23" t="str">
        <f>"PFES1162733817_0001"</f>
        <v>PFES1162733817_0001</v>
      </c>
      <c r="L3078" s="23">
        <v>1</v>
      </c>
      <c r="M3078" s="23">
        <v>12</v>
      </c>
    </row>
    <row r="3079" spans="1:13">
      <c r="A3079" s="6">
        <v>43860</v>
      </c>
      <c r="B3079" s="7">
        <v>0.68402777777777779</v>
      </c>
      <c r="C3079" s="23" t="str">
        <f>"FES1162733852"</f>
        <v>FES1162733852</v>
      </c>
      <c r="D3079" s="23" t="s">
        <v>19</v>
      </c>
      <c r="E3079" s="23" t="s">
        <v>222</v>
      </c>
      <c r="F3079" s="23" t="str">
        <f>"2170726369 "</f>
        <v xml:space="preserve">2170726369 </v>
      </c>
      <c r="G3079" s="23" t="str">
        <f t="shared" si="88"/>
        <v>ON1</v>
      </c>
      <c r="H3079" s="23" t="s">
        <v>21</v>
      </c>
      <c r="I3079" s="23" t="s">
        <v>28</v>
      </c>
      <c r="J3079" s="23" t="str">
        <f>""</f>
        <v/>
      </c>
      <c r="K3079" s="23" t="str">
        <f>"PFES1162733852_0001"</f>
        <v>PFES1162733852_0001</v>
      </c>
      <c r="L3079" s="23">
        <v>1</v>
      </c>
      <c r="M3079" s="23">
        <v>1</v>
      </c>
    </row>
    <row r="3080" spans="1:13">
      <c r="A3080" s="6">
        <v>43860</v>
      </c>
      <c r="B3080" s="7">
        <v>0.68333333333333324</v>
      </c>
      <c r="C3080" s="23" t="str">
        <f>"FES1162733875"</f>
        <v>FES1162733875</v>
      </c>
      <c r="D3080" s="23" t="s">
        <v>19</v>
      </c>
      <c r="E3080" s="23" t="s">
        <v>239</v>
      </c>
      <c r="F3080" s="23" t="str">
        <f>"2170726390 "</f>
        <v xml:space="preserve">2170726390 </v>
      </c>
      <c r="G3080" s="23" t="str">
        <f t="shared" si="88"/>
        <v>ON1</v>
      </c>
      <c r="H3080" s="23" t="s">
        <v>21</v>
      </c>
      <c r="I3080" s="23" t="s">
        <v>165</v>
      </c>
      <c r="J3080" s="23" t="str">
        <f>""</f>
        <v/>
      </c>
      <c r="K3080" s="23" t="str">
        <f>"PFES1162733875_0001"</f>
        <v>PFES1162733875_0001</v>
      </c>
      <c r="L3080" s="23">
        <v>1</v>
      </c>
      <c r="M3080" s="23">
        <v>1</v>
      </c>
    </row>
    <row r="3081" spans="1:13">
      <c r="A3081" s="6">
        <v>43860</v>
      </c>
      <c r="B3081" s="7">
        <v>0.68333333333333324</v>
      </c>
      <c r="C3081" s="23" t="str">
        <f>"FES1162733894"</f>
        <v>FES1162733894</v>
      </c>
      <c r="D3081" s="23" t="s">
        <v>19</v>
      </c>
      <c r="E3081" s="23" t="s">
        <v>862</v>
      </c>
      <c r="F3081" s="23" t="str">
        <f>"2170726409 "</f>
        <v xml:space="preserve">2170726409 </v>
      </c>
      <c r="G3081" s="23" t="str">
        <f t="shared" si="88"/>
        <v>ON1</v>
      </c>
      <c r="H3081" s="23" t="s">
        <v>21</v>
      </c>
      <c r="I3081" s="23" t="s">
        <v>73</v>
      </c>
      <c r="J3081" s="23" t="str">
        <f>""</f>
        <v/>
      </c>
      <c r="K3081" s="23" t="str">
        <f>"PFES1162733894_0001"</f>
        <v>PFES1162733894_0001</v>
      </c>
      <c r="L3081" s="23">
        <v>1</v>
      </c>
      <c r="M3081" s="23">
        <v>1</v>
      </c>
    </row>
    <row r="3082" spans="1:13">
      <c r="A3082" s="6">
        <v>43860</v>
      </c>
      <c r="B3082" s="7">
        <v>0.68333333333333324</v>
      </c>
      <c r="C3082" s="23" t="str">
        <f>"FES1162733902"</f>
        <v>FES1162733902</v>
      </c>
      <c r="D3082" s="23" t="s">
        <v>19</v>
      </c>
      <c r="E3082" s="23" t="s">
        <v>779</v>
      </c>
      <c r="F3082" s="23" t="str">
        <f>"2170726423 "</f>
        <v xml:space="preserve">2170726423 </v>
      </c>
      <c r="G3082" s="23" t="str">
        <f t="shared" si="88"/>
        <v>ON1</v>
      </c>
      <c r="H3082" s="23" t="s">
        <v>21</v>
      </c>
      <c r="I3082" s="23" t="s">
        <v>780</v>
      </c>
      <c r="J3082" s="23" t="str">
        <f>""</f>
        <v/>
      </c>
      <c r="K3082" s="23" t="str">
        <f>"PFES1162733902_0001"</f>
        <v>PFES1162733902_0001</v>
      </c>
      <c r="L3082" s="23">
        <v>1</v>
      </c>
      <c r="M3082" s="23">
        <v>3</v>
      </c>
    </row>
    <row r="3083" spans="1:13">
      <c r="A3083" s="6">
        <v>43860</v>
      </c>
      <c r="B3083" s="7">
        <v>0.68333333333333324</v>
      </c>
      <c r="C3083" s="23" t="str">
        <f>"FES1162733884"</f>
        <v>FES1162733884</v>
      </c>
      <c r="D3083" s="23" t="s">
        <v>19</v>
      </c>
      <c r="E3083" s="23" t="s">
        <v>54</v>
      </c>
      <c r="F3083" s="23" t="str">
        <f>"2170726395 "</f>
        <v xml:space="preserve">2170726395 </v>
      </c>
      <c r="G3083" s="23" t="str">
        <f t="shared" si="88"/>
        <v>ON1</v>
      </c>
      <c r="H3083" s="23" t="s">
        <v>21</v>
      </c>
      <c r="I3083" s="23" t="s">
        <v>31</v>
      </c>
      <c r="J3083" s="23" t="str">
        <f>""</f>
        <v/>
      </c>
      <c r="K3083" s="23" t="str">
        <f>"PFES1162733884_0001"</f>
        <v>PFES1162733884_0001</v>
      </c>
      <c r="L3083" s="23">
        <v>1</v>
      </c>
      <c r="M3083" s="23">
        <v>1</v>
      </c>
    </row>
    <row r="3084" spans="1:13">
      <c r="A3084" s="6">
        <v>43860</v>
      </c>
      <c r="B3084" s="7">
        <v>0.68263888888888891</v>
      </c>
      <c r="C3084" s="23" t="str">
        <f>"FES1162733863"</f>
        <v>FES1162733863</v>
      </c>
      <c r="D3084" s="23" t="s">
        <v>19</v>
      </c>
      <c r="E3084" s="23" t="s">
        <v>174</v>
      </c>
      <c r="F3084" s="23" t="str">
        <f>"2170726384 "</f>
        <v xml:space="preserve">2170726384 </v>
      </c>
      <c r="G3084" s="23" t="str">
        <f t="shared" si="88"/>
        <v>ON1</v>
      </c>
      <c r="H3084" s="23" t="s">
        <v>21</v>
      </c>
      <c r="I3084" s="23" t="s">
        <v>175</v>
      </c>
      <c r="J3084" s="23" t="str">
        <f>""</f>
        <v/>
      </c>
      <c r="K3084" s="23" t="str">
        <f>"PFES1162733863_0001"</f>
        <v>PFES1162733863_0001</v>
      </c>
      <c r="L3084" s="23">
        <v>1</v>
      </c>
      <c r="M3084" s="23">
        <v>1</v>
      </c>
    </row>
    <row r="3085" spans="1:13">
      <c r="A3085" s="6">
        <v>43860</v>
      </c>
      <c r="B3085" s="7">
        <v>0.68263888888888891</v>
      </c>
      <c r="C3085" s="23" t="str">
        <f>"FES1162733904"</f>
        <v>FES1162733904</v>
      </c>
      <c r="D3085" s="23" t="s">
        <v>19</v>
      </c>
      <c r="E3085" s="23" t="s">
        <v>465</v>
      </c>
      <c r="F3085" s="23" t="str">
        <f>"2170726424 "</f>
        <v xml:space="preserve">2170726424 </v>
      </c>
      <c r="G3085" s="23" t="str">
        <f t="shared" si="88"/>
        <v>ON1</v>
      </c>
      <c r="H3085" s="23" t="s">
        <v>21</v>
      </c>
      <c r="I3085" s="23" t="s">
        <v>466</v>
      </c>
      <c r="J3085" s="23" t="str">
        <f>""</f>
        <v/>
      </c>
      <c r="K3085" s="23" t="str">
        <f>"PFES1162733904_0001"</f>
        <v>PFES1162733904_0001</v>
      </c>
      <c r="L3085" s="23">
        <v>1</v>
      </c>
      <c r="M3085" s="23">
        <v>1</v>
      </c>
    </row>
    <row r="3086" spans="1:13">
      <c r="A3086" s="6">
        <v>43860</v>
      </c>
      <c r="B3086" s="7">
        <v>0.68194444444444446</v>
      </c>
      <c r="C3086" s="23" t="str">
        <f>"FES1162733823"</f>
        <v>FES1162733823</v>
      </c>
      <c r="D3086" s="23" t="s">
        <v>19</v>
      </c>
      <c r="E3086" s="23" t="s">
        <v>229</v>
      </c>
      <c r="F3086" s="23" t="str">
        <f>"2170726330 "</f>
        <v xml:space="preserve">2170726330 </v>
      </c>
      <c r="G3086" s="23" t="str">
        <f t="shared" si="88"/>
        <v>ON1</v>
      </c>
      <c r="H3086" s="23" t="s">
        <v>21</v>
      </c>
      <c r="I3086" s="23" t="s">
        <v>230</v>
      </c>
      <c r="J3086" s="23" t="str">
        <f>""</f>
        <v/>
      </c>
      <c r="K3086" s="23" t="str">
        <f>"PFES1162733823_0001"</f>
        <v>PFES1162733823_0001</v>
      </c>
      <c r="L3086" s="23">
        <v>1</v>
      </c>
      <c r="M3086" s="23">
        <v>1</v>
      </c>
    </row>
    <row r="3087" spans="1:13">
      <c r="A3087" s="6">
        <v>43860</v>
      </c>
      <c r="B3087" s="7">
        <v>0.68194444444444446</v>
      </c>
      <c r="C3087" s="23" t="str">
        <f>"FES1162733804"</f>
        <v>FES1162733804</v>
      </c>
      <c r="D3087" s="23" t="s">
        <v>19</v>
      </c>
      <c r="E3087" s="23" t="s">
        <v>1071</v>
      </c>
      <c r="F3087" s="23" t="str">
        <f>"2170726305 "</f>
        <v xml:space="preserve">2170726305 </v>
      </c>
      <c r="G3087" s="23" t="str">
        <f t="shared" si="88"/>
        <v>ON1</v>
      </c>
      <c r="H3087" s="23" t="s">
        <v>21</v>
      </c>
      <c r="I3087" s="23" t="s">
        <v>740</v>
      </c>
      <c r="J3087" s="23" t="str">
        <f>""</f>
        <v/>
      </c>
      <c r="K3087" s="23" t="str">
        <f>"PFES1162733804_0001"</f>
        <v>PFES1162733804_0001</v>
      </c>
      <c r="L3087" s="23">
        <v>1</v>
      </c>
      <c r="M3087" s="23">
        <v>1</v>
      </c>
    </row>
    <row r="3088" spans="1:13">
      <c r="A3088" s="6">
        <v>43860</v>
      </c>
      <c r="B3088" s="7">
        <v>0.68125000000000002</v>
      </c>
      <c r="C3088" s="23" t="str">
        <f>"FES1162733886"</f>
        <v>FES1162733886</v>
      </c>
      <c r="D3088" s="23" t="s">
        <v>19</v>
      </c>
      <c r="E3088" s="23" t="s">
        <v>470</v>
      </c>
      <c r="F3088" s="23" t="str">
        <f>"2170725111 "</f>
        <v xml:space="preserve">2170725111 </v>
      </c>
      <c r="G3088" s="23" t="str">
        <f t="shared" si="88"/>
        <v>ON1</v>
      </c>
      <c r="H3088" s="23" t="s">
        <v>21</v>
      </c>
      <c r="I3088" s="23" t="s">
        <v>471</v>
      </c>
      <c r="J3088" s="23" t="str">
        <f>""</f>
        <v/>
      </c>
      <c r="K3088" s="23" t="str">
        <f>"PFES1162733886_0001"</f>
        <v>PFES1162733886_0001</v>
      </c>
      <c r="L3088" s="23">
        <v>1</v>
      </c>
      <c r="M3088" s="23">
        <v>1</v>
      </c>
    </row>
    <row r="3089" spans="1:13">
      <c r="A3089" s="6">
        <v>43860</v>
      </c>
      <c r="B3089" s="7">
        <v>0.67986111111111114</v>
      </c>
      <c r="C3089" s="23" t="str">
        <f>"FES1162733889"</f>
        <v>FES1162733889</v>
      </c>
      <c r="D3089" s="23" t="s">
        <v>19</v>
      </c>
      <c r="E3089" s="23" t="s">
        <v>1072</v>
      </c>
      <c r="F3089" s="23" t="str">
        <f>"2170726400 "</f>
        <v xml:space="preserve">2170726400 </v>
      </c>
      <c r="G3089" s="23" t="str">
        <f t="shared" si="88"/>
        <v>ON1</v>
      </c>
      <c r="H3089" s="23" t="s">
        <v>21</v>
      </c>
      <c r="I3089" s="23" t="s">
        <v>1073</v>
      </c>
      <c r="J3089" s="23" t="str">
        <f>""</f>
        <v/>
      </c>
      <c r="K3089" s="23" t="str">
        <f>"PFES1162733889_0001"</f>
        <v>PFES1162733889_0001</v>
      </c>
      <c r="L3089" s="23">
        <v>1</v>
      </c>
      <c r="M3089" s="23">
        <v>1</v>
      </c>
    </row>
    <row r="3090" spans="1:13">
      <c r="A3090" s="6">
        <v>43860</v>
      </c>
      <c r="B3090" s="7">
        <v>0.67986111111111114</v>
      </c>
      <c r="C3090" s="23" t="str">
        <f>"FES1162733794"</f>
        <v>FES1162733794</v>
      </c>
      <c r="D3090" s="23" t="s">
        <v>19</v>
      </c>
      <c r="E3090" s="23" t="s">
        <v>1074</v>
      </c>
      <c r="F3090" s="23" t="str">
        <f>"2170726299 "</f>
        <v xml:space="preserve">2170726299 </v>
      </c>
      <c r="G3090" s="23" t="str">
        <f t="shared" si="88"/>
        <v>ON1</v>
      </c>
      <c r="H3090" s="23" t="s">
        <v>21</v>
      </c>
      <c r="I3090" s="23" t="s">
        <v>1075</v>
      </c>
      <c r="J3090" s="23" t="str">
        <f>""</f>
        <v/>
      </c>
      <c r="K3090" s="23" t="str">
        <f>"PFES1162733794_0001"</f>
        <v>PFES1162733794_0001</v>
      </c>
      <c r="L3090" s="23">
        <v>1</v>
      </c>
      <c r="M3090" s="23">
        <v>1</v>
      </c>
    </row>
    <row r="3091" spans="1:13">
      <c r="A3091" s="6">
        <v>43860</v>
      </c>
      <c r="B3091" s="7">
        <v>0.6791666666666667</v>
      </c>
      <c r="C3091" s="23" t="str">
        <f>"FES1162733873"</f>
        <v>FES1162733873</v>
      </c>
      <c r="D3091" s="23" t="s">
        <v>19</v>
      </c>
      <c r="E3091" s="23" t="s">
        <v>606</v>
      </c>
      <c r="F3091" s="23" t="str">
        <f>"2170723241 "</f>
        <v xml:space="preserve">2170723241 </v>
      </c>
      <c r="G3091" s="23" t="str">
        <f t="shared" si="88"/>
        <v>ON1</v>
      </c>
      <c r="H3091" s="23" t="s">
        <v>21</v>
      </c>
      <c r="I3091" s="23" t="s">
        <v>235</v>
      </c>
      <c r="J3091" s="23" t="str">
        <f>""</f>
        <v/>
      </c>
      <c r="K3091" s="23" t="str">
        <f>"PFES1162733873_0001"</f>
        <v>PFES1162733873_0001</v>
      </c>
      <c r="L3091" s="23">
        <v>1</v>
      </c>
      <c r="M3091" s="23">
        <v>1</v>
      </c>
    </row>
    <row r="3092" spans="1:13">
      <c r="A3092" s="6">
        <v>43860</v>
      </c>
      <c r="B3092" s="7">
        <v>0.6791666666666667</v>
      </c>
      <c r="C3092" s="23" t="str">
        <f>"FES1162733865"</f>
        <v>FES1162733865</v>
      </c>
      <c r="D3092" s="23" t="s">
        <v>19</v>
      </c>
      <c r="E3092" s="23" t="s">
        <v>168</v>
      </c>
      <c r="F3092" s="23" t="str">
        <f>"2170726387 "</f>
        <v xml:space="preserve">2170726387 </v>
      </c>
      <c r="G3092" s="23" t="str">
        <f t="shared" si="88"/>
        <v>ON1</v>
      </c>
      <c r="H3092" s="23" t="s">
        <v>21</v>
      </c>
      <c r="I3092" s="23" t="s">
        <v>169</v>
      </c>
      <c r="J3092" s="23" t="str">
        <f>""</f>
        <v/>
      </c>
      <c r="K3092" s="23" t="str">
        <f>"PFES1162733865_0001"</f>
        <v>PFES1162733865_0001</v>
      </c>
      <c r="L3092" s="23">
        <v>1</v>
      </c>
      <c r="M3092" s="23">
        <v>1</v>
      </c>
    </row>
    <row r="3093" spans="1:13">
      <c r="A3093" s="6">
        <v>43860</v>
      </c>
      <c r="B3093" s="7">
        <v>0.67847222222222225</v>
      </c>
      <c r="C3093" s="23" t="str">
        <f>"FES1162733866"</f>
        <v>FES1162733866</v>
      </c>
      <c r="D3093" s="23" t="s">
        <v>19</v>
      </c>
      <c r="E3093" s="23" t="s">
        <v>118</v>
      </c>
      <c r="F3093" s="23" t="str">
        <f>"2170726388 "</f>
        <v xml:space="preserve">2170726388 </v>
      </c>
      <c r="G3093" s="23" t="str">
        <f t="shared" si="88"/>
        <v>ON1</v>
      </c>
      <c r="H3093" s="23" t="s">
        <v>21</v>
      </c>
      <c r="I3093" s="23" t="s">
        <v>119</v>
      </c>
      <c r="J3093" s="23" t="str">
        <f>""</f>
        <v/>
      </c>
      <c r="K3093" s="23" t="str">
        <f>"PFES1162733866_0001"</f>
        <v>PFES1162733866_0001</v>
      </c>
      <c r="L3093" s="23">
        <v>1</v>
      </c>
      <c r="M3093" s="23">
        <v>1</v>
      </c>
    </row>
    <row r="3094" spans="1:13">
      <c r="A3094" s="6">
        <v>43860</v>
      </c>
      <c r="B3094" s="7">
        <v>0.67847222222222225</v>
      </c>
      <c r="C3094" s="23" t="str">
        <f>"FES1162733806"</f>
        <v>FES1162733806</v>
      </c>
      <c r="D3094" s="23" t="s">
        <v>19</v>
      </c>
      <c r="E3094" s="23" t="s">
        <v>331</v>
      </c>
      <c r="F3094" s="23" t="str">
        <f>"2170726308 "</f>
        <v xml:space="preserve">2170726308 </v>
      </c>
      <c r="G3094" s="23" t="str">
        <f t="shared" si="88"/>
        <v>ON1</v>
      </c>
      <c r="H3094" s="23" t="s">
        <v>21</v>
      </c>
      <c r="I3094" s="23" t="s">
        <v>303</v>
      </c>
      <c r="J3094" s="23" t="str">
        <f>""</f>
        <v/>
      </c>
      <c r="K3094" s="23" t="str">
        <f>"PFES1162733806_0001"</f>
        <v>PFES1162733806_0001</v>
      </c>
      <c r="L3094" s="23">
        <v>1</v>
      </c>
      <c r="M3094" s="23">
        <v>1</v>
      </c>
    </row>
    <row r="3095" spans="1:13">
      <c r="A3095" s="6">
        <v>43860</v>
      </c>
      <c r="B3095" s="7">
        <v>0.67847222222222225</v>
      </c>
      <c r="C3095" s="23" t="str">
        <f>"FES1162733879"</f>
        <v>FES1162733879</v>
      </c>
      <c r="D3095" s="23" t="s">
        <v>19</v>
      </c>
      <c r="E3095" s="23" t="s">
        <v>529</v>
      </c>
      <c r="F3095" s="23" t="str">
        <f>"2170724246 "</f>
        <v xml:space="preserve">2170724246 </v>
      </c>
      <c r="G3095" s="23" t="str">
        <f t="shared" si="88"/>
        <v>ON1</v>
      </c>
      <c r="H3095" s="23" t="s">
        <v>21</v>
      </c>
      <c r="I3095" s="23" t="s">
        <v>36</v>
      </c>
      <c r="J3095" s="23" t="str">
        <f>""</f>
        <v/>
      </c>
      <c r="K3095" s="23" t="str">
        <f>"PFES1162733879_0001"</f>
        <v>PFES1162733879_0001</v>
      </c>
      <c r="L3095" s="23">
        <v>1</v>
      </c>
      <c r="M3095" s="23">
        <v>3</v>
      </c>
    </row>
    <row r="3096" spans="1:13">
      <c r="A3096" s="6">
        <v>43860</v>
      </c>
      <c r="B3096" s="7">
        <v>0.6777777777777777</v>
      </c>
      <c r="C3096" s="23" t="str">
        <f>"FES1162733851"</f>
        <v>FES1162733851</v>
      </c>
      <c r="D3096" s="23" t="s">
        <v>19</v>
      </c>
      <c r="E3096" s="23" t="s">
        <v>316</v>
      </c>
      <c r="F3096" s="23" t="str">
        <f>"2170726366 "</f>
        <v xml:space="preserve">2170726366 </v>
      </c>
      <c r="G3096" s="23" t="str">
        <f t="shared" si="88"/>
        <v>ON1</v>
      </c>
      <c r="H3096" s="23" t="s">
        <v>21</v>
      </c>
      <c r="I3096" s="23" t="s">
        <v>119</v>
      </c>
      <c r="J3096" s="23" t="str">
        <f>""</f>
        <v/>
      </c>
      <c r="K3096" s="23" t="str">
        <f>"PFES1162733851_0001"</f>
        <v>PFES1162733851_0001</v>
      </c>
      <c r="L3096" s="23">
        <v>1</v>
      </c>
      <c r="M3096" s="23">
        <v>1</v>
      </c>
    </row>
    <row r="3097" spans="1:13">
      <c r="A3097" s="6">
        <v>43860</v>
      </c>
      <c r="B3097" s="7">
        <v>0.6777777777777777</v>
      </c>
      <c r="C3097" s="23" t="str">
        <f>"FES1162733861"</f>
        <v>FES1162733861</v>
      </c>
      <c r="D3097" s="23" t="s">
        <v>19</v>
      </c>
      <c r="E3097" s="23" t="s">
        <v>142</v>
      </c>
      <c r="F3097" s="23" t="str">
        <f>"2170726377 "</f>
        <v xml:space="preserve">2170726377 </v>
      </c>
      <c r="G3097" s="23" t="str">
        <f t="shared" si="88"/>
        <v>ON1</v>
      </c>
      <c r="H3097" s="23" t="s">
        <v>21</v>
      </c>
      <c r="I3097" s="23" t="s">
        <v>123</v>
      </c>
      <c r="J3097" s="23" t="str">
        <f>""</f>
        <v/>
      </c>
      <c r="K3097" s="23" t="str">
        <f>"PFES1162733861_0001"</f>
        <v>PFES1162733861_0001</v>
      </c>
      <c r="L3097" s="23">
        <v>1</v>
      </c>
      <c r="M3097" s="23">
        <v>1</v>
      </c>
    </row>
    <row r="3098" spans="1:13">
      <c r="A3098" s="6">
        <v>43860</v>
      </c>
      <c r="B3098" s="7">
        <v>0.6777777777777777</v>
      </c>
      <c r="C3098" s="23" t="str">
        <f>"FES1162733890"</f>
        <v>FES1162733890</v>
      </c>
      <c r="D3098" s="23" t="s">
        <v>19</v>
      </c>
      <c r="E3098" s="23" t="s">
        <v>143</v>
      </c>
      <c r="F3098" s="23" t="str">
        <f>"21707296402 "</f>
        <v xml:space="preserve">21707296402 </v>
      </c>
      <c r="G3098" s="23" t="str">
        <f>"DBC"</f>
        <v>DBC</v>
      </c>
      <c r="H3098" s="23" t="s">
        <v>21</v>
      </c>
      <c r="I3098" s="23" t="s">
        <v>137</v>
      </c>
      <c r="J3098" s="23" t="str">
        <f>""</f>
        <v/>
      </c>
      <c r="K3098" s="23" t="str">
        <f>"PFES1162733890_0001"</f>
        <v>PFES1162733890_0001</v>
      </c>
      <c r="L3098" s="23">
        <v>1</v>
      </c>
      <c r="M3098" s="23">
        <v>26</v>
      </c>
    </row>
    <row r="3099" spans="1:13">
      <c r="A3099" s="6">
        <v>43860</v>
      </c>
      <c r="B3099" s="7">
        <v>0.6777777777777777</v>
      </c>
      <c r="C3099" s="23" t="str">
        <f>"FES1162733797"</f>
        <v>FES1162733797</v>
      </c>
      <c r="D3099" s="23" t="s">
        <v>19</v>
      </c>
      <c r="E3099" s="23" t="s">
        <v>240</v>
      </c>
      <c r="F3099" s="23" t="str">
        <f>"2170726286 "</f>
        <v xml:space="preserve">2170726286 </v>
      </c>
      <c r="G3099" s="23" t="str">
        <f t="shared" ref="G3099:G3136" si="89">"ON1"</f>
        <v>ON1</v>
      </c>
      <c r="H3099" s="23" t="s">
        <v>21</v>
      </c>
      <c r="I3099" s="23" t="s">
        <v>241</v>
      </c>
      <c r="J3099" s="23" t="str">
        <f>""</f>
        <v/>
      </c>
      <c r="K3099" s="23" t="str">
        <f>"PFES1162733797_0001"</f>
        <v>PFES1162733797_0001</v>
      </c>
      <c r="L3099" s="23">
        <v>1</v>
      </c>
      <c r="M3099" s="23">
        <v>8</v>
      </c>
    </row>
    <row r="3100" spans="1:13">
      <c r="A3100" s="6">
        <v>43860</v>
      </c>
      <c r="B3100" s="7">
        <v>0.67708333333333337</v>
      </c>
      <c r="C3100" s="23" t="str">
        <f>"FES1162733844"</f>
        <v>FES1162733844</v>
      </c>
      <c r="D3100" s="23" t="s">
        <v>19</v>
      </c>
      <c r="E3100" s="23" t="s">
        <v>280</v>
      </c>
      <c r="F3100" s="23" t="str">
        <f>"2170726358 "</f>
        <v xml:space="preserve">2170726358 </v>
      </c>
      <c r="G3100" s="23" t="str">
        <f t="shared" si="89"/>
        <v>ON1</v>
      </c>
      <c r="H3100" s="23" t="s">
        <v>21</v>
      </c>
      <c r="I3100" s="23" t="s">
        <v>247</v>
      </c>
      <c r="J3100" s="23" t="str">
        <f>""</f>
        <v/>
      </c>
      <c r="K3100" s="23" t="str">
        <f>"PFES1162733844_0001"</f>
        <v>PFES1162733844_0001</v>
      </c>
      <c r="L3100" s="23">
        <v>1</v>
      </c>
      <c r="M3100" s="23">
        <v>1</v>
      </c>
    </row>
    <row r="3101" spans="1:13">
      <c r="A3101" s="6">
        <v>43860</v>
      </c>
      <c r="B3101" s="7">
        <v>0.67708333333333337</v>
      </c>
      <c r="C3101" s="23" t="str">
        <f>"FES1162733816"</f>
        <v>FES1162733816</v>
      </c>
      <c r="D3101" s="23" t="s">
        <v>19</v>
      </c>
      <c r="E3101" s="23" t="s">
        <v>413</v>
      </c>
      <c r="F3101" s="23" t="str">
        <f>"2170724081 "</f>
        <v xml:space="preserve">2170724081 </v>
      </c>
      <c r="G3101" s="23" t="str">
        <f t="shared" si="89"/>
        <v>ON1</v>
      </c>
      <c r="H3101" s="23" t="s">
        <v>21</v>
      </c>
      <c r="I3101" s="23" t="s">
        <v>414</v>
      </c>
      <c r="J3101" s="23" t="str">
        <f>""</f>
        <v/>
      </c>
      <c r="K3101" s="23" t="str">
        <f>"PFES1162733816_0001"</f>
        <v>PFES1162733816_0001</v>
      </c>
      <c r="L3101" s="23">
        <v>1</v>
      </c>
      <c r="M3101" s="23">
        <v>9</v>
      </c>
    </row>
    <row r="3102" spans="1:13">
      <c r="A3102" s="6">
        <v>43860</v>
      </c>
      <c r="B3102" s="7">
        <v>0.67638888888888893</v>
      </c>
      <c r="C3102" s="23" t="str">
        <f>"FES1162733818"</f>
        <v>FES1162733818</v>
      </c>
      <c r="D3102" s="23" t="s">
        <v>19</v>
      </c>
      <c r="E3102" s="23" t="s">
        <v>457</v>
      </c>
      <c r="F3102" s="23" t="str">
        <f>"2170726325 "</f>
        <v xml:space="preserve">2170726325 </v>
      </c>
      <c r="G3102" s="23" t="str">
        <f t="shared" si="89"/>
        <v>ON1</v>
      </c>
      <c r="H3102" s="23" t="s">
        <v>21</v>
      </c>
      <c r="I3102" s="23" t="s">
        <v>381</v>
      </c>
      <c r="J3102" s="23" t="str">
        <f>""</f>
        <v/>
      </c>
      <c r="K3102" s="23" t="str">
        <f>"PFES1162733818_0001"</f>
        <v>PFES1162733818_0001</v>
      </c>
      <c r="L3102" s="23">
        <v>1</v>
      </c>
      <c r="M3102" s="23">
        <v>1</v>
      </c>
    </row>
    <row r="3103" spans="1:13">
      <c r="A3103" s="6">
        <v>43860</v>
      </c>
      <c r="B3103" s="7">
        <v>0.67569444444444438</v>
      </c>
      <c r="C3103" s="23" t="str">
        <f>"FES1162733869"</f>
        <v>FES1162733869</v>
      </c>
      <c r="D3103" s="23" t="s">
        <v>19</v>
      </c>
      <c r="E3103" s="23" t="s">
        <v>84</v>
      </c>
      <c r="F3103" s="23" t="str">
        <f>"2170720398 "</f>
        <v xml:space="preserve">2170720398 </v>
      </c>
      <c r="G3103" s="23" t="str">
        <f t="shared" si="89"/>
        <v>ON1</v>
      </c>
      <c r="H3103" s="23" t="s">
        <v>21</v>
      </c>
      <c r="I3103" s="23" t="s">
        <v>85</v>
      </c>
      <c r="J3103" s="23" t="str">
        <f>""</f>
        <v/>
      </c>
      <c r="K3103" s="23" t="str">
        <f>"PFES1162733869_0001"</f>
        <v>PFES1162733869_0001</v>
      </c>
      <c r="L3103" s="23">
        <v>1</v>
      </c>
      <c r="M3103" s="23">
        <v>1</v>
      </c>
    </row>
    <row r="3104" spans="1:13">
      <c r="A3104" s="6">
        <v>43860</v>
      </c>
      <c r="B3104" s="7">
        <v>0.67569444444444438</v>
      </c>
      <c r="C3104" s="23" t="str">
        <f>"FES1162733882"</f>
        <v>FES1162733882</v>
      </c>
      <c r="D3104" s="23" t="s">
        <v>19</v>
      </c>
      <c r="E3104" s="23" t="s">
        <v>398</v>
      </c>
      <c r="F3104" s="23" t="str">
        <f>"2170724002 "</f>
        <v xml:space="preserve">2170724002 </v>
      </c>
      <c r="G3104" s="23" t="str">
        <f t="shared" si="89"/>
        <v>ON1</v>
      </c>
      <c r="H3104" s="23" t="s">
        <v>21</v>
      </c>
      <c r="I3104" s="23" t="s">
        <v>399</v>
      </c>
      <c r="J3104" s="23" t="str">
        <f>""</f>
        <v/>
      </c>
      <c r="K3104" s="23" t="str">
        <f>"PFES1162733882_0001"</f>
        <v>PFES1162733882_0001</v>
      </c>
      <c r="L3104" s="23">
        <v>1</v>
      </c>
      <c r="M3104" s="23">
        <v>1</v>
      </c>
    </row>
    <row r="3105" spans="1:13">
      <c r="A3105" s="6">
        <v>43860</v>
      </c>
      <c r="B3105" s="7">
        <v>0.67499999999999993</v>
      </c>
      <c r="C3105" s="23" t="str">
        <f>"FES1162733891"</f>
        <v>FES1162733891</v>
      </c>
      <c r="D3105" s="23" t="s">
        <v>19</v>
      </c>
      <c r="E3105" s="23" t="s">
        <v>633</v>
      </c>
      <c r="F3105" s="23" t="str">
        <f>"2170726406 "</f>
        <v xml:space="preserve">2170726406 </v>
      </c>
      <c r="G3105" s="23" t="str">
        <f t="shared" si="89"/>
        <v>ON1</v>
      </c>
      <c r="H3105" s="23" t="s">
        <v>21</v>
      </c>
      <c r="I3105" s="23" t="s">
        <v>139</v>
      </c>
      <c r="J3105" s="23" t="str">
        <f>""</f>
        <v/>
      </c>
      <c r="K3105" s="23" t="str">
        <f>"PFES1162733891_0001"</f>
        <v>PFES1162733891_0001</v>
      </c>
      <c r="L3105" s="23">
        <v>1</v>
      </c>
      <c r="M3105" s="23">
        <v>1</v>
      </c>
    </row>
    <row r="3106" spans="1:13">
      <c r="A3106" s="6">
        <v>43860</v>
      </c>
      <c r="B3106" s="7">
        <v>0.6743055555555556</v>
      </c>
      <c r="C3106" s="23" t="str">
        <f>"FES1162733874"</f>
        <v>FES1162733874</v>
      </c>
      <c r="D3106" s="23" t="s">
        <v>19</v>
      </c>
      <c r="E3106" s="23" t="s">
        <v>324</v>
      </c>
      <c r="F3106" s="23" t="str">
        <f>"2170726389 "</f>
        <v xml:space="preserve">2170726389 </v>
      </c>
      <c r="G3106" s="23" t="str">
        <f t="shared" si="89"/>
        <v>ON1</v>
      </c>
      <c r="H3106" s="23" t="s">
        <v>21</v>
      </c>
      <c r="I3106" s="23" t="s">
        <v>325</v>
      </c>
      <c r="J3106" s="23" t="str">
        <f>""</f>
        <v/>
      </c>
      <c r="K3106" s="23" t="str">
        <f>"PFES1162733874_0001"</f>
        <v>PFES1162733874_0001</v>
      </c>
      <c r="L3106" s="23">
        <v>1</v>
      </c>
      <c r="M3106" s="23">
        <v>1</v>
      </c>
    </row>
    <row r="3107" spans="1:13">
      <c r="A3107" s="6">
        <v>43860</v>
      </c>
      <c r="B3107" s="7">
        <v>0.67152777777777783</v>
      </c>
      <c r="C3107" s="23" t="str">
        <f>"FES1162733853"</f>
        <v>FES1162733853</v>
      </c>
      <c r="D3107" s="23" t="s">
        <v>19</v>
      </c>
      <c r="E3107" s="23" t="s">
        <v>222</v>
      </c>
      <c r="F3107" s="23" t="str">
        <f>"2170726370 "</f>
        <v xml:space="preserve">2170726370 </v>
      </c>
      <c r="G3107" s="23" t="str">
        <f t="shared" si="89"/>
        <v>ON1</v>
      </c>
      <c r="H3107" s="23" t="s">
        <v>21</v>
      </c>
      <c r="I3107" s="23" t="s">
        <v>28</v>
      </c>
      <c r="J3107" s="23" t="str">
        <f>""</f>
        <v/>
      </c>
      <c r="K3107" s="23" t="str">
        <f>"PFES1162733853_0001"</f>
        <v>PFES1162733853_0001</v>
      </c>
      <c r="L3107" s="23">
        <v>1</v>
      </c>
      <c r="M3107" s="23">
        <v>1</v>
      </c>
    </row>
    <row r="3108" spans="1:13">
      <c r="A3108" s="6">
        <v>43860</v>
      </c>
      <c r="B3108" s="7">
        <v>0.66111111111111109</v>
      </c>
      <c r="C3108" s="23" t="str">
        <f>"FES1162733787"</f>
        <v>FES1162733787</v>
      </c>
      <c r="D3108" s="23" t="s">
        <v>19</v>
      </c>
      <c r="E3108" s="23" t="s">
        <v>180</v>
      </c>
      <c r="F3108" s="23" t="str">
        <f>"2170726288 "</f>
        <v xml:space="preserve">2170726288 </v>
      </c>
      <c r="G3108" s="23" t="str">
        <f t="shared" si="89"/>
        <v>ON1</v>
      </c>
      <c r="H3108" s="23" t="s">
        <v>21</v>
      </c>
      <c r="I3108" s="23" t="s">
        <v>28</v>
      </c>
      <c r="J3108" s="23" t="str">
        <f>""</f>
        <v/>
      </c>
      <c r="K3108" s="23" t="str">
        <f>"PFES1162733787_0001"</f>
        <v>PFES1162733787_0001</v>
      </c>
      <c r="L3108" s="23">
        <v>1</v>
      </c>
      <c r="M3108" s="23">
        <v>18</v>
      </c>
    </row>
    <row r="3109" spans="1:13">
      <c r="A3109" s="6">
        <v>43860</v>
      </c>
      <c r="B3109" s="7">
        <v>0.66111111111111109</v>
      </c>
      <c r="C3109" s="23" t="str">
        <f>"FES1162733895"</f>
        <v>FES1162733895</v>
      </c>
      <c r="D3109" s="23" t="s">
        <v>19</v>
      </c>
      <c r="E3109" s="23" t="s">
        <v>491</v>
      </c>
      <c r="F3109" s="23" t="str">
        <f>"21707264112 "</f>
        <v xml:space="preserve">21707264112 </v>
      </c>
      <c r="G3109" s="23" t="str">
        <f t="shared" si="89"/>
        <v>ON1</v>
      </c>
      <c r="H3109" s="23" t="s">
        <v>21</v>
      </c>
      <c r="I3109" s="23" t="s">
        <v>47</v>
      </c>
      <c r="J3109" s="23" t="str">
        <f>""</f>
        <v/>
      </c>
      <c r="K3109" s="23" t="str">
        <f>"PFES1162733895_0001"</f>
        <v>PFES1162733895_0001</v>
      </c>
      <c r="L3109" s="23">
        <v>1</v>
      </c>
      <c r="M3109" s="23">
        <v>1</v>
      </c>
    </row>
    <row r="3110" spans="1:13">
      <c r="A3110" s="6">
        <v>43860</v>
      </c>
      <c r="B3110" s="7">
        <v>0.66041666666666665</v>
      </c>
      <c r="C3110" s="23" t="str">
        <f>"FES1162733877"</f>
        <v>FES1162733877</v>
      </c>
      <c r="D3110" s="23" t="s">
        <v>19</v>
      </c>
      <c r="E3110" s="23" t="s">
        <v>86</v>
      </c>
      <c r="F3110" s="23" t="str">
        <f>"2170724235 "</f>
        <v xml:space="preserve">2170724235 </v>
      </c>
      <c r="G3110" s="23" t="str">
        <f t="shared" si="89"/>
        <v>ON1</v>
      </c>
      <c r="H3110" s="23" t="s">
        <v>21</v>
      </c>
      <c r="I3110" s="23" t="s">
        <v>63</v>
      </c>
      <c r="J3110" s="23" t="str">
        <f>""</f>
        <v/>
      </c>
      <c r="K3110" s="23" t="str">
        <f>"PFES1162733877_0001"</f>
        <v>PFES1162733877_0001</v>
      </c>
      <c r="L3110" s="23">
        <v>1</v>
      </c>
      <c r="M3110" s="23">
        <v>3</v>
      </c>
    </row>
    <row r="3111" spans="1:13">
      <c r="A3111" s="6">
        <v>43860</v>
      </c>
      <c r="B3111" s="7">
        <v>0.66041666666666665</v>
      </c>
      <c r="C3111" s="23" t="str">
        <f>"FES1162733878"</f>
        <v>FES1162733878</v>
      </c>
      <c r="D3111" s="23" t="s">
        <v>19</v>
      </c>
      <c r="E3111" s="23" t="s">
        <v>86</v>
      </c>
      <c r="F3111" s="23" t="str">
        <f>"2170723781 "</f>
        <v xml:space="preserve">2170723781 </v>
      </c>
      <c r="G3111" s="23" t="str">
        <f t="shared" si="89"/>
        <v>ON1</v>
      </c>
      <c r="H3111" s="23" t="s">
        <v>21</v>
      </c>
      <c r="I3111" s="23" t="s">
        <v>63</v>
      </c>
      <c r="J3111" s="23" t="str">
        <f>""</f>
        <v/>
      </c>
      <c r="K3111" s="23" t="str">
        <f>"PFES1162733878_0001"</f>
        <v>PFES1162733878_0001</v>
      </c>
      <c r="L3111" s="23">
        <v>2</v>
      </c>
      <c r="M3111" s="23">
        <v>5</v>
      </c>
    </row>
    <row r="3112" spans="1:13">
      <c r="A3112" s="6">
        <v>43860</v>
      </c>
      <c r="B3112" s="7">
        <v>0.65625</v>
      </c>
      <c r="C3112" s="23" t="str">
        <f>"FES1162733897"</f>
        <v>FES1162733897</v>
      </c>
      <c r="D3112" s="23" t="s">
        <v>19</v>
      </c>
      <c r="E3112" s="23" t="s">
        <v>37</v>
      </c>
      <c r="F3112" s="23" t="str">
        <f>"2170726414 "</f>
        <v xml:space="preserve">2170726414 </v>
      </c>
      <c r="G3112" s="23" t="str">
        <f t="shared" si="89"/>
        <v>ON1</v>
      </c>
      <c r="H3112" s="23" t="s">
        <v>21</v>
      </c>
      <c r="I3112" s="23" t="s">
        <v>38</v>
      </c>
      <c r="J3112" s="23" t="str">
        <f>""</f>
        <v/>
      </c>
      <c r="K3112" s="23" t="str">
        <f>"PFES1162733897_0001"</f>
        <v>PFES1162733897_0001</v>
      </c>
      <c r="L3112" s="23">
        <v>1</v>
      </c>
      <c r="M3112" s="23">
        <v>1</v>
      </c>
    </row>
    <row r="3113" spans="1:13">
      <c r="A3113" s="6">
        <v>43860</v>
      </c>
      <c r="B3113" s="7">
        <v>0.65486111111111112</v>
      </c>
      <c r="C3113" s="23" t="str">
        <f>"FES1162733859"</f>
        <v>FES1162733859</v>
      </c>
      <c r="D3113" s="23" t="s">
        <v>19</v>
      </c>
      <c r="E3113" s="23" t="s">
        <v>117</v>
      </c>
      <c r="F3113" s="23" t="str">
        <f>"2170726374 "</f>
        <v xml:space="preserve">2170726374 </v>
      </c>
      <c r="G3113" s="23" t="str">
        <f t="shared" si="89"/>
        <v>ON1</v>
      </c>
      <c r="H3113" s="23" t="s">
        <v>21</v>
      </c>
      <c r="I3113" s="23" t="s">
        <v>85</v>
      </c>
      <c r="J3113" s="23" t="str">
        <f>""</f>
        <v/>
      </c>
      <c r="K3113" s="23" t="str">
        <f>"PFES1162733859_0001"</f>
        <v>PFES1162733859_0001</v>
      </c>
      <c r="L3113" s="23">
        <v>1</v>
      </c>
      <c r="M3113" s="23">
        <v>1</v>
      </c>
    </row>
    <row r="3114" spans="1:13">
      <c r="A3114" s="6">
        <v>43860</v>
      </c>
      <c r="B3114" s="7">
        <v>0.65416666666666667</v>
      </c>
      <c r="C3114" s="23" t="str">
        <f>"FES1162733858"</f>
        <v>FES1162733858</v>
      </c>
      <c r="D3114" s="23" t="s">
        <v>19</v>
      </c>
      <c r="E3114" s="23" t="s">
        <v>117</v>
      </c>
      <c r="F3114" s="23" t="str">
        <f>"2170726371 "</f>
        <v xml:space="preserve">2170726371 </v>
      </c>
      <c r="G3114" s="23" t="str">
        <f t="shared" si="89"/>
        <v>ON1</v>
      </c>
      <c r="H3114" s="23" t="s">
        <v>21</v>
      </c>
      <c r="I3114" s="23" t="s">
        <v>85</v>
      </c>
      <c r="J3114" s="23" t="str">
        <f>""</f>
        <v/>
      </c>
      <c r="K3114" s="23" t="str">
        <f>"PFES1162733858_0001"</f>
        <v>PFES1162733858_0001</v>
      </c>
      <c r="L3114" s="23">
        <v>1</v>
      </c>
      <c r="M3114" s="23">
        <v>1</v>
      </c>
    </row>
    <row r="3115" spans="1:13">
      <c r="A3115" s="6">
        <v>43860</v>
      </c>
      <c r="B3115" s="7">
        <v>0.65347222222222223</v>
      </c>
      <c r="C3115" s="23" t="str">
        <f>"FES1162733779"</f>
        <v>FES1162733779</v>
      </c>
      <c r="D3115" s="23" t="s">
        <v>19</v>
      </c>
      <c r="E3115" s="23" t="s">
        <v>188</v>
      </c>
      <c r="F3115" s="23" t="str">
        <f>"2170726276 "</f>
        <v xml:space="preserve">2170726276 </v>
      </c>
      <c r="G3115" s="23" t="str">
        <f t="shared" si="89"/>
        <v>ON1</v>
      </c>
      <c r="H3115" s="23" t="s">
        <v>21</v>
      </c>
      <c r="I3115" s="23" t="s">
        <v>189</v>
      </c>
      <c r="J3115" s="23" t="str">
        <f>""</f>
        <v/>
      </c>
      <c r="K3115" s="23" t="str">
        <f>"PFES1162733779_0001"</f>
        <v>PFES1162733779_0001</v>
      </c>
      <c r="L3115" s="23">
        <v>1</v>
      </c>
      <c r="M3115" s="23">
        <v>1</v>
      </c>
    </row>
    <row r="3116" spans="1:13">
      <c r="A3116" s="6">
        <v>43860</v>
      </c>
      <c r="B3116" s="7">
        <v>0.65277777777777779</v>
      </c>
      <c r="C3116" s="23" t="str">
        <f>"FES1162733819"</f>
        <v>FES1162733819</v>
      </c>
      <c r="D3116" s="23" t="s">
        <v>19</v>
      </c>
      <c r="E3116" s="23" t="s">
        <v>251</v>
      </c>
      <c r="F3116" s="23" t="str">
        <f>"2170726326 "</f>
        <v xml:space="preserve">2170726326 </v>
      </c>
      <c r="G3116" s="23" t="str">
        <f t="shared" si="89"/>
        <v>ON1</v>
      </c>
      <c r="H3116" s="23" t="s">
        <v>21</v>
      </c>
      <c r="I3116" s="23" t="s">
        <v>96</v>
      </c>
      <c r="J3116" s="23" t="str">
        <f>""</f>
        <v/>
      </c>
      <c r="K3116" s="23" t="str">
        <f>"PFES1162733819_0001"</f>
        <v>PFES1162733819_0001</v>
      </c>
      <c r="L3116" s="23">
        <v>1</v>
      </c>
      <c r="M3116" s="23">
        <v>1</v>
      </c>
    </row>
    <row r="3117" spans="1:13">
      <c r="A3117" s="6">
        <v>43860</v>
      </c>
      <c r="B3117" s="7">
        <v>0.65208333333333335</v>
      </c>
      <c r="C3117" s="23" t="str">
        <f>"FES1162733857"</f>
        <v>FES1162733857</v>
      </c>
      <c r="D3117" s="23" t="s">
        <v>19</v>
      </c>
      <c r="E3117" s="23" t="s">
        <v>142</v>
      </c>
      <c r="F3117" s="23" t="str">
        <f>"2170726382 "</f>
        <v xml:space="preserve">2170726382 </v>
      </c>
      <c r="G3117" s="23" t="str">
        <f t="shared" si="89"/>
        <v>ON1</v>
      </c>
      <c r="H3117" s="23" t="s">
        <v>21</v>
      </c>
      <c r="I3117" s="23" t="s">
        <v>123</v>
      </c>
      <c r="J3117" s="23" t="str">
        <f>""</f>
        <v/>
      </c>
      <c r="K3117" s="23" t="str">
        <f>"PFES1162733857_0001"</f>
        <v>PFES1162733857_0001</v>
      </c>
      <c r="L3117" s="23">
        <v>1</v>
      </c>
      <c r="M3117" s="23">
        <v>3</v>
      </c>
    </row>
    <row r="3118" spans="1:13">
      <c r="A3118" s="6">
        <v>43860</v>
      </c>
      <c r="B3118" s="7">
        <v>0.65208333333333335</v>
      </c>
      <c r="C3118" s="23" t="str">
        <f>"FES1162733801"</f>
        <v>FES1162733801</v>
      </c>
      <c r="D3118" s="23" t="s">
        <v>19</v>
      </c>
      <c r="E3118" s="23" t="s">
        <v>280</v>
      </c>
      <c r="F3118" s="23" t="str">
        <f>"2170726303 "</f>
        <v xml:space="preserve">2170726303 </v>
      </c>
      <c r="G3118" s="23" t="str">
        <f t="shared" si="89"/>
        <v>ON1</v>
      </c>
      <c r="H3118" s="23" t="s">
        <v>21</v>
      </c>
      <c r="I3118" s="23" t="s">
        <v>247</v>
      </c>
      <c r="J3118" s="23" t="str">
        <f>""</f>
        <v/>
      </c>
      <c r="K3118" s="23" t="str">
        <f>"PFES1162733801_0001"</f>
        <v>PFES1162733801_0001</v>
      </c>
      <c r="L3118" s="23">
        <v>1</v>
      </c>
      <c r="M3118" s="23">
        <v>1</v>
      </c>
    </row>
    <row r="3119" spans="1:13">
      <c r="A3119" s="6">
        <v>43860</v>
      </c>
      <c r="B3119" s="7">
        <v>0.65208333333333335</v>
      </c>
      <c r="C3119" s="23" t="str">
        <f>"FES1162733821"</f>
        <v>FES1162733821</v>
      </c>
      <c r="D3119" s="23" t="s">
        <v>19</v>
      </c>
      <c r="E3119" s="23" t="s">
        <v>144</v>
      </c>
      <c r="F3119" s="23" t="str">
        <f>"2170726328 "</f>
        <v xml:space="preserve">2170726328 </v>
      </c>
      <c r="G3119" s="23" t="str">
        <f t="shared" si="89"/>
        <v>ON1</v>
      </c>
      <c r="H3119" s="23" t="s">
        <v>21</v>
      </c>
      <c r="I3119" s="23" t="s">
        <v>34</v>
      </c>
      <c r="J3119" s="23" t="str">
        <f>""</f>
        <v/>
      </c>
      <c r="K3119" s="23" t="str">
        <f>"PFES1162733821_0001"</f>
        <v>PFES1162733821_0001</v>
      </c>
      <c r="L3119" s="23">
        <v>1</v>
      </c>
      <c r="M3119" s="23">
        <v>4</v>
      </c>
    </row>
    <row r="3120" spans="1:13">
      <c r="A3120" s="6">
        <v>43860</v>
      </c>
      <c r="B3120" s="7">
        <v>0.65138888888888891</v>
      </c>
      <c r="C3120" s="23" t="str">
        <f>"FES1162733831"</f>
        <v>FES1162733831</v>
      </c>
      <c r="D3120" s="23" t="s">
        <v>19</v>
      </c>
      <c r="E3120" s="23" t="s">
        <v>199</v>
      </c>
      <c r="F3120" s="23" t="str">
        <f>"2170726339 "</f>
        <v xml:space="preserve">2170726339 </v>
      </c>
      <c r="G3120" s="23" t="str">
        <f t="shared" si="89"/>
        <v>ON1</v>
      </c>
      <c r="H3120" s="23" t="s">
        <v>21</v>
      </c>
      <c r="I3120" s="23" t="s">
        <v>200</v>
      </c>
      <c r="J3120" s="23" t="str">
        <f>""</f>
        <v/>
      </c>
      <c r="K3120" s="23" t="str">
        <f>"PFES1162733831_0001"</f>
        <v>PFES1162733831_0001</v>
      </c>
      <c r="L3120" s="23">
        <v>1</v>
      </c>
      <c r="M3120" s="23">
        <v>1</v>
      </c>
    </row>
    <row r="3121" spans="1:13">
      <c r="A3121" s="6">
        <v>43860</v>
      </c>
      <c r="B3121" s="7">
        <v>0.65138888888888891</v>
      </c>
      <c r="C3121" s="23" t="str">
        <f>"FES1162733856"</f>
        <v>FES1162733856</v>
      </c>
      <c r="D3121" s="23" t="s">
        <v>19</v>
      </c>
      <c r="E3121" s="23" t="s">
        <v>142</v>
      </c>
      <c r="F3121" s="23" t="str">
        <f>"2170726381 "</f>
        <v xml:space="preserve">2170726381 </v>
      </c>
      <c r="G3121" s="23" t="str">
        <f t="shared" si="89"/>
        <v>ON1</v>
      </c>
      <c r="H3121" s="23" t="s">
        <v>21</v>
      </c>
      <c r="I3121" s="23" t="s">
        <v>123</v>
      </c>
      <c r="J3121" s="23" t="str">
        <f>""</f>
        <v/>
      </c>
      <c r="K3121" s="23" t="str">
        <f>"PFES1162733856_0001"</f>
        <v>PFES1162733856_0001</v>
      </c>
      <c r="L3121" s="23">
        <v>1</v>
      </c>
      <c r="M3121" s="23">
        <v>7</v>
      </c>
    </row>
    <row r="3122" spans="1:13">
      <c r="A3122" s="6">
        <v>43860</v>
      </c>
      <c r="B3122" s="7">
        <v>0.65069444444444446</v>
      </c>
      <c r="C3122" s="23" t="str">
        <f>"FES1162733860"</f>
        <v>FES1162733860</v>
      </c>
      <c r="D3122" s="23" t="s">
        <v>19</v>
      </c>
      <c r="E3122" s="23" t="s">
        <v>46</v>
      </c>
      <c r="F3122" s="23" t="str">
        <f>"2170726376 "</f>
        <v xml:space="preserve">2170726376 </v>
      </c>
      <c r="G3122" s="23" t="str">
        <f t="shared" si="89"/>
        <v>ON1</v>
      </c>
      <c r="H3122" s="23" t="s">
        <v>21</v>
      </c>
      <c r="I3122" s="23" t="s">
        <v>47</v>
      </c>
      <c r="J3122" s="23" t="str">
        <f>""</f>
        <v/>
      </c>
      <c r="K3122" s="23" t="str">
        <f>"PFES1162733860_0001"</f>
        <v>PFES1162733860_0001</v>
      </c>
      <c r="L3122" s="23">
        <v>2</v>
      </c>
      <c r="M3122" s="23">
        <v>11</v>
      </c>
    </row>
    <row r="3123" spans="1:13">
      <c r="A3123" s="6">
        <v>43860</v>
      </c>
      <c r="B3123" s="7">
        <v>0.65</v>
      </c>
      <c r="C3123" s="23" t="str">
        <f>"FES1162733693"</f>
        <v>FES1162733693</v>
      </c>
      <c r="D3123" s="23" t="s">
        <v>19</v>
      </c>
      <c r="E3123" s="23" t="s">
        <v>23</v>
      </c>
      <c r="F3123" s="23" t="str">
        <f>"2170725540 "</f>
        <v xml:space="preserve">2170725540 </v>
      </c>
      <c r="G3123" s="23" t="str">
        <f t="shared" si="89"/>
        <v>ON1</v>
      </c>
      <c r="H3123" s="23" t="s">
        <v>21</v>
      </c>
      <c r="I3123" s="23" t="s">
        <v>24</v>
      </c>
      <c r="J3123" s="23" t="str">
        <f>""</f>
        <v/>
      </c>
      <c r="K3123" s="23" t="str">
        <f>"PFES1162733693_0001"</f>
        <v>PFES1162733693_0001</v>
      </c>
      <c r="L3123" s="23">
        <v>1</v>
      </c>
      <c r="M3123" s="23">
        <v>1</v>
      </c>
    </row>
    <row r="3124" spans="1:13">
      <c r="A3124" s="6">
        <v>43860</v>
      </c>
      <c r="B3124" s="7">
        <v>0.64930555555555558</v>
      </c>
      <c r="C3124" s="23" t="str">
        <f>"FES1162733892"</f>
        <v>FES1162733892</v>
      </c>
      <c r="D3124" s="23" t="s">
        <v>19</v>
      </c>
      <c r="E3124" s="23" t="s">
        <v>142</v>
      </c>
      <c r="F3124" s="23" t="str">
        <f>"2170726411 "</f>
        <v xml:space="preserve">2170726411 </v>
      </c>
      <c r="G3124" s="23" t="str">
        <f t="shared" si="89"/>
        <v>ON1</v>
      </c>
      <c r="H3124" s="23" t="s">
        <v>21</v>
      </c>
      <c r="I3124" s="23" t="s">
        <v>123</v>
      </c>
      <c r="J3124" s="23" t="str">
        <f>""</f>
        <v/>
      </c>
      <c r="K3124" s="23" t="str">
        <f>"PFES1162733892_0001"</f>
        <v>PFES1162733892_0001</v>
      </c>
      <c r="L3124" s="23">
        <v>1</v>
      </c>
      <c r="M3124" s="23">
        <v>1</v>
      </c>
    </row>
    <row r="3125" spans="1:13">
      <c r="A3125" s="6">
        <v>43860</v>
      </c>
      <c r="B3125" s="7">
        <v>0.64861111111111114</v>
      </c>
      <c r="C3125" s="23" t="str">
        <f>"FES1162733832"</f>
        <v>FES1162733832</v>
      </c>
      <c r="D3125" s="23" t="s">
        <v>19</v>
      </c>
      <c r="E3125" s="23" t="s">
        <v>512</v>
      </c>
      <c r="F3125" s="23" t="str">
        <f>"2170726341 "</f>
        <v xml:space="preserve">2170726341 </v>
      </c>
      <c r="G3125" s="23" t="str">
        <f t="shared" si="89"/>
        <v>ON1</v>
      </c>
      <c r="H3125" s="23" t="s">
        <v>21</v>
      </c>
      <c r="I3125" s="23" t="s">
        <v>121</v>
      </c>
      <c r="J3125" s="23" t="str">
        <f>""</f>
        <v/>
      </c>
      <c r="K3125" s="23" t="str">
        <f>"PFES1162733832_0001"</f>
        <v>PFES1162733832_0001</v>
      </c>
      <c r="L3125" s="23">
        <v>1</v>
      </c>
      <c r="M3125" s="23">
        <v>1</v>
      </c>
    </row>
    <row r="3126" spans="1:13">
      <c r="A3126" s="6">
        <v>43860</v>
      </c>
      <c r="B3126" s="7">
        <v>0.6479166666666667</v>
      </c>
      <c r="C3126" s="23" t="str">
        <f>"FES1162733850"</f>
        <v>FES1162733850</v>
      </c>
      <c r="D3126" s="23" t="s">
        <v>19</v>
      </c>
      <c r="E3126" s="23" t="s">
        <v>449</v>
      </c>
      <c r="F3126" s="23" t="str">
        <f>"2170726365 "</f>
        <v xml:space="preserve">2170726365 </v>
      </c>
      <c r="G3126" s="23" t="str">
        <f t="shared" si="89"/>
        <v>ON1</v>
      </c>
      <c r="H3126" s="23" t="s">
        <v>21</v>
      </c>
      <c r="I3126" s="23" t="s">
        <v>403</v>
      </c>
      <c r="J3126" s="23" t="str">
        <f>""</f>
        <v/>
      </c>
      <c r="K3126" s="23" t="str">
        <f>"PFES1162733850_0001"</f>
        <v>PFES1162733850_0001</v>
      </c>
      <c r="L3126" s="23">
        <v>1</v>
      </c>
      <c r="M3126" s="23">
        <v>1</v>
      </c>
    </row>
    <row r="3127" spans="1:13">
      <c r="A3127" s="6">
        <v>43860</v>
      </c>
      <c r="B3127" s="7">
        <v>0.64652777777777781</v>
      </c>
      <c r="C3127" s="23" t="str">
        <f>"FES1162733828"</f>
        <v>FES1162733828</v>
      </c>
      <c r="D3127" s="23" t="s">
        <v>19</v>
      </c>
      <c r="E3127" s="23" t="s">
        <v>1076</v>
      </c>
      <c r="F3127" s="23" t="str">
        <f>"2170726335 "</f>
        <v xml:space="preserve">2170726335 </v>
      </c>
      <c r="G3127" s="23" t="str">
        <f t="shared" si="89"/>
        <v>ON1</v>
      </c>
      <c r="H3127" s="23" t="s">
        <v>21</v>
      </c>
      <c r="I3127" s="23" t="s">
        <v>303</v>
      </c>
      <c r="J3127" s="23" t="str">
        <f>""</f>
        <v/>
      </c>
      <c r="K3127" s="23" t="str">
        <f>"PFES1162733828_0001"</f>
        <v>PFES1162733828_0001</v>
      </c>
      <c r="L3127" s="23">
        <v>1</v>
      </c>
      <c r="M3127" s="23">
        <v>1</v>
      </c>
    </row>
    <row r="3128" spans="1:13">
      <c r="A3128" s="6">
        <v>43860</v>
      </c>
      <c r="B3128" s="7">
        <v>0.64444444444444449</v>
      </c>
      <c r="C3128" s="23" t="str">
        <f>"FES1162733651"</f>
        <v>FES1162733651</v>
      </c>
      <c r="D3128" s="23" t="s">
        <v>19</v>
      </c>
      <c r="E3128" s="23" t="s">
        <v>208</v>
      </c>
      <c r="F3128" s="23" t="str">
        <f>"2170723763 "</f>
        <v xml:space="preserve">2170723763 </v>
      </c>
      <c r="G3128" s="23" t="str">
        <f t="shared" si="89"/>
        <v>ON1</v>
      </c>
      <c r="H3128" s="23" t="s">
        <v>21</v>
      </c>
      <c r="I3128" s="23" t="s">
        <v>209</v>
      </c>
      <c r="J3128" s="23" t="str">
        <f>""</f>
        <v/>
      </c>
      <c r="K3128" s="23" t="str">
        <f>"PFES1162733651_0001"</f>
        <v>PFES1162733651_0001</v>
      </c>
      <c r="L3128" s="23">
        <v>1</v>
      </c>
      <c r="M3128" s="23">
        <v>1</v>
      </c>
    </row>
    <row r="3129" spans="1:13">
      <c r="A3129" s="6">
        <v>43860</v>
      </c>
      <c r="B3129" s="7">
        <v>0.64374999999999993</v>
      </c>
      <c r="C3129" s="23" t="str">
        <f>"FES1162733864"</f>
        <v>FES1162733864</v>
      </c>
      <c r="D3129" s="23" t="s">
        <v>19</v>
      </c>
      <c r="E3129" s="23" t="s">
        <v>86</v>
      </c>
      <c r="F3129" s="23" t="str">
        <f>"2170726385 "</f>
        <v xml:space="preserve">2170726385 </v>
      </c>
      <c r="G3129" s="23" t="str">
        <f t="shared" si="89"/>
        <v>ON1</v>
      </c>
      <c r="H3129" s="23" t="s">
        <v>21</v>
      </c>
      <c r="I3129" s="23" t="s">
        <v>63</v>
      </c>
      <c r="J3129" s="23" t="str">
        <f>""</f>
        <v/>
      </c>
      <c r="K3129" s="23" t="str">
        <f>"PFES1162733864_0001"</f>
        <v>PFES1162733864_0001</v>
      </c>
      <c r="L3129" s="23">
        <v>1</v>
      </c>
      <c r="M3129" s="23">
        <v>1</v>
      </c>
    </row>
    <row r="3130" spans="1:13">
      <c r="A3130" s="6">
        <v>43860</v>
      </c>
      <c r="B3130" s="7">
        <v>0.6430555555555556</v>
      </c>
      <c r="C3130" s="23" t="str">
        <f>"FES1162733757"</f>
        <v>FES1162733757</v>
      </c>
      <c r="D3130" s="23" t="s">
        <v>19</v>
      </c>
      <c r="E3130" s="23" t="s">
        <v>1077</v>
      </c>
      <c r="F3130" s="23" t="str">
        <f>"2170724924 "</f>
        <v xml:space="preserve">2170724924 </v>
      </c>
      <c r="G3130" s="23" t="str">
        <f t="shared" si="89"/>
        <v>ON1</v>
      </c>
      <c r="H3130" s="23" t="s">
        <v>21</v>
      </c>
      <c r="I3130" s="23" t="s">
        <v>233</v>
      </c>
      <c r="J3130" s="23" t="str">
        <f>""</f>
        <v/>
      </c>
      <c r="K3130" s="23" t="str">
        <f>"PFES1162733757_0001"</f>
        <v>PFES1162733757_0001</v>
      </c>
      <c r="L3130" s="23">
        <v>1</v>
      </c>
      <c r="M3130" s="23">
        <v>1</v>
      </c>
    </row>
    <row r="3131" spans="1:13">
      <c r="A3131" s="6">
        <v>43860</v>
      </c>
      <c r="B3131" s="7">
        <v>0.64236111111111105</v>
      </c>
      <c r="C3131" s="23" t="str">
        <f>"FES1162733868"</f>
        <v>FES1162733868</v>
      </c>
      <c r="D3131" s="23" t="s">
        <v>19</v>
      </c>
      <c r="E3131" s="23" t="s">
        <v>23</v>
      </c>
      <c r="F3131" s="23" t="str">
        <f>"2170726392 "</f>
        <v xml:space="preserve">2170726392 </v>
      </c>
      <c r="G3131" s="23" t="str">
        <f t="shared" si="89"/>
        <v>ON1</v>
      </c>
      <c r="H3131" s="23" t="s">
        <v>21</v>
      </c>
      <c r="I3131" s="23" t="s">
        <v>127</v>
      </c>
      <c r="J3131" s="23" t="str">
        <f>""</f>
        <v/>
      </c>
      <c r="K3131" s="23" t="str">
        <f>"PFES1162733868_0001"</f>
        <v>PFES1162733868_0001</v>
      </c>
      <c r="L3131" s="23">
        <v>1</v>
      </c>
      <c r="M3131" s="23">
        <v>1</v>
      </c>
    </row>
    <row r="3132" spans="1:13">
      <c r="A3132" s="6">
        <v>43860</v>
      </c>
      <c r="B3132" s="7">
        <v>0.64166666666666672</v>
      </c>
      <c r="C3132" s="23" t="str">
        <f>"FES1162733871"</f>
        <v>FES1162733871</v>
      </c>
      <c r="D3132" s="23" t="s">
        <v>19</v>
      </c>
      <c r="E3132" s="23" t="s">
        <v>141</v>
      </c>
      <c r="F3132" s="23" t="str">
        <f>"2170722049 "</f>
        <v xml:space="preserve">2170722049 </v>
      </c>
      <c r="G3132" s="23" t="str">
        <f t="shared" si="89"/>
        <v>ON1</v>
      </c>
      <c r="H3132" s="23" t="s">
        <v>21</v>
      </c>
      <c r="I3132" s="23" t="s">
        <v>90</v>
      </c>
      <c r="J3132" s="23" t="str">
        <f>""</f>
        <v/>
      </c>
      <c r="K3132" s="23" t="str">
        <f>"PFES1162733871_0001"</f>
        <v>PFES1162733871_0001</v>
      </c>
      <c r="L3132" s="23">
        <v>1</v>
      </c>
      <c r="M3132" s="23">
        <v>1</v>
      </c>
    </row>
    <row r="3133" spans="1:13">
      <c r="A3133" s="6">
        <v>43860</v>
      </c>
      <c r="B3133" s="7">
        <v>0.64166666666666672</v>
      </c>
      <c r="C3133" s="23" t="str">
        <f>"FES1162733836"</f>
        <v>FES1162733836</v>
      </c>
      <c r="D3133" s="23" t="s">
        <v>19</v>
      </c>
      <c r="E3133" s="23" t="s">
        <v>611</v>
      </c>
      <c r="F3133" s="23" t="str">
        <f>"2170726344 "</f>
        <v xml:space="preserve">2170726344 </v>
      </c>
      <c r="G3133" s="23" t="str">
        <f t="shared" si="89"/>
        <v>ON1</v>
      </c>
      <c r="H3133" s="23" t="s">
        <v>21</v>
      </c>
      <c r="I3133" s="23" t="s">
        <v>36</v>
      </c>
      <c r="J3133" s="23" t="str">
        <f>""</f>
        <v/>
      </c>
      <c r="K3133" s="23" t="str">
        <f>"PFES1162733836_0001"</f>
        <v>PFES1162733836_0001</v>
      </c>
      <c r="L3133" s="23">
        <v>1</v>
      </c>
      <c r="M3133" s="23">
        <v>5</v>
      </c>
    </row>
    <row r="3134" spans="1:13">
      <c r="A3134" s="6">
        <v>43860</v>
      </c>
      <c r="B3134" s="7">
        <v>0.64097222222222217</v>
      </c>
      <c r="C3134" s="23" t="str">
        <f>"FES1162733778"</f>
        <v>FES1162733778</v>
      </c>
      <c r="D3134" s="23" t="s">
        <v>19</v>
      </c>
      <c r="E3134" s="23" t="s">
        <v>188</v>
      </c>
      <c r="F3134" s="23" t="str">
        <f>"2170726274 "</f>
        <v xml:space="preserve">2170726274 </v>
      </c>
      <c r="G3134" s="23" t="str">
        <f t="shared" si="89"/>
        <v>ON1</v>
      </c>
      <c r="H3134" s="23" t="s">
        <v>21</v>
      </c>
      <c r="I3134" s="23" t="s">
        <v>189</v>
      </c>
      <c r="J3134" s="23" t="str">
        <f>""</f>
        <v/>
      </c>
      <c r="K3134" s="23" t="str">
        <f>"PFES1162733778_0001"</f>
        <v>PFES1162733778_0001</v>
      </c>
      <c r="L3134" s="23">
        <v>1</v>
      </c>
      <c r="M3134" s="23">
        <v>3</v>
      </c>
    </row>
    <row r="3135" spans="1:13">
      <c r="A3135" s="6">
        <v>43860</v>
      </c>
      <c r="B3135" s="7">
        <v>0.64097222222222217</v>
      </c>
      <c r="C3135" s="23" t="str">
        <f>"FES1162733870"</f>
        <v>FES1162733870</v>
      </c>
      <c r="D3135" s="23" t="s">
        <v>19</v>
      </c>
      <c r="E3135" s="23" t="s">
        <v>141</v>
      </c>
      <c r="F3135" s="23" t="str">
        <f>"2170722026 "</f>
        <v xml:space="preserve">2170722026 </v>
      </c>
      <c r="G3135" s="23" t="str">
        <f t="shared" si="89"/>
        <v>ON1</v>
      </c>
      <c r="H3135" s="23" t="s">
        <v>21</v>
      </c>
      <c r="I3135" s="23" t="s">
        <v>90</v>
      </c>
      <c r="J3135" s="23" t="str">
        <f>""</f>
        <v/>
      </c>
      <c r="K3135" s="23" t="str">
        <f>"PFES1162733870_0001"</f>
        <v>PFES1162733870_0001</v>
      </c>
      <c r="L3135" s="23">
        <v>1</v>
      </c>
      <c r="M3135" s="23">
        <v>4</v>
      </c>
    </row>
    <row r="3136" spans="1:13">
      <c r="A3136" s="6">
        <v>43860</v>
      </c>
      <c r="B3136" s="7">
        <v>0.64097222222222217</v>
      </c>
      <c r="C3136" s="23" t="str">
        <f>"FES1162733847"</f>
        <v>FES1162733847</v>
      </c>
      <c r="D3136" s="23" t="s">
        <v>19</v>
      </c>
      <c r="E3136" s="23" t="s">
        <v>820</v>
      </c>
      <c r="F3136" s="23" t="str">
        <f>"2170726357 "</f>
        <v xml:space="preserve">2170726357 </v>
      </c>
      <c r="G3136" s="23" t="str">
        <f t="shared" si="89"/>
        <v>ON1</v>
      </c>
      <c r="H3136" s="23" t="s">
        <v>21</v>
      </c>
      <c r="I3136" s="23" t="s">
        <v>1078</v>
      </c>
      <c r="J3136" s="23" t="str">
        <f>""</f>
        <v/>
      </c>
      <c r="K3136" s="23" t="str">
        <f>"PFES1162733847_0001"</f>
        <v>PFES1162733847_0001</v>
      </c>
      <c r="L3136" s="23">
        <v>1</v>
      </c>
      <c r="M3136" s="23">
        <v>1</v>
      </c>
    </row>
    <row r="3137" spans="1:13">
      <c r="A3137" s="6">
        <v>43860</v>
      </c>
      <c r="B3137" s="7">
        <v>0.64027777777777783</v>
      </c>
      <c r="C3137" s="23" t="str">
        <f>"FES1162733843"</f>
        <v>FES1162733843</v>
      </c>
      <c r="D3137" s="23" t="s">
        <v>19</v>
      </c>
      <c r="E3137" s="23" t="s">
        <v>46</v>
      </c>
      <c r="F3137" s="23" t="str">
        <f>"2170726353 "</f>
        <v xml:space="preserve">2170726353 </v>
      </c>
      <c r="G3137" s="23" t="str">
        <f>"DBC"</f>
        <v>DBC</v>
      </c>
      <c r="H3137" s="23" t="s">
        <v>21</v>
      </c>
      <c r="I3137" s="23" t="s">
        <v>47</v>
      </c>
      <c r="J3137" s="23" t="str">
        <f>""</f>
        <v/>
      </c>
      <c r="K3137" s="23" t="str">
        <f>"PFES1162733843_0001"</f>
        <v>PFES1162733843_0001</v>
      </c>
      <c r="L3137" s="23">
        <v>2</v>
      </c>
      <c r="M3137" s="23">
        <v>25</v>
      </c>
    </row>
    <row r="3138" spans="1:13">
      <c r="A3138" s="6">
        <v>43496</v>
      </c>
      <c r="B3138" s="7">
        <v>0.61458333333333337</v>
      </c>
      <c r="C3138" s="23" t="str">
        <f>"FES1162733843"</f>
        <v>FES1162733843</v>
      </c>
      <c r="D3138" s="23" t="s">
        <v>19</v>
      </c>
      <c r="E3138" s="23" t="s">
        <v>113</v>
      </c>
      <c r="F3138" s="23" t="str">
        <f>"2170671976 "</f>
        <v xml:space="preserve">2170671976 </v>
      </c>
      <c r="G3138" s="23" t="str">
        <f t="shared" ref="G3138:G3148" si="90">"ON1"</f>
        <v>ON1</v>
      </c>
      <c r="H3138" s="23" t="s">
        <v>21</v>
      </c>
      <c r="I3138" s="23" t="s">
        <v>114</v>
      </c>
      <c r="J3138" s="23" t="str">
        <f>""</f>
        <v/>
      </c>
      <c r="K3138" s="23" t="str">
        <f>"PFES1162733843_0002"</f>
        <v>PFES1162733843_0002</v>
      </c>
      <c r="L3138" s="23">
        <v>1</v>
      </c>
      <c r="M3138" s="23">
        <v>1</v>
      </c>
    </row>
    <row r="3139" spans="1:13">
      <c r="A3139" s="6">
        <v>43860</v>
      </c>
      <c r="B3139" s="7">
        <v>0.63958333333333328</v>
      </c>
      <c r="C3139" s="23" t="str">
        <f>"FES1162733845"</f>
        <v>FES1162733845</v>
      </c>
      <c r="D3139" s="23" t="s">
        <v>19</v>
      </c>
      <c r="E3139" s="23" t="s">
        <v>188</v>
      </c>
      <c r="F3139" s="23" t="str">
        <f>"2170726359 "</f>
        <v xml:space="preserve">2170726359 </v>
      </c>
      <c r="G3139" s="23" t="str">
        <f t="shared" si="90"/>
        <v>ON1</v>
      </c>
      <c r="H3139" s="23" t="s">
        <v>21</v>
      </c>
      <c r="I3139" s="23" t="s">
        <v>189</v>
      </c>
      <c r="J3139" s="23" t="str">
        <f>""</f>
        <v/>
      </c>
      <c r="K3139" s="23" t="str">
        <f>"PFES1162733845_0001"</f>
        <v>PFES1162733845_0001</v>
      </c>
      <c r="L3139" s="23">
        <v>1</v>
      </c>
      <c r="M3139" s="23">
        <v>3</v>
      </c>
    </row>
    <row r="3140" spans="1:13">
      <c r="A3140" s="6">
        <v>43860</v>
      </c>
      <c r="B3140" s="7">
        <v>0.63958333333333328</v>
      </c>
      <c r="C3140" s="23" t="str">
        <f>"FES1162733782"</f>
        <v>FES1162733782</v>
      </c>
      <c r="D3140" s="23" t="s">
        <v>19</v>
      </c>
      <c r="E3140" s="23" t="s">
        <v>342</v>
      </c>
      <c r="F3140" s="23" t="str">
        <f>"2170726281 "</f>
        <v xml:space="preserve">2170726281 </v>
      </c>
      <c r="G3140" s="23" t="str">
        <f t="shared" si="90"/>
        <v>ON1</v>
      </c>
      <c r="H3140" s="23" t="s">
        <v>21</v>
      </c>
      <c r="I3140" s="23" t="s">
        <v>233</v>
      </c>
      <c r="J3140" s="23" t="str">
        <f>""</f>
        <v/>
      </c>
      <c r="K3140" s="23" t="str">
        <f>"PFES1162733782_0001"</f>
        <v>PFES1162733782_0001</v>
      </c>
      <c r="L3140" s="23">
        <v>1</v>
      </c>
      <c r="M3140" s="23">
        <v>1</v>
      </c>
    </row>
    <row r="3141" spans="1:13">
      <c r="A3141" s="6">
        <v>43860</v>
      </c>
      <c r="B3141" s="7">
        <v>0.63888888888888895</v>
      </c>
      <c r="C3141" s="23" t="str">
        <f>"FES1162733807"</f>
        <v>FES1162733807</v>
      </c>
      <c r="D3141" s="23" t="s">
        <v>19</v>
      </c>
      <c r="E3141" s="23" t="s">
        <v>342</v>
      </c>
      <c r="F3141" s="23" t="str">
        <f>"2170726312 "</f>
        <v xml:space="preserve">2170726312 </v>
      </c>
      <c r="G3141" s="23" t="str">
        <f t="shared" si="90"/>
        <v>ON1</v>
      </c>
      <c r="H3141" s="23" t="s">
        <v>21</v>
      </c>
      <c r="I3141" s="23" t="s">
        <v>233</v>
      </c>
      <c r="J3141" s="23" t="str">
        <f>""</f>
        <v/>
      </c>
      <c r="K3141" s="23" t="str">
        <f>"PFES1162733807_0001"</f>
        <v>PFES1162733807_0001</v>
      </c>
      <c r="L3141" s="23">
        <v>1</v>
      </c>
      <c r="M3141" s="23">
        <v>1</v>
      </c>
    </row>
    <row r="3142" spans="1:13">
      <c r="A3142" s="6">
        <v>43860</v>
      </c>
      <c r="B3142" s="7">
        <v>0.62777777777777777</v>
      </c>
      <c r="C3142" s="23" t="str">
        <f>"FES1162733793"</f>
        <v>FES1162733793</v>
      </c>
      <c r="D3142" s="23" t="s">
        <v>19</v>
      </c>
      <c r="E3142" s="23" t="s">
        <v>1079</v>
      </c>
      <c r="F3142" s="23" t="str">
        <f>"2170726269 "</f>
        <v xml:space="preserve">2170726269 </v>
      </c>
      <c r="G3142" s="23" t="str">
        <f t="shared" si="90"/>
        <v>ON1</v>
      </c>
      <c r="H3142" s="23" t="s">
        <v>21</v>
      </c>
      <c r="I3142" s="23" t="s">
        <v>96</v>
      </c>
      <c r="J3142" s="23" t="str">
        <f>""</f>
        <v/>
      </c>
      <c r="K3142" s="23" t="str">
        <f>"PFES1162733793_0001"</f>
        <v>PFES1162733793_0001</v>
      </c>
      <c r="L3142" s="23">
        <v>1</v>
      </c>
      <c r="M3142" s="23">
        <v>9</v>
      </c>
    </row>
    <row r="3143" spans="1:13">
      <c r="A3143" s="6">
        <v>43860</v>
      </c>
      <c r="B3143" s="7">
        <v>0.62777777777777777</v>
      </c>
      <c r="C3143" s="23" t="str">
        <f>"FES1162733697"</f>
        <v>FES1162733697</v>
      </c>
      <c r="D3143" s="23" t="s">
        <v>19</v>
      </c>
      <c r="E3143" s="23" t="s">
        <v>1080</v>
      </c>
      <c r="F3143" s="23" t="str">
        <f>"2170726221 "</f>
        <v xml:space="preserve">2170726221 </v>
      </c>
      <c r="G3143" s="23" t="str">
        <f t="shared" si="90"/>
        <v>ON1</v>
      </c>
      <c r="H3143" s="23" t="s">
        <v>21</v>
      </c>
      <c r="I3143" s="23" t="s">
        <v>355</v>
      </c>
      <c r="J3143" s="23" t="str">
        <f>""</f>
        <v/>
      </c>
      <c r="K3143" s="23" t="str">
        <f>"PFES1162733697_0001"</f>
        <v>PFES1162733697_0001</v>
      </c>
      <c r="L3143" s="23">
        <v>1</v>
      </c>
      <c r="M3143" s="23">
        <v>2</v>
      </c>
    </row>
    <row r="3144" spans="1:13">
      <c r="A3144" s="6">
        <v>43860</v>
      </c>
      <c r="B3144" s="7">
        <v>0.62708333333333333</v>
      </c>
      <c r="C3144" s="23" t="str">
        <f>"FES1162733783"</f>
        <v>FES1162733783</v>
      </c>
      <c r="D3144" s="23" t="s">
        <v>19</v>
      </c>
      <c r="E3144" s="23" t="s">
        <v>199</v>
      </c>
      <c r="F3144" s="23" t="str">
        <f>"21707262828 "</f>
        <v xml:space="preserve">21707262828 </v>
      </c>
      <c r="G3144" s="23" t="str">
        <f t="shared" si="90"/>
        <v>ON1</v>
      </c>
      <c r="H3144" s="23" t="s">
        <v>21</v>
      </c>
      <c r="I3144" s="23" t="s">
        <v>200</v>
      </c>
      <c r="J3144" s="23" t="str">
        <f>""</f>
        <v/>
      </c>
      <c r="K3144" s="23" t="str">
        <f>"PFES1162733783_0001"</f>
        <v>PFES1162733783_0001</v>
      </c>
      <c r="L3144" s="23">
        <v>1</v>
      </c>
      <c r="M3144" s="23">
        <v>9</v>
      </c>
    </row>
    <row r="3145" spans="1:13">
      <c r="A3145" s="6">
        <v>43860</v>
      </c>
      <c r="B3145" s="7">
        <v>0.62708333333333333</v>
      </c>
      <c r="C3145" s="23" t="str">
        <f>"FES1162733824"</f>
        <v>FES1162733824</v>
      </c>
      <c r="D3145" s="23" t="s">
        <v>19</v>
      </c>
      <c r="E3145" s="23" t="s">
        <v>199</v>
      </c>
      <c r="F3145" s="23" t="str">
        <f>"2170726331 "</f>
        <v xml:space="preserve">2170726331 </v>
      </c>
      <c r="G3145" s="23" t="str">
        <f t="shared" si="90"/>
        <v>ON1</v>
      </c>
      <c r="H3145" s="23" t="s">
        <v>21</v>
      </c>
      <c r="I3145" s="23" t="s">
        <v>200</v>
      </c>
      <c r="J3145" s="23" t="str">
        <f>""</f>
        <v/>
      </c>
      <c r="K3145" s="23" t="str">
        <f>"PFES1162733824_0001"</f>
        <v>PFES1162733824_0001</v>
      </c>
      <c r="L3145" s="23">
        <v>1</v>
      </c>
      <c r="M3145" s="23">
        <v>2</v>
      </c>
    </row>
    <row r="3146" spans="1:13">
      <c r="A3146" s="6">
        <v>43860</v>
      </c>
      <c r="B3146" s="7">
        <v>0.62638888888888888</v>
      </c>
      <c r="C3146" s="23" t="str">
        <f>"FES1162733839"</f>
        <v>FES1162733839</v>
      </c>
      <c r="D3146" s="23" t="s">
        <v>19</v>
      </c>
      <c r="E3146" s="23" t="s">
        <v>607</v>
      </c>
      <c r="F3146" s="23" t="str">
        <f>"2170726348 "</f>
        <v xml:space="preserve">2170726348 </v>
      </c>
      <c r="G3146" s="23" t="str">
        <f t="shared" si="90"/>
        <v>ON1</v>
      </c>
      <c r="H3146" s="23" t="s">
        <v>21</v>
      </c>
      <c r="I3146" s="23" t="s">
        <v>416</v>
      </c>
      <c r="J3146" s="23" t="str">
        <f>""</f>
        <v/>
      </c>
      <c r="K3146" s="23" t="str">
        <f>"PFES1162733839_0001"</f>
        <v>PFES1162733839_0001</v>
      </c>
      <c r="L3146" s="23">
        <v>1</v>
      </c>
      <c r="M3146" s="23">
        <v>5</v>
      </c>
    </row>
    <row r="3147" spans="1:13">
      <c r="A3147" s="6">
        <v>43860</v>
      </c>
      <c r="B3147" s="7">
        <v>0.625</v>
      </c>
      <c r="C3147" s="23" t="str">
        <f>"FES1162733767"</f>
        <v>FES1162733767</v>
      </c>
      <c r="D3147" s="23" t="s">
        <v>19</v>
      </c>
      <c r="E3147" s="23" t="s">
        <v>178</v>
      </c>
      <c r="F3147" s="23" t="str">
        <f>"2170726259 "</f>
        <v xml:space="preserve">2170726259 </v>
      </c>
      <c r="G3147" s="23" t="str">
        <f t="shared" si="90"/>
        <v>ON1</v>
      </c>
      <c r="H3147" s="23" t="s">
        <v>21</v>
      </c>
      <c r="I3147" s="23" t="s">
        <v>179</v>
      </c>
      <c r="J3147" s="23" t="str">
        <f>""</f>
        <v/>
      </c>
      <c r="K3147" s="23" t="str">
        <f>"PFES1162733767_0001"</f>
        <v>PFES1162733767_0001</v>
      </c>
      <c r="L3147" s="23">
        <v>1</v>
      </c>
      <c r="M3147" s="23">
        <v>12</v>
      </c>
    </row>
    <row r="3148" spans="1:13">
      <c r="A3148" s="6">
        <v>43860</v>
      </c>
      <c r="B3148" s="7">
        <v>0.62430555555555556</v>
      </c>
      <c r="C3148" s="23" t="str">
        <f>"009935712123"</f>
        <v>009935712123</v>
      </c>
      <c r="D3148" s="23" t="s">
        <v>19</v>
      </c>
      <c r="E3148" s="23" t="s">
        <v>964</v>
      </c>
      <c r="F3148" s="23" t="str">
        <f>"ENOSS "</f>
        <v xml:space="preserve">ENOSS </v>
      </c>
      <c r="G3148" s="23" t="str">
        <f t="shared" si="90"/>
        <v>ON1</v>
      </c>
      <c r="H3148" s="23" t="s">
        <v>21</v>
      </c>
      <c r="I3148" s="23" t="s">
        <v>965</v>
      </c>
      <c r="J3148" s="23" t="str">
        <f>""</f>
        <v/>
      </c>
      <c r="K3148" s="23" t="str">
        <f>"P009935712123_0001"</f>
        <v>P009935712123_0001</v>
      </c>
      <c r="L3148" s="23">
        <v>1</v>
      </c>
      <c r="M3148" s="23">
        <v>1</v>
      </c>
    </row>
    <row r="3149" spans="1:13">
      <c r="A3149" s="6">
        <v>43860</v>
      </c>
      <c r="B3149" s="7">
        <v>0.60277777777777775</v>
      </c>
      <c r="C3149" s="23" t="str">
        <f>"FES1162733790"</f>
        <v>FES1162733790</v>
      </c>
      <c r="D3149" s="23" t="s">
        <v>19</v>
      </c>
      <c r="E3149" s="23" t="s">
        <v>745</v>
      </c>
      <c r="F3149" s="23" t="str">
        <f>"2170726293 "</f>
        <v xml:space="preserve">2170726293 </v>
      </c>
      <c r="G3149" s="23" t="str">
        <f>"DBC"</f>
        <v>DBC</v>
      </c>
      <c r="H3149" s="23" t="s">
        <v>21</v>
      </c>
      <c r="I3149" s="23" t="s">
        <v>36</v>
      </c>
      <c r="J3149" s="23" t="str">
        <f>""</f>
        <v/>
      </c>
      <c r="K3149" s="23" t="str">
        <f>"PFES1162733790_0001"</f>
        <v>PFES1162733790_0001</v>
      </c>
      <c r="L3149" s="23">
        <v>1</v>
      </c>
      <c r="M3149" s="23">
        <v>21</v>
      </c>
    </row>
    <row r="3150" spans="1:13">
      <c r="A3150" s="6">
        <v>43860</v>
      </c>
      <c r="B3150" s="7">
        <v>0.6</v>
      </c>
      <c r="C3150" s="23" t="str">
        <f>"FES1162733745"</f>
        <v>FES1162733745</v>
      </c>
      <c r="D3150" s="23" t="s">
        <v>19</v>
      </c>
      <c r="E3150" s="23" t="s">
        <v>33</v>
      </c>
      <c r="F3150" s="23" t="str">
        <f>"2170724241 "</f>
        <v xml:space="preserve">2170724241 </v>
      </c>
      <c r="G3150" s="23" t="str">
        <f>"DBC"</f>
        <v>DBC</v>
      </c>
      <c r="H3150" s="23" t="s">
        <v>21</v>
      </c>
      <c r="I3150" s="23" t="s">
        <v>34</v>
      </c>
      <c r="J3150" s="23" t="str">
        <f>""</f>
        <v/>
      </c>
      <c r="K3150" s="23" t="str">
        <f>"PFES1162733745_0001"</f>
        <v>PFES1162733745_0001</v>
      </c>
      <c r="L3150" s="23">
        <v>1</v>
      </c>
      <c r="M3150" s="23">
        <v>28</v>
      </c>
    </row>
    <row r="3151" spans="1:13">
      <c r="A3151" s="6">
        <v>43860</v>
      </c>
      <c r="B3151" s="7">
        <v>0.6</v>
      </c>
      <c r="C3151" s="23" t="str">
        <f>"FES1162733634"</f>
        <v>FES1162733634</v>
      </c>
      <c r="D3151" s="23" t="s">
        <v>19</v>
      </c>
      <c r="E3151" s="23" t="s">
        <v>304</v>
      </c>
      <c r="F3151" s="23" t="str">
        <f>"2170724643 "</f>
        <v xml:space="preserve">2170724643 </v>
      </c>
      <c r="G3151" s="23" t="str">
        <f t="shared" ref="G3151:G3160" si="91">"ON1"</f>
        <v>ON1</v>
      </c>
      <c r="H3151" s="23" t="s">
        <v>21</v>
      </c>
      <c r="I3151" s="23" t="s">
        <v>305</v>
      </c>
      <c r="J3151" s="23" t="str">
        <f>""</f>
        <v/>
      </c>
      <c r="K3151" s="23" t="str">
        <f>"PFES1162733634_0001"</f>
        <v>PFES1162733634_0001</v>
      </c>
      <c r="L3151" s="23">
        <v>1</v>
      </c>
      <c r="M3151" s="23">
        <v>13</v>
      </c>
    </row>
    <row r="3152" spans="1:13">
      <c r="A3152" s="6">
        <v>43860</v>
      </c>
      <c r="B3152" s="7">
        <v>0.59930555555555554</v>
      </c>
      <c r="C3152" s="23" t="str">
        <f>"FES1162733743"</f>
        <v>FES1162733743</v>
      </c>
      <c r="D3152" s="23" t="s">
        <v>19</v>
      </c>
      <c r="E3152" s="23" t="s">
        <v>33</v>
      </c>
      <c r="F3152" s="23" t="str">
        <f>"2170724233 "</f>
        <v xml:space="preserve">2170724233 </v>
      </c>
      <c r="G3152" s="23" t="str">
        <f t="shared" si="91"/>
        <v>ON1</v>
      </c>
      <c r="H3152" s="23" t="s">
        <v>21</v>
      </c>
      <c r="I3152" s="23" t="s">
        <v>34</v>
      </c>
      <c r="J3152" s="23" t="str">
        <f>""</f>
        <v/>
      </c>
      <c r="K3152" s="23" t="str">
        <f>"PFES1162733743_0001"</f>
        <v>PFES1162733743_0001</v>
      </c>
      <c r="L3152" s="23">
        <v>1</v>
      </c>
      <c r="M3152" s="23">
        <v>7</v>
      </c>
    </row>
    <row r="3153" spans="1:13">
      <c r="A3153" s="6">
        <v>43860</v>
      </c>
      <c r="B3153" s="7">
        <v>0.59930555555555554</v>
      </c>
      <c r="C3153" s="23" t="str">
        <f>"FES1162733795"</f>
        <v>FES1162733795</v>
      </c>
      <c r="D3153" s="23" t="s">
        <v>19</v>
      </c>
      <c r="E3153" s="23" t="s">
        <v>111</v>
      </c>
      <c r="F3153" s="23" t="str">
        <f>"2170724220 "</f>
        <v xml:space="preserve">2170724220 </v>
      </c>
      <c r="G3153" s="23" t="str">
        <f t="shared" si="91"/>
        <v>ON1</v>
      </c>
      <c r="H3153" s="23" t="s">
        <v>21</v>
      </c>
      <c r="I3153" s="23" t="s">
        <v>320</v>
      </c>
      <c r="J3153" s="23" t="str">
        <f>""</f>
        <v/>
      </c>
      <c r="K3153" s="23" t="str">
        <f>"PFES1162733795_0001"</f>
        <v>PFES1162733795_0001</v>
      </c>
      <c r="L3153" s="23">
        <v>1</v>
      </c>
      <c r="M3153" s="23">
        <v>4</v>
      </c>
    </row>
    <row r="3154" spans="1:13">
      <c r="A3154" s="6">
        <v>43860</v>
      </c>
      <c r="B3154" s="7">
        <v>0.59861111111111109</v>
      </c>
      <c r="C3154" s="23" t="str">
        <f>"FES1162733764"</f>
        <v>FES1162733764</v>
      </c>
      <c r="D3154" s="23" t="s">
        <v>19</v>
      </c>
      <c r="E3154" s="23" t="s">
        <v>222</v>
      </c>
      <c r="F3154" s="23" t="str">
        <f>"21707262655 "</f>
        <v xml:space="preserve">21707262655 </v>
      </c>
      <c r="G3154" s="23" t="str">
        <f t="shared" si="91"/>
        <v>ON1</v>
      </c>
      <c r="H3154" s="23" t="s">
        <v>21</v>
      </c>
      <c r="I3154" s="23" t="s">
        <v>28</v>
      </c>
      <c r="J3154" s="23" t="str">
        <f>""</f>
        <v/>
      </c>
      <c r="K3154" s="23" t="str">
        <f>"PFES1162733764_0001"</f>
        <v>PFES1162733764_0001</v>
      </c>
      <c r="L3154" s="23">
        <v>1</v>
      </c>
      <c r="M3154" s="23">
        <v>7</v>
      </c>
    </row>
    <row r="3155" spans="1:13">
      <c r="A3155" s="6">
        <v>43860</v>
      </c>
      <c r="B3155" s="7">
        <v>0.59861111111111109</v>
      </c>
      <c r="C3155" s="23" t="str">
        <f>"FES1162733746"</f>
        <v>FES1162733746</v>
      </c>
      <c r="D3155" s="23" t="s">
        <v>19</v>
      </c>
      <c r="E3155" s="23" t="s">
        <v>33</v>
      </c>
      <c r="F3155" s="23" t="str">
        <f>"2170724243 "</f>
        <v xml:space="preserve">2170724243 </v>
      </c>
      <c r="G3155" s="23" t="str">
        <f t="shared" si="91"/>
        <v>ON1</v>
      </c>
      <c r="H3155" s="23" t="s">
        <v>21</v>
      </c>
      <c r="I3155" s="23" t="s">
        <v>34</v>
      </c>
      <c r="J3155" s="23" t="str">
        <f>""</f>
        <v/>
      </c>
      <c r="K3155" s="23" t="str">
        <f>"PFES1162733746_0001"</f>
        <v>PFES1162733746_0001</v>
      </c>
      <c r="L3155" s="23">
        <v>1</v>
      </c>
      <c r="M3155" s="23">
        <v>20</v>
      </c>
    </row>
    <row r="3156" spans="1:13">
      <c r="A3156" s="6">
        <v>43860</v>
      </c>
      <c r="B3156" s="7">
        <v>0.59861111111111109</v>
      </c>
      <c r="C3156" s="23" t="str">
        <f>"FES1162733696"</f>
        <v>FES1162733696</v>
      </c>
      <c r="D3156" s="23" t="s">
        <v>19</v>
      </c>
      <c r="E3156" s="23" t="s">
        <v>1034</v>
      </c>
      <c r="F3156" s="23" t="str">
        <f>"2170726219 "</f>
        <v xml:space="preserve">2170726219 </v>
      </c>
      <c r="G3156" s="23" t="str">
        <f t="shared" si="91"/>
        <v>ON1</v>
      </c>
      <c r="H3156" s="23" t="s">
        <v>21</v>
      </c>
      <c r="I3156" s="23" t="s">
        <v>31</v>
      </c>
      <c r="J3156" s="23" t="str">
        <f>""</f>
        <v/>
      </c>
      <c r="K3156" s="23" t="str">
        <f>"PFES1162733696_0001"</f>
        <v>PFES1162733696_0001</v>
      </c>
      <c r="L3156" s="23">
        <v>1</v>
      </c>
      <c r="M3156" s="23">
        <v>2</v>
      </c>
    </row>
    <row r="3157" spans="1:13">
      <c r="A3157" s="6">
        <v>43860</v>
      </c>
      <c r="B3157" s="7">
        <v>0.59166666666666667</v>
      </c>
      <c r="C3157" s="23" t="str">
        <f>"FES1162733639"</f>
        <v>FES1162733639</v>
      </c>
      <c r="D3157" s="23" t="s">
        <v>19</v>
      </c>
      <c r="E3157" s="23" t="s">
        <v>409</v>
      </c>
      <c r="F3157" s="23" t="str">
        <f>"2170726203 "</f>
        <v xml:space="preserve">2170726203 </v>
      </c>
      <c r="G3157" s="23" t="str">
        <f t="shared" si="91"/>
        <v>ON1</v>
      </c>
      <c r="H3157" s="23" t="s">
        <v>21</v>
      </c>
      <c r="I3157" s="23" t="s">
        <v>249</v>
      </c>
      <c r="J3157" s="23" t="str">
        <f>""</f>
        <v/>
      </c>
      <c r="K3157" s="23" t="str">
        <f>"PFES1162733639_0001"</f>
        <v>PFES1162733639_0001</v>
      </c>
      <c r="L3157" s="23">
        <v>1</v>
      </c>
      <c r="M3157" s="23">
        <v>14</v>
      </c>
    </row>
    <row r="3158" spans="1:13">
      <c r="A3158" s="6">
        <v>43860</v>
      </c>
      <c r="B3158" s="7">
        <v>0.59097222222222223</v>
      </c>
      <c r="C3158" s="23" t="str">
        <f>"FES1162733808"</f>
        <v>FES1162733808</v>
      </c>
      <c r="D3158" s="23" t="s">
        <v>19</v>
      </c>
      <c r="E3158" s="23" t="s">
        <v>86</v>
      </c>
      <c r="F3158" s="23" t="str">
        <f>"2170726313 "</f>
        <v xml:space="preserve">2170726313 </v>
      </c>
      <c r="G3158" s="23" t="str">
        <f t="shared" si="91"/>
        <v>ON1</v>
      </c>
      <c r="H3158" s="23" t="s">
        <v>21</v>
      </c>
      <c r="I3158" s="23" t="s">
        <v>63</v>
      </c>
      <c r="J3158" s="23" t="str">
        <f>""</f>
        <v/>
      </c>
      <c r="K3158" s="23" t="str">
        <f>"PFES1162733808_0001"</f>
        <v>PFES1162733808_0001</v>
      </c>
      <c r="L3158" s="23">
        <v>1</v>
      </c>
      <c r="M3158" s="23">
        <v>3</v>
      </c>
    </row>
    <row r="3159" spans="1:13">
      <c r="A3159" s="6">
        <v>43860</v>
      </c>
      <c r="B3159" s="7">
        <v>0.58888888888888891</v>
      </c>
      <c r="C3159" s="23" t="str">
        <f>"FES1162733748"</f>
        <v>FES1162733748</v>
      </c>
      <c r="D3159" s="23" t="s">
        <v>19</v>
      </c>
      <c r="E3159" s="23" t="s">
        <v>532</v>
      </c>
      <c r="F3159" s="23" t="str">
        <f>"2170724255 "</f>
        <v xml:space="preserve">2170724255 </v>
      </c>
      <c r="G3159" s="23" t="str">
        <f t="shared" si="91"/>
        <v>ON1</v>
      </c>
      <c r="H3159" s="23" t="s">
        <v>21</v>
      </c>
      <c r="I3159" s="23" t="s">
        <v>533</v>
      </c>
      <c r="J3159" s="23" t="str">
        <f>""</f>
        <v/>
      </c>
      <c r="K3159" s="23" t="str">
        <f>"PFES1162733748_0001"</f>
        <v>PFES1162733748_0001</v>
      </c>
      <c r="L3159" s="23">
        <v>1</v>
      </c>
      <c r="M3159" s="23">
        <v>4</v>
      </c>
    </row>
    <row r="3160" spans="1:13">
      <c r="A3160" s="6">
        <v>43860</v>
      </c>
      <c r="B3160" s="7">
        <v>0.58819444444444446</v>
      </c>
      <c r="C3160" s="23" t="str">
        <f>"FES1162733676"</f>
        <v>FES1162733676</v>
      </c>
      <c r="D3160" s="23" t="s">
        <v>19</v>
      </c>
      <c r="E3160" s="23" t="s">
        <v>532</v>
      </c>
      <c r="F3160" s="23" t="str">
        <f>"2170724255 "</f>
        <v xml:space="preserve">2170724255 </v>
      </c>
      <c r="G3160" s="23" t="str">
        <f t="shared" si="91"/>
        <v>ON1</v>
      </c>
      <c r="H3160" s="23" t="s">
        <v>21</v>
      </c>
      <c r="I3160" s="23" t="s">
        <v>533</v>
      </c>
      <c r="J3160" s="23" t="str">
        <f>""</f>
        <v/>
      </c>
      <c r="K3160" s="23" t="str">
        <f>"PFES1162733676_0001"</f>
        <v>PFES1162733676_0001</v>
      </c>
      <c r="L3160" s="23">
        <v>1</v>
      </c>
      <c r="M3160" s="23">
        <v>3</v>
      </c>
    </row>
    <row r="3161" spans="1:13">
      <c r="A3161" s="6">
        <v>43860</v>
      </c>
      <c r="B3161" s="7">
        <v>0.58819444444444446</v>
      </c>
      <c r="C3161" s="23" t="str">
        <f>"FES1162733641"</f>
        <v>FES1162733641</v>
      </c>
      <c r="D3161" s="23" t="s">
        <v>19</v>
      </c>
      <c r="E3161" s="23" t="s">
        <v>224</v>
      </c>
      <c r="F3161" s="23" t="str">
        <f>"217076205 "</f>
        <v xml:space="preserve">217076205 </v>
      </c>
      <c r="G3161" s="23" t="str">
        <f>"DBC"</f>
        <v>DBC</v>
      </c>
      <c r="H3161" s="23" t="s">
        <v>21</v>
      </c>
      <c r="I3161" s="23" t="s">
        <v>225</v>
      </c>
      <c r="J3161" s="23" t="str">
        <f>""</f>
        <v/>
      </c>
      <c r="K3161" s="23" t="str">
        <f>"PFES1162733641_0001"</f>
        <v>PFES1162733641_0001</v>
      </c>
      <c r="L3161" s="23">
        <v>1</v>
      </c>
      <c r="M3161" s="23">
        <v>20</v>
      </c>
    </row>
    <row r="3162" spans="1:13">
      <c r="A3162" s="6">
        <v>43860</v>
      </c>
      <c r="B3162" s="7">
        <v>0.58750000000000002</v>
      </c>
      <c r="C3162" s="23" t="str">
        <f>"FES1162733796"</f>
        <v>FES1162733796</v>
      </c>
      <c r="D3162" s="23" t="s">
        <v>19</v>
      </c>
      <c r="E3162" s="23" t="s">
        <v>1081</v>
      </c>
      <c r="F3162" s="23" t="str">
        <f>"2170726220 "</f>
        <v xml:space="preserve">2170726220 </v>
      </c>
      <c r="G3162" s="23" t="str">
        <f t="shared" ref="G3162:G3173" si="92">"ON1"</f>
        <v>ON1</v>
      </c>
      <c r="H3162" s="23" t="s">
        <v>21</v>
      </c>
      <c r="I3162" s="23" t="s">
        <v>453</v>
      </c>
      <c r="J3162" s="23" t="str">
        <f>""</f>
        <v/>
      </c>
      <c r="K3162" s="23" t="str">
        <f>"PFES1162733796_0001"</f>
        <v>PFES1162733796_0001</v>
      </c>
      <c r="L3162" s="23">
        <v>1</v>
      </c>
      <c r="M3162" s="23">
        <v>2</v>
      </c>
    </row>
    <row r="3163" spans="1:13">
      <c r="A3163" s="6">
        <v>43860</v>
      </c>
      <c r="B3163" s="7">
        <v>0.58750000000000002</v>
      </c>
      <c r="C3163" s="23" t="str">
        <f>"FES1162733726"</f>
        <v>FES1162733726</v>
      </c>
      <c r="D3163" s="23" t="s">
        <v>19</v>
      </c>
      <c r="E3163" s="23" t="s">
        <v>365</v>
      </c>
      <c r="F3163" s="23" t="str">
        <f>"2170724027 "</f>
        <v xml:space="preserve">2170724027 </v>
      </c>
      <c r="G3163" s="23" t="str">
        <f t="shared" si="92"/>
        <v>ON1</v>
      </c>
      <c r="H3163" s="23" t="s">
        <v>21</v>
      </c>
      <c r="I3163" s="23" t="s">
        <v>366</v>
      </c>
      <c r="J3163" s="23" t="str">
        <f>""</f>
        <v/>
      </c>
      <c r="K3163" s="23" t="str">
        <f>"PFES1162733726_0001"</f>
        <v>PFES1162733726_0001</v>
      </c>
      <c r="L3163" s="23">
        <v>1</v>
      </c>
      <c r="M3163" s="23">
        <v>9</v>
      </c>
    </row>
    <row r="3164" spans="1:13">
      <c r="A3164" s="6">
        <v>43860</v>
      </c>
      <c r="B3164" s="7">
        <v>0.58680555555555558</v>
      </c>
      <c r="C3164" s="23" t="str">
        <f>"FES1162733830"</f>
        <v>FES1162733830</v>
      </c>
      <c r="D3164" s="23" t="s">
        <v>19</v>
      </c>
      <c r="E3164" s="23" t="s">
        <v>134</v>
      </c>
      <c r="F3164" s="23" t="str">
        <f>"2170726337 "</f>
        <v xml:space="preserve">2170726337 </v>
      </c>
      <c r="G3164" s="23" t="str">
        <f t="shared" si="92"/>
        <v>ON1</v>
      </c>
      <c r="H3164" s="23" t="s">
        <v>21</v>
      </c>
      <c r="I3164" s="23" t="s">
        <v>135</v>
      </c>
      <c r="J3164" s="23" t="str">
        <f>""</f>
        <v/>
      </c>
      <c r="K3164" s="23" t="str">
        <f>"PFES1162733830_0001"</f>
        <v>PFES1162733830_0001</v>
      </c>
      <c r="L3164" s="23">
        <v>1</v>
      </c>
      <c r="M3164" s="23">
        <v>1</v>
      </c>
    </row>
    <row r="3165" spans="1:13">
      <c r="A3165" s="6">
        <v>43860</v>
      </c>
      <c r="B3165" s="7">
        <v>0.58611111111111114</v>
      </c>
      <c r="C3165" s="23" t="str">
        <f>"FES1162733709"</f>
        <v>FES1162733709</v>
      </c>
      <c r="D3165" s="23" t="s">
        <v>19</v>
      </c>
      <c r="E3165" s="23" t="s">
        <v>23</v>
      </c>
      <c r="F3165" s="23" t="str">
        <f>"2170726226 "</f>
        <v xml:space="preserve">2170726226 </v>
      </c>
      <c r="G3165" s="23" t="str">
        <f t="shared" si="92"/>
        <v>ON1</v>
      </c>
      <c r="H3165" s="23" t="s">
        <v>21</v>
      </c>
      <c r="I3165" s="23" t="s">
        <v>24</v>
      </c>
      <c r="J3165" s="23" t="str">
        <f>""</f>
        <v/>
      </c>
      <c r="K3165" s="23" t="str">
        <f>"PFES1162733709_0001"</f>
        <v>PFES1162733709_0001</v>
      </c>
      <c r="L3165" s="23">
        <v>1</v>
      </c>
      <c r="M3165" s="23">
        <v>2</v>
      </c>
    </row>
    <row r="3166" spans="1:13">
      <c r="A3166" s="6">
        <v>43860</v>
      </c>
      <c r="B3166" s="7">
        <v>0.58611111111111114</v>
      </c>
      <c r="C3166" s="23" t="str">
        <f>"FES1162733758"</f>
        <v>FES1162733758</v>
      </c>
      <c r="D3166" s="23" t="s">
        <v>19</v>
      </c>
      <c r="E3166" s="23" t="s">
        <v>359</v>
      </c>
      <c r="F3166" s="23" t="str">
        <f>"2170725584 "</f>
        <v xml:space="preserve">2170725584 </v>
      </c>
      <c r="G3166" s="23" t="str">
        <f t="shared" si="92"/>
        <v>ON1</v>
      </c>
      <c r="H3166" s="23" t="s">
        <v>21</v>
      </c>
      <c r="I3166" s="23" t="s">
        <v>165</v>
      </c>
      <c r="J3166" s="23" t="str">
        <f>""</f>
        <v/>
      </c>
      <c r="K3166" s="23" t="str">
        <f>"PFES1162733758_0001"</f>
        <v>PFES1162733758_0001</v>
      </c>
      <c r="L3166" s="23">
        <v>1</v>
      </c>
      <c r="M3166" s="23">
        <v>4</v>
      </c>
    </row>
    <row r="3167" spans="1:13">
      <c r="A3167" s="6">
        <v>43860</v>
      </c>
      <c r="B3167" s="7">
        <v>0.58611111111111114</v>
      </c>
      <c r="C3167" s="23" t="str">
        <f>"FES1162733720"</f>
        <v>FES1162733720</v>
      </c>
      <c r="D3167" s="23" t="s">
        <v>19</v>
      </c>
      <c r="E3167" s="23" t="s">
        <v>168</v>
      </c>
      <c r="F3167" s="23" t="str">
        <f>"2170726252 "</f>
        <v xml:space="preserve">2170726252 </v>
      </c>
      <c r="G3167" s="23" t="str">
        <f t="shared" si="92"/>
        <v>ON1</v>
      </c>
      <c r="H3167" s="23" t="s">
        <v>21</v>
      </c>
      <c r="I3167" s="23" t="s">
        <v>169</v>
      </c>
      <c r="J3167" s="23" t="str">
        <f>""</f>
        <v/>
      </c>
      <c r="K3167" s="23" t="str">
        <f>"PFES1162733720_0001"</f>
        <v>PFES1162733720_0001</v>
      </c>
      <c r="L3167" s="23">
        <v>1</v>
      </c>
      <c r="M3167" s="23">
        <v>2</v>
      </c>
    </row>
    <row r="3168" spans="1:13">
      <c r="A3168" s="6">
        <v>43860</v>
      </c>
      <c r="B3168" s="7">
        <v>0.5854166666666667</v>
      </c>
      <c r="C3168" s="23" t="str">
        <f>"FES1162733813"</f>
        <v>FES1162733813</v>
      </c>
      <c r="D3168" s="23" t="s">
        <v>19</v>
      </c>
      <c r="E3168" s="23" t="s">
        <v>132</v>
      </c>
      <c r="F3168" s="23" t="str">
        <f>"2170726317 "</f>
        <v xml:space="preserve">2170726317 </v>
      </c>
      <c r="G3168" s="23" t="str">
        <f t="shared" si="92"/>
        <v>ON1</v>
      </c>
      <c r="H3168" s="23" t="s">
        <v>21</v>
      </c>
      <c r="I3168" s="23" t="s">
        <v>133</v>
      </c>
      <c r="J3168" s="23" t="str">
        <f>""</f>
        <v/>
      </c>
      <c r="K3168" s="23" t="str">
        <f>"PFES1162733813_0001"</f>
        <v>PFES1162733813_0001</v>
      </c>
      <c r="L3168" s="23">
        <v>1</v>
      </c>
      <c r="M3168" s="23">
        <v>2</v>
      </c>
    </row>
    <row r="3169" spans="1:13">
      <c r="A3169" s="6">
        <v>43860</v>
      </c>
      <c r="B3169" s="7">
        <v>0.5854166666666667</v>
      </c>
      <c r="C3169" s="23" t="str">
        <f>"FES1162733791"</f>
        <v>FES1162733791</v>
      </c>
      <c r="D3169" s="23" t="s">
        <v>19</v>
      </c>
      <c r="E3169" s="23" t="s">
        <v>86</v>
      </c>
      <c r="F3169" s="23" t="str">
        <f>"2170726294 "</f>
        <v xml:space="preserve">2170726294 </v>
      </c>
      <c r="G3169" s="23" t="str">
        <f t="shared" si="92"/>
        <v>ON1</v>
      </c>
      <c r="H3169" s="23" t="s">
        <v>21</v>
      </c>
      <c r="I3169" s="23" t="s">
        <v>63</v>
      </c>
      <c r="J3169" s="23" t="str">
        <f>""</f>
        <v/>
      </c>
      <c r="K3169" s="23" t="str">
        <f>"PFES1162733791_0001"</f>
        <v>PFES1162733791_0001</v>
      </c>
      <c r="L3169" s="23">
        <v>1</v>
      </c>
      <c r="M3169" s="23">
        <v>3</v>
      </c>
    </row>
    <row r="3170" spans="1:13">
      <c r="A3170" s="6">
        <v>43860</v>
      </c>
      <c r="B3170" s="7">
        <v>0.58472222222222225</v>
      </c>
      <c r="C3170" s="23" t="str">
        <f>"FES1162733744"</f>
        <v>FES1162733744</v>
      </c>
      <c r="D3170" s="23" t="s">
        <v>19</v>
      </c>
      <c r="E3170" s="23" t="s">
        <v>33</v>
      </c>
      <c r="F3170" s="23" t="str">
        <f>"2170724239 "</f>
        <v xml:space="preserve">2170724239 </v>
      </c>
      <c r="G3170" s="23" t="str">
        <f t="shared" si="92"/>
        <v>ON1</v>
      </c>
      <c r="H3170" s="23" t="s">
        <v>21</v>
      </c>
      <c r="I3170" s="23" t="s">
        <v>34</v>
      </c>
      <c r="J3170" s="23" t="str">
        <f>""</f>
        <v/>
      </c>
      <c r="K3170" s="23" t="str">
        <f>"PFES1162733744_0001"</f>
        <v>PFES1162733744_0001</v>
      </c>
      <c r="L3170" s="23">
        <v>1</v>
      </c>
      <c r="M3170" s="23">
        <v>10</v>
      </c>
    </row>
    <row r="3171" spans="1:13">
      <c r="A3171" s="6">
        <v>43860</v>
      </c>
      <c r="B3171" s="7">
        <v>0.58472222222222225</v>
      </c>
      <c r="C3171" s="23" t="str">
        <f>"FES1162733741"</f>
        <v>FES1162733741</v>
      </c>
      <c r="D3171" s="23" t="s">
        <v>19</v>
      </c>
      <c r="E3171" s="23" t="s">
        <v>33</v>
      </c>
      <c r="F3171" s="23" t="str">
        <f>"2170724217 "</f>
        <v xml:space="preserve">2170724217 </v>
      </c>
      <c r="G3171" s="23" t="str">
        <f t="shared" si="92"/>
        <v>ON1</v>
      </c>
      <c r="H3171" s="23" t="s">
        <v>21</v>
      </c>
      <c r="I3171" s="23" t="s">
        <v>34</v>
      </c>
      <c r="J3171" s="23" t="str">
        <f>""</f>
        <v/>
      </c>
      <c r="K3171" s="23" t="str">
        <f>"PFES1162733741_0001"</f>
        <v>PFES1162733741_0001</v>
      </c>
      <c r="L3171" s="23">
        <v>1</v>
      </c>
      <c r="M3171" s="23">
        <v>3</v>
      </c>
    </row>
    <row r="3172" spans="1:13">
      <c r="A3172" s="6">
        <v>43860</v>
      </c>
      <c r="B3172" s="7">
        <v>0.58402777777777781</v>
      </c>
      <c r="C3172" s="23" t="str">
        <f>"FES1162733682"</f>
        <v>FES1162733682</v>
      </c>
      <c r="D3172" s="23" t="s">
        <v>19</v>
      </c>
      <c r="E3172" s="23" t="s">
        <v>87</v>
      </c>
      <c r="F3172" s="23" t="str">
        <f>"21707242376 "</f>
        <v xml:space="preserve">21707242376 </v>
      </c>
      <c r="G3172" s="23" t="str">
        <f t="shared" si="92"/>
        <v>ON1</v>
      </c>
      <c r="H3172" s="23" t="s">
        <v>21</v>
      </c>
      <c r="I3172" s="23" t="s">
        <v>88</v>
      </c>
      <c r="J3172" s="23" t="str">
        <f>""</f>
        <v/>
      </c>
      <c r="K3172" s="23" t="str">
        <f>"PFES1162733682_0001"</f>
        <v>PFES1162733682_0001</v>
      </c>
      <c r="L3172" s="23">
        <v>2</v>
      </c>
      <c r="M3172" s="23">
        <v>22</v>
      </c>
    </row>
    <row r="3173" spans="1:13">
      <c r="A3173" s="6">
        <v>43860</v>
      </c>
      <c r="B3173" s="7">
        <v>0.58402777777777781</v>
      </c>
      <c r="C3173" s="23" t="str">
        <f>"FES1162733682"</f>
        <v>FES1162733682</v>
      </c>
      <c r="D3173" s="23" t="s">
        <v>19</v>
      </c>
      <c r="E3173" s="23" t="s">
        <v>87</v>
      </c>
      <c r="F3173" s="23" t="str">
        <f>"21707242376 "</f>
        <v xml:space="preserve">21707242376 </v>
      </c>
      <c r="G3173" s="23" t="str">
        <f t="shared" si="92"/>
        <v>ON1</v>
      </c>
      <c r="H3173" s="23" t="s">
        <v>21</v>
      </c>
      <c r="I3173" s="23" t="s">
        <v>88</v>
      </c>
      <c r="J3173" s="23"/>
      <c r="K3173" s="23" t="str">
        <f>"PFES1162733682_0002"</f>
        <v>PFES1162733682_0002</v>
      </c>
      <c r="L3173" s="23">
        <v>2</v>
      </c>
      <c r="M3173" s="23">
        <v>22</v>
      </c>
    </row>
    <row r="3174" spans="1:13">
      <c r="A3174" s="6">
        <v>43860</v>
      </c>
      <c r="B3174" s="7">
        <v>0.58333333333333337</v>
      </c>
      <c r="C3174" s="23" t="str">
        <f>"FES1162733714"</f>
        <v>FES1162733714</v>
      </c>
      <c r="D3174" s="23" t="s">
        <v>19</v>
      </c>
      <c r="E3174" s="23" t="s">
        <v>250</v>
      </c>
      <c r="F3174" s="23" t="str">
        <f>"2170725694 "</f>
        <v xml:space="preserve">2170725694 </v>
      </c>
      <c r="G3174" s="23" t="str">
        <f>"ON1"</f>
        <v>ON1</v>
      </c>
      <c r="H3174" s="23" t="s">
        <v>21</v>
      </c>
      <c r="I3174" s="23" t="s">
        <v>88</v>
      </c>
      <c r="J3174" s="23" t="str">
        <f>""</f>
        <v/>
      </c>
      <c r="K3174" s="23" t="str">
        <f>"PFES1162733714_0001"</f>
        <v>PFES1162733714_0001</v>
      </c>
      <c r="L3174" s="23">
        <v>2</v>
      </c>
      <c r="M3174" s="23">
        <v>16</v>
      </c>
    </row>
    <row r="3175" spans="1:13">
      <c r="A3175" s="6">
        <v>43860</v>
      </c>
      <c r="B3175" s="7">
        <v>0.58333333333333337</v>
      </c>
      <c r="C3175" s="23" t="str">
        <f>"FES1162733714"</f>
        <v>FES1162733714</v>
      </c>
      <c r="D3175" s="23" t="s">
        <v>19</v>
      </c>
      <c r="E3175" s="23" t="s">
        <v>250</v>
      </c>
      <c r="F3175" s="23" t="str">
        <f>"2170725694 "</f>
        <v xml:space="preserve">2170725694 </v>
      </c>
      <c r="G3175" s="23" t="str">
        <f>"ON1"</f>
        <v>ON1</v>
      </c>
      <c r="H3175" s="23" t="s">
        <v>21</v>
      </c>
      <c r="I3175" s="23" t="s">
        <v>88</v>
      </c>
      <c r="J3175" s="23"/>
      <c r="K3175" s="23" t="str">
        <f>"PFES1162733714_0002"</f>
        <v>PFES1162733714_0002</v>
      </c>
      <c r="L3175" s="23">
        <v>2</v>
      </c>
      <c r="M3175" s="23">
        <v>16</v>
      </c>
    </row>
    <row r="3176" spans="1:13">
      <c r="A3176" s="6">
        <v>43860</v>
      </c>
      <c r="B3176" s="7">
        <v>0.58333333333333337</v>
      </c>
      <c r="C3176" s="23" t="str">
        <f>"FES1162733678"</f>
        <v>FES1162733678</v>
      </c>
      <c r="D3176" s="23" t="s">
        <v>19</v>
      </c>
      <c r="E3176" s="23" t="s">
        <v>240</v>
      </c>
      <c r="F3176" s="23" t="str">
        <f>"2170724322 "</f>
        <v xml:space="preserve">2170724322 </v>
      </c>
      <c r="G3176" s="23" t="str">
        <f t="shared" ref="G3176:G3239" si="93">"ON1"</f>
        <v>ON1</v>
      </c>
      <c r="H3176" s="23" t="s">
        <v>21</v>
      </c>
      <c r="I3176" s="23" t="s">
        <v>241</v>
      </c>
      <c r="J3176" s="23" t="str">
        <f>""</f>
        <v/>
      </c>
      <c r="K3176" s="23" t="str">
        <f>"PFES1162733678_0001"</f>
        <v>PFES1162733678_0001</v>
      </c>
      <c r="L3176" s="23">
        <v>1</v>
      </c>
      <c r="M3176" s="23">
        <v>4</v>
      </c>
    </row>
    <row r="3177" spans="1:13">
      <c r="A3177" s="6">
        <v>43860</v>
      </c>
      <c r="B3177" s="7">
        <v>0.58263888888888882</v>
      </c>
      <c r="C3177" s="23" t="str">
        <f>"FES1162733650"</f>
        <v>FES1162733650</v>
      </c>
      <c r="D3177" s="23" t="s">
        <v>19</v>
      </c>
      <c r="E3177" s="23" t="s">
        <v>760</v>
      </c>
      <c r="F3177" s="23" t="str">
        <f>"2170723689 "</f>
        <v xml:space="preserve">2170723689 </v>
      </c>
      <c r="G3177" s="23" t="str">
        <f t="shared" si="93"/>
        <v>ON1</v>
      </c>
      <c r="H3177" s="23" t="s">
        <v>21</v>
      </c>
      <c r="I3177" s="23" t="s">
        <v>165</v>
      </c>
      <c r="J3177" s="23" t="str">
        <f>""</f>
        <v/>
      </c>
      <c r="K3177" s="23" t="str">
        <f>"PFES1162733650_0001"</f>
        <v>PFES1162733650_0001</v>
      </c>
      <c r="L3177" s="23">
        <v>1</v>
      </c>
      <c r="M3177" s="23">
        <v>1</v>
      </c>
    </row>
    <row r="3178" spans="1:13">
      <c r="A3178" s="6">
        <v>43860</v>
      </c>
      <c r="B3178" s="7">
        <v>0.58194444444444449</v>
      </c>
      <c r="C3178" s="23" t="str">
        <f>"FES1162733841"</f>
        <v>FES1162733841</v>
      </c>
      <c r="D3178" s="23" t="s">
        <v>19</v>
      </c>
      <c r="E3178" s="23" t="s">
        <v>134</v>
      </c>
      <c r="F3178" s="23" t="str">
        <f>"2170726351 "</f>
        <v xml:space="preserve">2170726351 </v>
      </c>
      <c r="G3178" s="23" t="str">
        <f t="shared" si="93"/>
        <v>ON1</v>
      </c>
      <c r="H3178" s="23" t="s">
        <v>21</v>
      </c>
      <c r="I3178" s="23" t="s">
        <v>135</v>
      </c>
      <c r="J3178" s="23" t="str">
        <f>""</f>
        <v/>
      </c>
      <c r="K3178" s="23" t="str">
        <f>"PFES1162733841_0001"</f>
        <v>PFES1162733841_0001</v>
      </c>
      <c r="L3178" s="23">
        <v>1</v>
      </c>
      <c r="M3178" s="23">
        <v>1</v>
      </c>
    </row>
    <row r="3179" spans="1:13">
      <c r="A3179" s="6">
        <v>43860</v>
      </c>
      <c r="B3179" s="7">
        <v>0.58124999999999993</v>
      </c>
      <c r="C3179" s="23" t="str">
        <f>"FES1162733751"</f>
        <v>FES1162733751</v>
      </c>
      <c r="D3179" s="23" t="s">
        <v>19</v>
      </c>
      <c r="E3179" s="23" t="s">
        <v>30</v>
      </c>
      <c r="F3179" s="23" t="str">
        <f>"2170724368 "</f>
        <v xml:space="preserve">2170724368 </v>
      </c>
      <c r="G3179" s="23" t="str">
        <f t="shared" si="93"/>
        <v>ON1</v>
      </c>
      <c r="H3179" s="23" t="s">
        <v>21</v>
      </c>
      <c r="I3179" s="23" t="s">
        <v>31</v>
      </c>
      <c r="J3179" s="23" t="str">
        <f>""</f>
        <v/>
      </c>
      <c r="K3179" s="23" t="str">
        <f>"PFES1162733751_0001"</f>
        <v>PFES1162733751_0001</v>
      </c>
      <c r="L3179" s="23">
        <v>1</v>
      </c>
      <c r="M3179" s="23">
        <v>1</v>
      </c>
    </row>
    <row r="3180" spans="1:13">
      <c r="A3180" s="6">
        <v>43860</v>
      </c>
      <c r="B3180" s="7">
        <v>0.58124999999999993</v>
      </c>
      <c r="C3180" s="23" t="str">
        <f>"FES1162733681"</f>
        <v>FES1162733681</v>
      </c>
      <c r="D3180" s="23" t="s">
        <v>19</v>
      </c>
      <c r="E3180" s="23" t="s">
        <v>30</v>
      </c>
      <c r="F3180" s="23" t="str">
        <f>"2170724368 "</f>
        <v xml:space="preserve">2170724368 </v>
      </c>
      <c r="G3180" s="23" t="str">
        <f t="shared" si="93"/>
        <v>ON1</v>
      </c>
      <c r="H3180" s="23" t="s">
        <v>21</v>
      </c>
      <c r="I3180" s="23" t="s">
        <v>31</v>
      </c>
      <c r="J3180" s="23" t="str">
        <f>""</f>
        <v/>
      </c>
      <c r="K3180" s="23" t="str">
        <f>"PFES1162733681_0001"</f>
        <v>PFES1162733681_0001</v>
      </c>
      <c r="L3180" s="23">
        <v>1</v>
      </c>
      <c r="M3180" s="23">
        <v>1</v>
      </c>
    </row>
    <row r="3181" spans="1:13">
      <c r="A3181" s="6">
        <v>43860</v>
      </c>
      <c r="B3181" s="7">
        <v>0.5805555555555556</v>
      </c>
      <c r="C3181" s="23" t="str">
        <f>"FES1162733691"</f>
        <v>FES1162733691</v>
      </c>
      <c r="D3181" s="23" t="s">
        <v>19</v>
      </c>
      <c r="E3181" s="23" t="s">
        <v>1011</v>
      </c>
      <c r="F3181" s="23" t="str">
        <f>"2170725007 "</f>
        <v xml:space="preserve">2170725007 </v>
      </c>
      <c r="G3181" s="23" t="str">
        <f t="shared" si="93"/>
        <v>ON1</v>
      </c>
      <c r="H3181" s="23" t="s">
        <v>21</v>
      </c>
      <c r="I3181" s="23" t="s">
        <v>1082</v>
      </c>
      <c r="J3181" s="23" t="str">
        <f>""</f>
        <v/>
      </c>
      <c r="K3181" s="23" t="str">
        <f>"PFES1162733691_0001"</f>
        <v>PFES1162733691_0001</v>
      </c>
      <c r="L3181" s="23">
        <v>1</v>
      </c>
      <c r="M3181" s="23">
        <v>1</v>
      </c>
    </row>
    <row r="3182" spans="1:13">
      <c r="A3182" s="6">
        <v>43860</v>
      </c>
      <c r="B3182" s="7">
        <v>0.5805555555555556</v>
      </c>
      <c r="C3182" s="23" t="str">
        <f>"FES1162733722"</f>
        <v>FES1162733722</v>
      </c>
      <c r="D3182" s="23" t="s">
        <v>19</v>
      </c>
      <c r="E3182" s="23" t="s">
        <v>465</v>
      </c>
      <c r="F3182" s="23" t="str">
        <f>"2170723922 "</f>
        <v xml:space="preserve">2170723922 </v>
      </c>
      <c r="G3182" s="23" t="str">
        <f t="shared" si="93"/>
        <v>ON1</v>
      </c>
      <c r="H3182" s="23" t="s">
        <v>21</v>
      </c>
      <c r="I3182" s="23" t="s">
        <v>466</v>
      </c>
      <c r="J3182" s="23" t="str">
        <f>""</f>
        <v/>
      </c>
      <c r="K3182" s="23" t="str">
        <f>"PFES1162733722_0001"</f>
        <v>PFES1162733722_0001</v>
      </c>
      <c r="L3182" s="23">
        <v>1</v>
      </c>
      <c r="M3182" s="23">
        <v>1</v>
      </c>
    </row>
    <row r="3183" spans="1:13">
      <c r="A3183" s="6">
        <v>43860</v>
      </c>
      <c r="B3183" s="7">
        <v>0.5805555555555556</v>
      </c>
      <c r="C3183" s="23" t="str">
        <f>"FES1162733811"</f>
        <v>FES1162733811</v>
      </c>
      <c r="D3183" s="23" t="s">
        <v>19</v>
      </c>
      <c r="E3183" s="23" t="s">
        <v>120</v>
      </c>
      <c r="F3183" s="23" t="str">
        <f>"2170726315 "</f>
        <v xml:space="preserve">2170726315 </v>
      </c>
      <c r="G3183" s="23" t="str">
        <f t="shared" si="93"/>
        <v>ON1</v>
      </c>
      <c r="H3183" s="23" t="s">
        <v>21</v>
      </c>
      <c r="I3183" s="23" t="s">
        <v>121</v>
      </c>
      <c r="J3183" s="23" t="str">
        <f>""</f>
        <v/>
      </c>
      <c r="K3183" s="23" t="str">
        <f>"PFES1162733811_0001"</f>
        <v>PFES1162733811_0001</v>
      </c>
      <c r="L3183" s="23">
        <v>1</v>
      </c>
      <c r="M3183" s="23">
        <v>1</v>
      </c>
    </row>
    <row r="3184" spans="1:13">
      <c r="A3184" s="6">
        <v>43860</v>
      </c>
      <c r="B3184" s="7">
        <v>0.57986111111111105</v>
      </c>
      <c r="C3184" s="23" t="str">
        <f>"FES1162733719"</f>
        <v>FES1162733719</v>
      </c>
      <c r="D3184" s="23" t="s">
        <v>19</v>
      </c>
      <c r="E3184" s="23" t="s">
        <v>118</v>
      </c>
      <c r="F3184" s="23" t="str">
        <f>"2170726250 "</f>
        <v xml:space="preserve">2170726250 </v>
      </c>
      <c r="G3184" s="23" t="str">
        <f t="shared" si="93"/>
        <v>ON1</v>
      </c>
      <c r="H3184" s="23" t="s">
        <v>21</v>
      </c>
      <c r="I3184" s="23" t="s">
        <v>119</v>
      </c>
      <c r="J3184" s="23" t="str">
        <f>""</f>
        <v/>
      </c>
      <c r="K3184" s="23" t="str">
        <f>"PFES1162733719_0001"</f>
        <v>PFES1162733719_0001</v>
      </c>
      <c r="L3184" s="23">
        <v>1</v>
      </c>
      <c r="M3184" s="23">
        <v>1</v>
      </c>
    </row>
    <row r="3185" spans="1:13">
      <c r="A3185" s="6">
        <v>43860</v>
      </c>
      <c r="B3185" s="7">
        <v>0.57986111111111105</v>
      </c>
      <c r="C3185" s="23" t="str">
        <f>"FES1162733762"</f>
        <v>FES1162733762</v>
      </c>
      <c r="D3185" s="23" t="s">
        <v>19</v>
      </c>
      <c r="E3185" s="23" t="s">
        <v>465</v>
      </c>
      <c r="F3185" s="23" t="str">
        <f>"2170726253 "</f>
        <v xml:space="preserve">2170726253 </v>
      </c>
      <c r="G3185" s="23" t="str">
        <f t="shared" si="93"/>
        <v>ON1</v>
      </c>
      <c r="H3185" s="23" t="s">
        <v>21</v>
      </c>
      <c r="I3185" s="23" t="s">
        <v>466</v>
      </c>
      <c r="J3185" s="23" t="str">
        <f>""</f>
        <v/>
      </c>
      <c r="K3185" s="23" t="str">
        <f>"PFES1162733762_0001"</f>
        <v>PFES1162733762_0001</v>
      </c>
      <c r="L3185" s="23">
        <v>1</v>
      </c>
      <c r="M3185" s="23">
        <v>1</v>
      </c>
    </row>
    <row r="3186" spans="1:13">
      <c r="A3186" s="6">
        <v>43860</v>
      </c>
      <c r="B3186" s="7">
        <v>0.57986111111111105</v>
      </c>
      <c r="C3186" s="23" t="str">
        <f>"FES1162733674"</f>
        <v>FES1162733674</v>
      </c>
      <c r="D3186" s="23" t="s">
        <v>19</v>
      </c>
      <c r="E3186" s="23" t="s">
        <v>222</v>
      </c>
      <c r="F3186" s="23" t="str">
        <f>"2170724215 "</f>
        <v xml:space="preserve">2170724215 </v>
      </c>
      <c r="G3186" s="23" t="str">
        <f t="shared" si="93"/>
        <v>ON1</v>
      </c>
      <c r="H3186" s="23" t="s">
        <v>21</v>
      </c>
      <c r="I3186" s="23" t="s">
        <v>28</v>
      </c>
      <c r="J3186" s="23" t="str">
        <f>""</f>
        <v/>
      </c>
      <c r="K3186" s="23" t="str">
        <f>"PFES1162733674_0001"</f>
        <v>PFES1162733674_0001</v>
      </c>
      <c r="L3186" s="23">
        <v>1</v>
      </c>
      <c r="M3186" s="23">
        <v>1</v>
      </c>
    </row>
    <row r="3187" spans="1:13">
      <c r="A3187" s="6">
        <v>43860</v>
      </c>
      <c r="B3187" s="7">
        <v>0.57986111111111105</v>
      </c>
      <c r="C3187" s="23" t="str">
        <f>"FES1162733642"</f>
        <v>FES1162733642</v>
      </c>
      <c r="D3187" s="23" t="s">
        <v>19</v>
      </c>
      <c r="E3187" s="23" t="s">
        <v>30</v>
      </c>
      <c r="F3187" s="23" t="str">
        <f>"2170721082 "</f>
        <v xml:space="preserve">2170721082 </v>
      </c>
      <c r="G3187" s="23" t="str">
        <f t="shared" si="93"/>
        <v>ON1</v>
      </c>
      <c r="H3187" s="23" t="s">
        <v>21</v>
      </c>
      <c r="I3187" s="23" t="s">
        <v>31</v>
      </c>
      <c r="J3187" s="23" t="str">
        <f>""</f>
        <v/>
      </c>
      <c r="K3187" s="23" t="str">
        <f>"PFES1162733642_0001"</f>
        <v>PFES1162733642_0001</v>
      </c>
      <c r="L3187" s="23">
        <v>1</v>
      </c>
      <c r="M3187" s="23">
        <v>1</v>
      </c>
    </row>
    <row r="3188" spans="1:13">
      <c r="A3188" s="6">
        <v>43860</v>
      </c>
      <c r="B3188" s="7">
        <v>0.57916666666666672</v>
      </c>
      <c r="C3188" s="23" t="str">
        <f>"FES1162733647"</f>
        <v>FES1162733647</v>
      </c>
      <c r="D3188" s="23" t="s">
        <v>19</v>
      </c>
      <c r="E3188" s="23" t="s">
        <v>258</v>
      </c>
      <c r="F3188" s="23" t="str">
        <f>"2170723412 "</f>
        <v xml:space="preserve">2170723412 </v>
      </c>
      <c r="G3188" s="23" t="str">
        <f t="shared" si="93"/>
        <v>ON1</v>
      </c>
      <c r="H3188" s="23" t="s">
        <v>21</v>
      </c>
      <c r="I3188" s="23" t="s">
        <v>45</v>
      </c>
      <c r="J3188" s="23" t="str">
        <f>""</f>
        <v/>
      </c>
      <c r="K3188" s="23" t="str">
        <f>"PFES1162733647_0001"</f>
        <v>PFES1162733647_0001</v>
      </c>
      <c r="L3188" s="23">
        <v>1</v>
      </c>
      <c r="M3188" s="23">
        <v>1</v>
      </c>
    </row>
    <row r="3189" spans="1:13">
      <c r="A3189" s="6">
        <v>43860</v>
      </c>
      <c r="B3189" s="7">
        <v>0.57013888888888886</v>
      </c>
      <c r="C3189" s="23" t="str">
        <f>"FES1162733810"</f>
        <v>FES1162733810</v>
      </c>
      <c r="D3189" s="23" t="s">
        <v>19</v>
      </c>
      <c r="E3189" s="23" t="s">
        <v>664</v>
      </c>
      <c r="F3189" s="23" t="str">
        <f>"2170726314 "</f>
        <v xml:space="preserve">2170726314 </v>
      </c>
      <c r="G3189" s="23" t="str">
        <f t="shared" si="93"/>
        <v>ON1</v>
      </c>
      <c r="H3189" s="23" t="s">
        <v>21</v>
      </c>
      <c r="I3189" s="23" t="s">
        <v>137</v>
      </c>
      <c r="J3189" s="23" t="str">
        <f>""</f>
        <v/>
      </c>
      <c r="K3189" s="23" t="str">
        <f>"PFES1162733810_0001"</f>
        <v>PFES1162733810_0001</v>
      </c>
      <c r="L3189" s="23">
        <v>1</v>
      </c>
      <c r="M3189" s="23">
        <v>3</v>
      </c>
    </row>
    <row r="3190" spans="1:13">
      <c r="A3190" s="6">
        <v>43860</v>
      </c>
      <c r="B3190" s="7">
        <v>0.56944444444444442</v>
      </c>
      <c r="C3190" s="23" t="str">
        <f>"FES1162733803"</f>
        <v>FES1162733803</v>
      </c>
      <c r="D3190" s="23" t="s">
        <v>19</v>
      </c>
      <c r="E3190" s="23" t="s">
        <v>1083</v>
      </c>
      <c r="F3190" s="23" t="str">
        <f>"2170726304 "</f>
        <v xml:space="preserve">2170726304 </v>
      </c>
      <c r="G3190" s="23" t="str">
        <f t="shared" si="93"/>
        <v>ON1</v>
      </c>
      <c r="H3190" s="23" t="s">
        <v>21</v>
      </c>
      <c r="I3190" s="23" t="s">
        <v>183</v>
      </c>
      <c r="J3190" s="23" t="str">
        <f>""</f>
        <v/>
      </c>
      <c r="K3190" s="23" t="str">
        <f>"PFES1162733803_0001"</f>
        <v>PFES1162733803_0001</v>
      </c>
      <c r="L3190" s="23">
        <v>1</v>
      </c>
      <c r="M3190" s="23">
        <v>3</v>
      </c>
    </row>
    <row r="3191" spans="1:13">
      <c r="A3191" s="6">
        <v>43860</v>
      </c>
      <c r="B3191" s="7">
        <v>0.56944444444444442</v>
      </c>
      <c r="C3191" s="23" t="str">
        <f>"FES1162733668"</f>
        <v>FES1162733668</v>
      </c>
      <c r="D3191" s="23" t="s">
        <v>19</v>
      </c>
      <c r="E3191" s="23" t="s">
        <v>1084</v>
      </c>
      <c r="F3191" s="23" t="str">
        <f>"2170723996 "</f>
        <v xml:space="preserve">2170723996 </v>
      </c>
      <c r="G3191" s="23" t="str">
        <f t="shared" si="93"/>
        <v>ON1</v>
      </c>
      <c r="H3191" s="23" t="s">
        <v>21</v>
      </c>
      <c r="I3191" s="23" t="s">
        <v>96</v>
      </c>
      <c r="J3191" s="23" t="str">
        <f>""</f>
        <v/>
      </c>
      <c r="K3191" s="23" t="str">
        <f>"PFES1162733668_0001"</f>
        <v>PFES1162733668_0001</v>
      </c>
      <c r="L3191" s="23">
        <v>1</v>
      </c>
      <c r="M3191" s="23">
        <v>3</v>
      </c>
    </row>
    <row r="3192" spans="1:13">
      <c r="A3192" s="6">
        <v>43860</v>
      </c>
      <c r="B3192" s="7">
        <v>0.56874999999999998</v>
      </c>
      <c r="C3192" s="23" t="str">
        <f>"FES1162733645"</f>
        <v>FES1162733645</v>
      </c>
      <c r="D3192" s="23" t="s">
        <v>19</v>
      </c>
      <c r="E3192" s="23" t="s">
        <v>1085</v>
      </c>
      <c r="F3192" s="23" t="str">
        <f>"2170723207 "</f>
        <v xml:space="preserve">2170723207 </v>
      </c>
      <c r="G3192" s="23" t="str">
        <f t="shared" si="93"/>
        <v>ON1</v>
      </c>
      <c r="H3192" s="23" t="s">
        <v>21</v>
      </c>
      <c r="I3192" s="23" t="s">
        <v>247</v>
      </c>
      <c r="J3192" s="23" t="str">
        <f>""</f>
        <v/>
      </c>
      <c r="K3192" s="23" t="str">
        <f>"PFES1162733645_0001"</f>
        <v>PFES1162733645_0001</v>
      </c>
      <c r="L3192" s="23">
        <v>1</v>
      </c>
      <c r="M3192" s="23">
        <v>2</v>
      </c>
    </row>
    <row r="3193" spans="1:13">
      <c r="A3193" s="6">
        <v>43860</v>
      </c>
      <c r="B3193" s="7">
        <v>0.56874999999999998</v>
      </c>
      <c r="C3193" s="23" t="str">
        <f>"FES1162733712"</f>
        <v>FES1162733712</v>
      </c>
      <c r="D3193" s="23" t="s">
        <v>19</v>
      </c>
      <c r="E3193" s="23" t="s">
        <v>1086</v>
      </c>
      <c r="F3193" s="23" t="str">
        <f>"2170725972 "</f>
        <v xml:space="preserve">2170725972 </v>
      </c>
      <c r="G3193" s="23" t="str">
        <f t="shared" si="93"/>
        <v>ON1</v>
      </c>
      <c r="H3193" s="23" t="s">
        <v>21</v>
      </c>
      <c r="I3193" s="23" t="s">
        <v>1087</v>
      </c>
      <c r="J3193" s="23" t="str">
        <f>""</f>
        <v/>
      </c>
      <c r="K3193" s="23" t="str">
        <f>"PFES1162733712_0001"</f>
        <v>PFES1162733712_0001</v>
      </c>
      <c r="L3193" s="23">
        <v>1</v>
      </c>
      <c r="M3193" s="23">
        <v>6</v>
      </c>
    </row>
    <row r="3194" spans="1:13">
      <c r="A3194" s="6">
        <v>43860</v>
      </c>
      <c r="B3194" s="7">
        <v>0.56736111111111109</v>
      </c>
      <c r="C3194" s="23" t="str">
        <f>"FES1162733690"</f>
        <v>FES1162733690</v>
      </c>
      <c r="D3194" s="23" t="s">
        <v>19</v>
      </c>
      <c r="E3194" s="23" t="s">
        <v>1023</v>
      </c>
      <c r="F3194" s="23" t="str">
        <f>"2170724741 "</f>
        <v xml:space="preserve">2170724741 </v>
      </c>
      <c r="G3194" s="23" t="str">
        <f t="shared" si="93"/>
        <v>ON1</v>
      </c>
      <c r="H3194" s="23" t="s">
        <v>21</v>
      </c>
      <c r="I3194" s="23" t="s">
        <v>1024</v>
      </c>
      <c r="J3194" s="23" t="str">
        <f>""</f>
        <v/>
      </c>
      <c r="K3194" s="23" t="str">
        <f>"PFES1162733690_0001"</f>
        <v>PFES1162733690_0001</v>
      </c>
      <c r="L3194" s="23">
        <v>1</v>
      </c>
      <c r="M3194" s="23">
        <v>2</v>
      </c>
    </row>
    <row r="3195" spans="1:13">
      <c r="A3195" s="6">
        <v>43860</v>
      </c>
      <c r="B3195" s="7">
        <v>0.56736111111111109</v>
      </c>
      <c r="C3195" s="23" t="str">
        <f>"FES1162733657"</f>
        <v>FES1162733657</v>
      </c>
      <c r="D3195" s="23" t="s">
        <v>19</v>
      </c>
      <c r="E3195" s="23" t="s">
        <v>934</v>
      </c>
      <c r="F3195" s="23" t="str">
        <f>"2170723903 "</f>
        <v xml:space="preserve">2170723903 </v>
      </c>
      <c r="G3195" s="23" t="str">
        <f t="shared" si="93"/>
        <v>ON1</v>
      </c>
      <c r="H3195" s="23" t="s">
        <v>21</v>
      </c>
      <c r="I3195" s="23" t="s">
        <v>320</v>
      </c>
      <c r="J3195" s="23" t="str">
        <f>""</f>
        <v/>
      </c>
      <c r="K3195" s="23" t="str">
        <f>"PFES1162733657_0001"</f>
        <v>PFES1162733657_0001</v>
      </c>
      <c r="L3195" s="23">
        <v>1</v>
      </c>
      <c r="M3195" s="23">
        <v>2</v>
      </c>
    </row>
    <row r="3196" spans="1:13">
      <c r="A3196" s="6">
        <v>43860</v>
      </c>
      <c r="B3196" s="7">
        <v>0.56736111111111109</v>
      </c>
      <c r="C3196" s="23" t="str">
        <f>"FES1162733735"</f>
        <v>FES1162733735</v>
      </c>
      <c r="D3196" s="23" t="s">
        <v>19</v>
      </c>
      <c r="E3196" s="23" t="s">
        <v>245</v>
      </c>
      <c r="F3196" s="23" t="str">
        <f>"2170724115 "</f>
        <v xml:space="preserve">2170724115 </v>
      </c>
      <c r="G3196" s="23" t="str">
        <f t="shared" si="93"/>
        <v>ON1</v>
      </c>
      <c r="H3196" s="23" t="s">
        <v>21</v>
      </c>
      <c r="I3196" s="23" t="s">
        <v>96</v>
      </c>
      <c r="J3196" s="23" t="str">
        <f>""</f>
        <v/>
      </c>
      <c r="K3196" s="23" t="str">
        <f>"PFES1162733735_0001"</f>
        <v>PFES1162733735_0001</v>
      </c>
      <c r="L3196" s="23">
        <v>1</v>
      </c>
      <c r="M3196" s="23">
        <v>3</v>
      </c>
    </row>
    <row r="3197" spans="1:13">
      <c r="A3197" s="6">
        <v>43860</v>
      </c>
      <c r="B3197" s="7">
        <v>0.56666666666666665</v>
      </c>
      <c r="C3197" s="23" t="str">
        <f>"FES1162733742"</f>
        <v>FES1162733742</v>
      </c>
      <c r="D3197" s="23" t="s">
        <v>19</v>
      </c>
      <c r="E3197" s="23" t="s">
        <v>732</v>
      </c>
      <c r="F3197" s="23" t="str">
        <f>"2170724227 "</f>
        <v xml:space="preserve">2170724227 </v>
      </c>
      <c r="G3197" s="23" t="str">
        <f t="shared" si="93"/>
        <v>ON1</v>
      </c>
      <c r="H3197" s="23" t="s">
        <v>21</v>
      </c>
      <c r="I3197" s="23" t="s">
        <v>389</v>
      </c>
      <c r="J3197" s="23" t="str">
        <f>""</f>
        <v/>
      </c>
      <c r="K3197" s="23" t="str">
        <f>"PFES1162733742_0001"</f>
        <v>PFES1162733742_0001</v>
      </c>
      <c r="L3197" s="23">
        <v>1</v>
      </c>
      <c r="M3197" s="23">
        <v>7</v>
      </c>
    </row>
    <row r="3198" spans="1:13">
      <c r="A3198" s="6">
        <v>43860</v>
      </c>
      <c r="B3198" s="7">
        <v>0.56666666666666665</v>
      </c>
      <c r="C3198" s="23" t="str">
        <f>"FES1162733679"</f>
        <v>FES1162733679</v>
      </c>
      <c r="D3198" s="23" t="s">
        <v>19</v>
      </c>
      <c r="E3198" s="23" t="s">
        <v>387</v>
      </c>
      <c r="F3198" s="23" t="str">
        <f>"2170724342 "</f>
        <v xml:space="preserve">2170724342 </v>
      </c>
      <c r="G3198" s="23" t="str">
        <f t="shared" si="93"/>
        <v>ON1</v>
      </c>
      <c r="H3198" s="23" t="s">
        <v>21</v>
      </c>
      <c r="I3198" s="23" t="s">
        <v>202</v>
      </c>
      <c r="J3198" s="23" t="str">
        <f>""</f>
        <v/>
      </c>
      <c r="K3198" s="23" t="str">
        <f>"PFES1162733679_0001"</f>
        <v>PFES1162733679_0001</v>
      </c>
      <c r="L3198" s="23">
        <v>1</v>
      </c>
      <c r="M3198" s="23">
        <v>3</v>
      </c>
    </row>
    <row r="3199" spans="1:13">
      <c r="A3199" s="6">
        <v>43860</v>
      </c>
      <c r="B3199" s="7">
        <v>0.56597222222222221</v>
      </c>
      <c r="C3199" s="23" t="str">
        <f>"FES1162733789"</f>
        <v>FES1162733789</v>
      </c>
      <c r="D3199" s="23" t="s">
        <v>19</v>
      </c>
      <c r="E3199" s="23" t="s">
        <v>170</v>
      </c>
      <c r="F3199" s="23" t="str">
        <f>"2170726292 "</f>
        <v xml:space="preserve">2170726292 </v>
      </c>
      <c r="G3199" s="23" t="str">
        <f t="shared" si="93"/>
        <v>ON1</v>
      </c>
      <c r="H3199" s="23" t="s">
        <v>21</v>
      </c>
      <c r="I3199" s="23" t="s">
        <v>63</v>
      </c>
      <c r="J3199" s="23" t="str">
        <f>""</f>
        <v/>
      </c>
      <c r="K3199" s="23" t="str">
        <f>"PFES1162733789_0001"</f>
        <v>PFES1162733789_0001</v>
      </c>
      <c r="L3199" s="23">
        <v>1</v>
      </c>
      <c r="M3199" s="23">
        <v>1</v>
      </c>
    </row>
    <row r="3200" spans="1:13">
      <c r="A3200" s="6">
        <v>43860</v>
      </c>
      <c r="B3200" s="7">
        <v>0.56597222222222221</v>
      </c>
      <c r="C3200" s="23" t="str">
        <f>"FES1162733815"</f>
        <v>FES1162733815</v>
      </c>
      <c r="D3200" s="23" t="s">
        <v>19</v>
      </c>
      <c r="E3200" s="23" t="s">
        <v>120</v>
      </c>
      <c r="F3200" s="23" t="str">
        <f>"2170726323 "</f>
        <v xml:space="preserve">2170726323 </v>
      </c>
      <c r="G3200" s="23" t="str">
        <f t="shared" si="93"/>
        <v>ON1</v>
      </c>
      <c r="H3200" s="23" t="s">
        <v>21</v>
      </c>
      <c r="I3200" s="23" t="s">
        <v>121</v>
      </c>
      <c r="J3200" s="23" t="str">
        <f>""</f>
        <v/>
      </c>
      <c r="K3200" s="23" t="str">
        <f>"PFES1162733815_0001"</f>
        <v>PFES1162733815_0001</v>
      </c>
      <c r="L3200" s="23">
        <v>1</v>
      </c>
      <c r="M3200" s="23">
        <v>1</v>
      </c>
    </row>
    <row r="3201" spans="1:13">
      <c r="A3201" s="6">
        <v>43860</v>
      </c>
      <c r="B3201" s="7">
        <v>0.56527777777777777</v>
      </c>
      <c r="C3201" s="23" t="str">
        <f>"FES1162733820"</f>
        <v>FES1162733820</v>
      </c>
      <c r="D3201" s="23" t="s">
        <v>19</v>
      </c>
      <c r="E3201" s="23" t="s">
        <v>529</v>
      </c>
      <c r="F3201" s="23" t="str">
        <f>"2170726327 "</f>
        <v xml:space="preserve">2170726327 </v>
      </c>
      <c r="G3201" s="23" t="str">
        <f t="shared" si="93"/>
        <v>ON1</v>
      </c>
      <c r="H3201" s="23" t="s">
        <v>21</v>
      </c>
      <c r="I3201" s="23" t="s">
        <v>36</v>
      </c>
      <c r="J3201" s="23" t="str">
        <f>""</f>
        <v/>
      </c>
      <c r="K3201" s="23" t="str">
        <f>"PFES1162733820_0001"</f>
        <v>PFES1162733820_0001</v>
      </c>
      <c r="L3201" s="23">
        <v>1</v>
      </c>
      <c r="M3201" s="23">
        <v>1</v>
      </c>
    </row>
    <row r="3202" spans="1:13">
      <c r="A3202" s="6">
        <v>43860</v>
      </c>
      <c r="B3202" s="7">
        <v>0.56527777777777777</v>
      </c>
      <c r="C3202" s="23" t="str">
        <f>"FES1162733798"</f>
        <v>FES1162733798</v>
      </c>
      <c r="D3202" s="23" t="s">
        <v>19</v>
      </c>
      <c r="E3202" s="23" t="s">
        <v>958</v>
      </c>
      <c r="F3202" s="23" t="str">
        <f>"2170726291 "</f>
        <v xml:space="preserve">2170726291 </v>
      </c>
      <c r="G3202" s="23" t="str">
        <f t="shared" si="93"/>
        <v>ON1</v>
      </c>
      <c r="H3202" s="23" t="s">
        <v>21</v>
      </c>
      <c r="I3202" s="23" t="s">
        <v>47</v>
      </c>
      <c r="J3202" s="23" t="str">
        <f>""</f>
        <v/>
      </c>
      <c r="K3202" s="23" t="str">
        <f>"PFES1162733798_0001"</f>
        <v>PFES1162733798_0001</v>
      </c>
      <c r="L3202" s="23">
        <v>1</v>
      </c>
      <c r="M3202" s="23">
        <v>1</v>
      </c>
    </row>
    <row r="3203" spans="1:13">
      <c r="A3203" s="6">
        <v>43860</v>
      </c>
      <c r="B3203" s="7">
        <v>0.56527777777777777</v>
      </c>
      <c r="C3203" s="23" t="str">
        <f>"FES1162733814"</f>
        <v>FES1162733814</v>
      </c>
      <c r="D3203" s="23" t="s">
        <v>19</v>
      </c>
      <c r="E3203" s="23" t="s">
        <v>120</v>
      </c>
      <c r="F3203" s="23" t="str">
        <f>"2170726321 "</f>
        <v xml:space="preserve">2170726321 </v>
      </c>
      <c r="G3203" s="23" t="str">
        <f t="shared" si="93"/>
        <v>ON1</v>
      </c>
      <c r="H3203" s="23" t="s">
        <v>21</v>
      </c>
      <c r="I3203" s="23" t="s">
        <v>121</v>
      </c>
      <c r="J3203" s="23" t="str">
        <f>""</f>
        <v/>
      </c>
      <c r="K3203" s="23" t="str">
        <f>"PFES1162733814_0001"</f>
        <v>PFES1162733814_0001</v>
      </c>
      <c r="L3203" s="23">
        <v>1</v>
      </c>
      <c r="M3203" s="23">
        <v>1</v>
      </c>
    </row>
    <row r="3204" spans="1:13">
      <c r="A3204" s="6">
        <v>43860</v>
      </c>
      <c r="B3204" s="7">
        <v>0.56458333333333333</v>
      </c>
      <c r="C3204" s="23" t="str">
        <f>"FES1162733799"</f>
        <v>FES1162733799</v>
      </c>
      <c r="D3204" s="23" t="s">
        <v>19</v>
      </c>
      <c r="E3204" s="23" t="s">
        <v>378</v>
      </c>
      <c r="F3204" s="23" t="str">
        <f>"2170726300 "</f>
        <v xml:space="preserve">2170726300 </v>
      </c>
      <c r="G3204" s="23" t="str">
        <f t="shared" si="93"/>
        <v>ON1</v>
      </c>
      <c r="H3204" s="23" t="s">
        <v>21</v>
      </c>
      <c r="I3204" s="23" t="s">
        <v>507</v>
      </c>
      <c r="J3204" s="23" t="str">
        <f>""</f>
        <v/>
      </c>
      <c r="K3204" s="23" t="str">
        <f>"PFES1162733799_0001"</f>
        <v>PFES1162733799_0001</v>
      </c>
      <c r="L3204" s="23">
        <v>1</v>
      </c>
      <c r="M3204" s="23">
        <v>1</v>
      </c>
    </row>
    <row r="3205" spans="1:13">
      <c r="A3205" s="6">
        <v>43860</v>
      </c>
      <c r="B3205" s="7">
        <v>0.56458333333333333</v>
      </c>
      <c r="C3205" s="23" t="str">
        <f>"FES1162733759"</f>
        <v>FES1162733759</v>
      </c>
      <c r="D3205" s="23" t="s">
        <v>19</v>
      </c>
      <c r="E3205" s="23" t="s">
        <v>250</v>
      </c>
      <c r="F3205" s="23" t="str">
        <f>"2170725762 "</f>
        <v xml:space="preserve">2170725762 </v>
      </c>
      <c r="G3205" s="23" t="str">
        <f t="shared" si="93"/>
        <v>ON1</v>
      </c>
      <c r="H3205" s="23" t="s">
        <v>21</v>
      </c>
      <c r="I3205" s="23" t="s">
        <v>88</v>
      </c>
      <c r="J3205" s="23" t="str">
        <f>""</f>
        <v/>
      </c>
      <c r="K3205" s="23" t="str">
        <f>"PFES1162733759_0001"</f>
        <v>PFES1162733759_0001</v>
      </c>
      <c r="L3205" s="23">
        <v>1</v>
      </c>
      <c r="M3205" s="23">
        <v>1</v>
      </c>
    </row>
    <row r="3206" spans="1:13">
      <c r="A3206" s="6">
        <v>43860</v>
      </c>
      <c r="B3206" s="7">
        <v>0.56458333333333333</v>
      </c>
      <c r="C3206" s="23" t="str">
        <f>"FES1162733727"</f>
        <v>FES1162733727</v>
      </c>
      <c r="D3206" s="23" t="s">
        <v>19</v>
      </c>
      <c r="E3206" s="23" t="s">
        <v>744</v>
      </c>
      <c r="F3206" s="23" t="str">
        <f>"2170724061 "</f>
        <v xml:space="preserve">2170724061 </v>
      </c>
      <c r="G3206" s="23" t="str">
        <f t="shared" si="93"/>
        <v>ON1</v>
      </c>
      <c r="H3206" s="23" t="s">
        <v>21</v>
      </c>
      <c r="I3206" s="23" t="s">
        <v>323</v>
      </c>
      <c r="J3206" s="23" t="str">
        <f>""</f>
        <v/>
      </c>
      <c r="K3206" s="23" t="str">
        <f>"PFES1162733727_0001"</f>
        <v>PFES1162733727_0001</v>
      </c>
      <c r="L3206" s="23">
        <v>1</v>
      </c>
      <c r="M3206" s="23">
        <v>1</v>
      </c>
    </row>
    <row r="3207" spans="1:13">
      <c r="A3207" s="6">
        <v>43860</v>
      </c>
      <c r="B3207" s="7">
        <v>0.56388888888888888</v>
      </c>
      <c r="C3207" s="23" t="str">
        <f>"FES1162733706"</f>
        <v>FES1162733706</v>
      </c>
      <c r="D3207" s="23" t="s">
        <v>19</v>
      </c>
      <c r="E3207" s="23" t="s">
        <v>248</v>
      </c>
      <c r="F3207" s="23" t="str">
        <f>"2170726235 "</f>
        <v xml:space="preserve">2170726235 </v>
      </c>
      <c r="G3207" s="23" t="str">
        <f t="shared" si="93"/>
        <v>ON1</v>
      </c>
      <c r="H3207" s="23" t="s">
        <v>21</v>
      </c>
      <c r="I3207" s="23" t="s">
        <v>247</v>
      </c>
      <c r="J3207" s="23" t="str">
        <f>""</f>
        <v/>
      </c>
      <c r="K3207" s="23" t="str">
        <f>"PFES1162733706_0001"</f>
        <v>PFES1162733706_0001</v>
      </c>
      <c r="L3207" s="23">
        <v>1</v>
      </c>
      <c r="M3207" s="23">
        <v>1</v>
      </c>
    </row>
    <row r="3208" spans="1:13">
      <c r="A3208" s="6">
        <v>43860</v>
      </c>
      <c r="B3208" s="7">
        <v>0.56388888888888888</v>
      </c>
      <c r="C3208" s="23" t="str">
        <f>"FES1162733781"</f>
        <v>FES1162733781</v>
      </c>
      <c r="D3208" s="23" t="s">
        <v>19</v>
      </c>
      <c r="E3208" s="23" t="s">
        <v>242</v>
      </c>
      <c r="F3208" s="23" t="str">
        <f>"2170726280 "</f>
        <v xml:space="preserve">2170726280 </v>
      </c>
      <c r="G3208" s="23" t="str">
        <f t="shared" si="93"/>
        <v>ON1</v>
      </c>
      <c r="H3208" s="23" t="s">
        <v>21</v>
      </c>
      <c r="I3208" s="23" t="s">
        <v>85</v>
      </c>
      <c r="J3208" s="23" t="str">
        <f>""</f>
        <v/>
      </c>
      <c r="K3208" s="23" t="str">
        <f>"PFES1162733781_0001"</f>
        <v>PFES1162733781_0001</v>
      </c>
      <c r="L3208" s="23">
        <v>1</v>
      </c>
      <c r="M3208" s="23">
        <v>1</v>
      </c>
    </row>
    <row r="3209" spans="1:13">
      <c r="A3209" s="6">
        <v>43860</v>
      </c>
      <c r="B3209" s="7">
        <v>0.56319444444444444</v>
      </c>
      <c r="C3209" s="23" t="str">
        <f>"FES1162733692"</f>
        <v>FES1162733692</v>
      </c>
      <c r="D3209" s="23" t="s">
        <v>19</v>
      </c>
      <c r="E3209" s="23" t="s">
        <v>629</v>
      </c>
      <c r="F3209" s="23" t="str">
        <f>"2170725222 "</f>
        <v xml:space="preserve">2170725222 </v>
      </c>
      <c r="G3209" s="23" t="str">
        <f t="shared" si="93"/>
        <v>ON1</v>
      </c>
      <c r="H3209" s="23" t="s">
        <v>21</v>
      </c>
      <c r="I3209" s="23" t="s">
        <v>85</v>
      </c>
      <c r="J3209" s="23" t="str">
        <f>""</f>
        <v/>
      </c>
      <c r="K3209" s="23" t="str">
        <f>"PFES1162733692_0001"</f>
        <v>PFES1162733692_0001</v>
      </c>
      <c r="L3209" s="23">
        <v>1</v>
      </c>
      <c r="M3209" s="23">
        <v>1</v>
      </c>
    </row>
    <row r="3210" spans="1:13">
      <c r="A3210" s="6">
        <v>43860</v>
      </c>
      <c r="B3210" s="7">
        <v>0.56319444444444444</v>
      </c>
      <c r="C3210" s="23" t="str">
        <f>"FES1162733755"</f>
        <v>FES1162733755</v>
      </c>
      <c r="D3210" s="23" t="s">
        <v>19</v>
      </c>
      <c r="E3210" s="23" t="s">
        <v>445</v>
      </c>
      <c r="F3210" s="23" t="str">
        <f>"2170724421 "</f>
        <v xml:space="preserve">2170724421 </v>
      </c>
      <c r="G3210" s="23" t="str">
        <f t="shared" si="93"/>
        <v>ON1</v>
      </c>
      <c r="H3210" s="23" t="s">
        <v>21</v>
      </c>
      <c r="I3210" s="23" t="s">
        <v>277</v>
      </c>
      <c r="J3210" s="23" t="str">
        <f>""</f>
        <v/>
      </c>
      <c r="K3210" s="23" t="str">
        <f>"PFES1162733755_0001"</f>
        <v>PFES1162733755_0001</v>
      </c>
      <c r="L3210" s="23">
        <v>1</v>
      </c>
      <c r="M3210" s="23">
        <v>1</v>
      </c>
    </row>
    <row r="3211" spans="1:13">
      <c r="A3211" s="6">
        <v>43860</v>
      </c>
      <c r="B3211" s="7">
        <v>0.56319444444444444</v>
      </c>
      <c r="C3211" s="23" t="str">
        <f>"FES1162733754"</f>
        <v>FES1162733754</v>
      </c>
      <c r="D3211" s="23" t="s">
        <v>19</v>
      </c>
      <c r="E3211" s="23" t="s">
        <v>199</v>
      </c>
      <c r="F3211" s="23" t="str">
        <f>"2170724380 "</f>
        <v xml:space="preserve">2170724380 </v>
      </c>
      <c r="G3211" s="23" t="str">
        <f t="shared" si="93"/>
        <v>ON1</v>
      </c>
      <c r="H3211" s="23" t="s">
        <v>21</v>
      </c>
      <c r="I3211" s="23" t="s">
        <v>200</v>
      </c>
      <c r="J3211" s="23" t="str">
        <f>""</f>
        <v/>
      </c>
      <c r="K3211" s="23" t="str">
        <f>"PFES1162733754_0001"</f>
        <v>PFES1162733754_0001</v>
      </c>
      <c r="L3211" s="23">
        <v>1</v>
      </c>
      <c r="M3211" s="23">
        <v>1</v>
      </c>
    </row>
    <row r="3212" spans="1:13">
      <c r="A3212" s="6">
        <v>43860</v>
      </c>
      <c r="B3212" s="7">
        <v>0.5625</v>
      </c>
      <c r="C3212" s="23" t="str">
        <f>"FES1162733671"</f>
        <v>FES1162733671</v>
      </c>
      <c r="D3212" s="23" t="s">
        <v>19</v>
      </c>
      <c r="E3212" s="23" t="s">
        <v>744</v>
      </c>
      <c r="F3212" s="23" t="str">
        <f>"2170724061 "</f>
        <v xml:space="preserve">2170724061 </v>
      </c>
      <c r="G3212" s="23" t="str">
        <f t="shared" si="93"/>
        <v>ON1</v>
      </c>
      <c r="H3212" s="23" t="s">
        <v>21</v>
      </c>
      <c r="I3212" s="23" t="s">
        <v>323</v>
      </c>
      <c r="J3212" s="23" t="str">
        <f>""</f>
        <v/>
      </c>
      <c r="K3212" s="23" t="str">
        <f>"PFES1162733671_0001"</f>
        <v>PFES1162733671_0001</v>
      </c>
      <c r="L3212" s="23">
        <v>1</v>
      </c>
      <c r="M3212" s="23">
        <v>1</v>
      </c>
    </row>
    <row r="3213" spans="1:13">
      <c r="A3213" s="6">
        <v>43860</v>
      </c>
      <c r="B3213" s="7">
        <v>0.5625</v>
      </c>
      <c r="C3213" s="23" t="str">
        <f>"FES1162733731"</f>
        <v>FES1162733731</v>
      </c>
      <c r="D3213" s="23" t="s">
        <v>19</v>
      </c>
      <c r="E3213" s="23" t="s">
        <v>762</v>
      </c>
      <c r="F3213" s="23" t="str">
        <f>"2170724089 "</f>
        <v xml:space="preserve">2170724089 </v>
      </c>
      <c r="G3213" s="23" t="str">
        <f t="shared" si="93"/>
        <v>ON1</v>
      </c>
      <c r="H3213" s="23" t="s">
        <v>21</v>
      </c>
      <c r="I3213" s="23" t="s">
        <v>329</v>
      </c>
      <c r="J3213" s="23" t="str">
        <f>""</f>
        <v/>
      </c>
      <c r="K3213" s="23" t="str">
        <f>"PFES1162733731_0001"</f>
        <v>PFES1162733731_0001</v>
      </c>
      <c r="L3213" s="23">
        <v>1</v>
      </c>
      <c r="M3213" s="23">
        <v>1</v>
      </c>
    </row>
    <row r="3214" spans="1:13">
      <c r="A3214" s="6">
        <v>43860</v>
      </c>
      <c r="B3214" s="7">
        <v>0.5625</v>
      </c>
      <c r="C3214" s="23" t="str">
        <f>"FES1162733669"</f>
        <v>FES1162733669</v>
      </c>
      <c r="D3214" s="23" t="s">
        <v>19</v>
      </c>
      <c r="E3214" s="23" t="s">
        <v>293</v>
      </c>
      <c r="F3214" s="23" t="str">
        <f>"2170723998 "</f>
        <v xml:space="preserve">2170723998 </v>
      </c>
      <c r="G3214" s="23" t="str">
        <f t="shared" si="93"/>
        <v>ON1</v>
      </c>
      <c r="H3214" s="23" t="s">
        <v>21</v>
      </c>
      <c r="I3214" s="23" t="s">
        <v>294</v>
      </c>
      <c r="J3214" s="23" t="str">
        <f>""</f>
        <v/>
      </c>
      <c r="K3214" s="23" t="str">
        <f>"PFES1162733669_0001"</f>
        <v>PFES1162733669_0001</v>
      </c>
      <c r="L3214" s="23">
        <v>1</v>
      </c>
      <c r="M3214" s="23">
        <v>1</v>
      </c>
    </row>
    <row r="3215" spans="1:13">
      <c r="A3215" s="6">
        <v>43860</v>
      </c>
      <c r="B3215" s="7">
        <v>0.5625</v>
      </c>
      <c r="C3215" s="23" t="str">
        <f>"FES1162733649"</f>
        <v>FES1162733649</v>
      </c>
      <c r="D3215" s="23" t="s">
        <v>19</v>
      </c>
      <c r="E3215" s="23" t="s">
        <v>675</v>
      </c>
      <c r="F3215" s="23" t="str">
        <f>"2170723669 "</f>
        <v xml:space="preserve">2170723669 </v>
      </c>
      <c r="G3215" s="23" t="str">
        <f t="shared" si="93"/>
        <v>ON1</v>
      </c>
      <c r="H3215" s="23" t="s">
        <v>21</v>
      </c>
      <c r="I3215" s="23" t="s">
        <v>320</v>
      </c>
      <c r="J3215" s="23" t="str">
        <f>""</f>
        <v/>
      </c>
      <c r="K3215" s="23" t="str">
        <f>"PFES1162733649_0001"</f>
        <v>PFES1162733649_0001</v>
      </c>
      <c r="L3215" s="23">
        <v>1</v>
      </c>
      <c r="M3215" s="23">
        <v>1</v>
      </c>
    </row>
    <row r="3216" spans="1:13">
      <c r="A3216" s="6">
        <v>43860</v>
      </c>
      <c r="B3216" s="7">
        <v>0.56180555555555556</v>
      </c>
      <c r="C3216" s="23" t="str">
        <f>"FES1162733723"</f>
        <v>FES1162733723</v>
      </c>
      <c r="D3216" s="23" t="s">
        <v>19</v>
      </c>
      <c r="E3216" s="23" t="s">
        <v>712</v>
      </c>
      <c r="F3216" s="23" t="str">
        <f>"217023795 "</f>
        <v xml:space="preserve">217023795 </v>
      </c>
      <c r="G3216" s="23" t="str">
        <f t="shared" si="93"/>
        <v>ON1</v>
      </c>
      <c r="H3216" s="23" t="s">
        <v>21</v>
      </c>
      <c r="I3216" s="23" t="s">
        <v>713</v>
      </c>
      <c r="J3216" s="23" t="str">
        <f>""</f>
        <v/>
      </c>
      <c r="K3216" s="23" t="str">
        <f>"PFES1162733723_0001"</f>
        <v>PFES1162733723_0001</v>
      </c>
      <c r="L3216" s="23">
        <v>1</v>
      </c>
      <c r="M3216" s="23">
        <v>1</v>
      </c>
    </row>
    <row r="3217" spans="1:13">
      <c r="A3217" s="6">
        <v>43860</v>
      </c>
      <c r="B3217" s="7">
        <v>0.56180555555555556</v>
      </c>
      <c r="C3217" s="23" t="str">
        <f>"FES1162733774"</f>
        <v>FES1162733774</v>
      </c>
      <c r="D3217" s="23" t="s">
        <v>19</v>
      </c>
      <c r="E3217" s="23" t="s">
        <v>917</v>
      </c>
      <c r="F3217" s="23" t="str">
        <f>"21701726270 "</f>
        <v xml:space="preserve">21701726270 </v>
      </c>
      <c r="G3217" s="23" t="str">
        <f t="shared" si="93"/>
        <v>ON1</v>
      </c>
      <c r="H3217" s="23" t="s">
        <v>21</v>
      </c>
      <c r="I3217" s="23" t="s">
        <v>918</v>
      </c>
      <c r="J3217" s="23" t="str">
        <f>""</f>
        <v/>
      </c>
      <c r="K3217" s="23" t="str">
        <f>"PFES1162733774_0001"</f>
        <v>PFES1162733774_0001</v>
      </c>
      <c r="L3217" s="23">
        <v>1</v>
      </c>
      <c r="M3217" s="23">
        <v>1</v>
      </c>
    </row>
    <row r="3218" spans="1:13">
      <c r="A3218" s="6">
        <v>43860</v>
      </c>
      <c r="B3218" s="7">
        <v>0.56180555555555556</v>
      </c>
      <c r="C3218" s="23" t="str">
        <f>"FES1162733740"</f>
        <v>FES1162733740</v>
      </c>
      <c r="D3218" s="23" t="s">
        <v>19</v>
      </c>
      <c r="E3218" s="23" t="s">
        <v>222</v>
      </c>
      <c r="F3218" s="23" t="str">
        <f>"2170724215 "</f>
        <v xml:space="preserve">2170724215 </v>
      </c>
      <c r="G3218" s="23" t="str">
        <f t="shared" si="93"/>
        <v>ON1</v>
      </c>
      <c r="H3218" s="23" t="s">
        <v>21</v>
      </c>
      <c r="I3218" s="23" t="s">
        <v>28</v>
      </c>
      <c r="J3218" s="23" t="str">
        <f>""</f>
        <v/>
      </c>
      <c r="K3218" s="23" t="str">
        <f>"PFES1162733740_0001"</f>
        <v>PFES1162733740_0001</v>
      </c>
      <c r="L3218" s="23">
        <v>1</v>
      </c>
      <c r="M3218" s="23">
        <v>1</v>
      </c>
    </row>
    <row r="3219" spans="1:13">
      <c r="A3219" s="6">
        <v>43860</v>
      </c>
      <c r="B3219" s="7">
        <v>0.56180555555555556</v>
      </c>
      <c r="C3219" s="23" t="str">
        <f>"FES1162733760"</f>
        <v>FES1162733760</v>
      </c>
      <c r="D3219" s="23" t="s">
        <v>19</v>
      </c>
      <c r="E3219" s="23" t="s">
        <v>705</v>
      </c>
      <c r="F3219" s="23" t="str">
        <f>"2170725832 "</f>
        <v xml:space="preserve">2170725832 </v>
      </c>
      <c r="G3219" s="23" t="str">
        <f t="shared" si="93"/>
        <v>ON1</v>
      </c>
      <c r="H3219" s="23" t="s">
        <v>21</v>
      </c>
      <c r="I3219" s="23" t="s">
        <v>394</v>
      </c>
      <c r="J3219" s="23" t="str">
        <f>""</f>
        <v/>
      </c>
      <c r="K3219" s="23" t="str">
        <f>"PFES1162733760_0001"</f>
        <v>PFES1162733760_0001</v>
      </c>
      <c r="L3219" s="23">
        <v>1</v>
      </c>
      <c r="M3219" s="23">
        <v>1</v>
      </c>
    </row>
    <row r="3220" spans="1:13">
      <c r="A3220" s="6">
        <v>43860</v>
      </c>
      <c r="B3220" s="7">
        <v>0.56111111111111112</v>
      </c>
      <c r="C3220" s="23" t="str">
        <f>"FES1162733730"</f>
        <v>FES1162733730</v>
      </c>
      <c r="D3220" s="23" t="s">
        <v>19</v>
      </c>
      <c r="E3220" s="23" t="s">
        <v>478</v>
      </c>
      <c r="F3220" s="23" t="str">
        <f>"2170724074 "</f>
        <v xml:space="preserve">2170724074 </v>
      </c>
      <c r="G3220" s="23" t="str">
        <f t="shared" si="93"/>
        <v>ON1</v>
      </c>
      <c r="H3220" s="23" t="s">
        <v>21</v>
      </c>
      <c r="I3220" s="23" t="s">
        <v>277</v>
      </c>
      <c r="J3220" s="23" t="str">
        <f>""</f>
        <v/>
      </c>
      <c r="K3220" s="23" t="str">
        <f>"PFES1162733730_0001"</f>
        <v>PFES1162733730_0001</v>
      </c>
      <c r="L3220" s="23">
        <v>1</v>
      </c>
      <c r="M3220" s="23">
        <v>1</v>
      </c>
    </row>
    <row r="3221" spans="1:13">
      <c r="A3221" s="6">
        <v>43860</v>
      </c>
      <c r="B3221" s="7">
        <v>0.56111111111111112</v>
      </c>
      <c r="C3221" s="23" t="str">
        <f>"FES1162733702"</f>
        <v>FES1162733702</v>
      </c>
      <c r="D3221" s="23" t="s">
        <v>19</v>
      </c>
      <c r="E3221" s="23" t="s">
        <v>587</v>
      </c>
      <c r="F3221" s="23" t="str">
        <f>"2170726229 "</f>
        <v xml:space="preserve">2170726229 </v>
      </c>
      <c r="G3221" s="23" t="str">
        <f t="shared" si="93"/>
        <v>ON1</v>
      </c>
      <c r="H3221" s="23" t="s">
        <v>21</v>
      </c>
      <c r="I3221" s="23" t="s">
        <v>277</v>
      </c>
      <c r="J3221" s="23" t="str">
        <f>""</f>
        <v/>
      </c>
      <c r="K3221" s="23" t="str">
        <f>"PFES1162733702_0001"</f>
        <v>PFES1162733702_0001</v>
      </c>
      <c r="L3221" s="23">
        <v>1</v>
      </c>
      <c r="M3221" s="23">
        <v>1</v>
      </c>
    </row>
    <row r="3222" spans="1:13">
      <c r="A3222" s="6">
        <v>43860</v>
      </c>
      <c r="B3222" s="7">
        <v>0.56111111111111112</v>
      </c>
      <c r="C3222" s="23" t="str">
        <f>"FES1162733683"</f>
        <v>FES1162733683</v>
      </c>
      <c r="D3222" s="23" t="s">
        <v>19</v>
      </c>
      <c r="E3222" s="23" t="s">
        <v>199</v>
      </c>
      <c r="F3222" s="23" t="str">
        <f>"2170724377 "</f>
        <v xml:space="preserve">2170724377 </v>
      </c>
      <c r="G3222" s="23" t="str">
        <f t="shared" si="93"/>
        <v>ON1</v>
      </c>
      <c r="H3222" s="23" t="s">
        <v>21</v>
      </c>
      <c r="I3222" s="23" t="s">
        <v>200</v>
      </c>
      <c r="J3222" s="23" t="str">
        <f>""</f>
        <v/>
      </c>
      <c r="K3222" s="23" t="str">
        <f>"PFES1162733683_0001"</f>
        <v>PFES1162733683_0001</v>
      </c>
      <c r="L3222" s="23">
        <v>1</v>
      </c>
      <c r="M3222" s="23">
        <v>1</v>
      </c>
    </row>
    <row r="3223" spans="1:13">
      <c r="A3223" s="6">
        <v>43860</v>
      </c>
      <c r="B3223" s="7">
        <v>0.56111111111111112</v>
      </c>
      <c r="C3223" s="23" t="str">
        <f>"FES1162733646"</f>
        <v>FES1162733646</v>
      </c>
      <c r="D3223" s="23" t="s">
        <v>19</v>
      </c>
      <c r="E3223" s="23" t="s">
        <v>630</v>
      </c>
      <c r="F3223" s="23" t="str">
        <f>"2170723368 "</f>
        <v xml:space="preserve">2170723368 </v>
      </c>
      <c r="G3223" s="23" t="str">
        <f t="shared" si="93"/>
        <v>ON1</v>
      </c>
      <c r="H3223" s="23" t="s">
        <v>21</v>
      </c>
      <c r="I3223" s="23" t="s">
        <v>202</v>
      </c>
      <c r="J3223" s="23" t="str">
        <f>""</f>
        <v/>
      </c>
      <c r="K3223" s="23" t="str">
        <f>"PFES1162733646_0001"</f>
        <v>PFES1162733646_0001</v>
      </c>
      <c r="L3223" s="23">
        <v>1</v>
      </c>
      <c r="M3223" s="23">
        <v>1</v>
      </c>
    </row>
    <row r="3224" spans="1:13">
      <c r="A3224" s="6">
        <v>43860</v>
      </c>
      <c r="B3224" s="7">
        <v>0.56041666666666667</v>
      </c>
      <c r="C3224" s="23" t="str">
        <f>"FES1162733664"</f>
        <v>FES1162733664</v>
      </c>
      <c r="D3224" s="23" t="s">
        <v>19</v>
      </c>
      <c r="E3224" s="23" t="s">
        <v>151</v>
      </c>
      <c r="F3224" s="23" t="str">
        <f>"2170723993 "</f>
        <v xml:space="preserve">2170723993 </v>
      </c>
      <c r="G3224" s="23" t="str">
        <f t="shared" si="93"/>
        <v>ON1</v>
      </c>
      <c r="H3224" s="23" t="s">
        <v>21</v>
      </c>
      <c r="I3224" s="23" t="s">
        <v>152</v>
      </c>
      <c r="J3224" s="23" t="str">
        <f>""</f>
        <v/>
      </c>
      <c r="K3224" s="23" t="str">
        <f>"PFES1162733664_0001"</f>
        <v>PFES1162733664_0001</v>
      </c>
      <c r="L3224" s="23">
        <v>1</v>
      </c>
      <c r="M3224" s="23">
        <v>1</v>
      </c>
    </row>
    <row r="3225" spans="1:13">
      <c r="A3225" s="6">
        <v>43860</v>
      </c>
      <c r="B3225" s="7">
        <v>0.56041666666666667</v>
      </c>
      <c r="C3225" s="23" t="str">
        <f>"FES1162733704"</f>
        <v>FES1162733704</v>
      </c>
      <c r="D3225" s="23" t="s">
        <v>19</v>
      </c>
      <c r="E3225" s="23" t="s">
        <v>101</v>
      </c>
      <c r="F3225" s="23" t="str">
        <f>"2170726232 "</f>
        <v xml:space="preserve">2170726232 </v>
      </c>
      <c r="G3225" s="23" t="str">
        <f t="shared" si="93"/>
        <v>ON1</v>
      </c>
      <c r="H3225" s="23" t="s">
        <v>21</v>
      </c>
      <c r="I3225" s="23" t="s">
        <v>102</v>
      </c>
      <c r="J3225" s="23" t="str">
        <f>""</f>
        <v/>
      </c>
      <c r="K3225" s="23" t="str">
        <f>"PFES1162733704_0001"</f>
        <v>PFES1162733704_0001</v>
      </c>
      <c r="L3225" s="23">
        <v>1</v>
      </c>
      <c r="M3225" s="23">
        <v>1</v>
      </c>
    </row>
    <row r="3226" spans="1:13">
      <c r="A3226" s="6">
        <v>43860</v>
      </c>
      <c r="B3226" s="7">
        <v>0.56041666666666667</v>
      </c>
      <c r="C3226" s="23" t="str">
        <f>"FES1162733707"</f>
        <v>FES1162733707</v>
      </c>
      <c r="D3226" s="23" t="s">
        <v>19</v>
      </c>
      <c r="E3226" s="23" t="s">
        <v>354</v>
      </c>
      <c r="F3226" s="23" t="str">
        <f>"2170726236 "</f>
        <v xml:space="preserve">2170726236 </v>
      </c>
      <c r="G3226" s="23" t="str">
        <f t="shared" si="93"/>
        <v>ON1</v>
      </c>
      <c r="H3226" s="23" t="s">
        <v>21</v>
      </c>
      <c r="I3226" s="23" t="s">
        <v>355</v>
      </c>
      <c r="J3226" s="23" t="str">
        <f>""</f>
        <v/>
      </c>
      <c r="K3226" s="23" t="str">
        <f>"PFES1162733707_0001"</f>
        <v>PFES1162733707_0001</v>
      </c>
      <c r="L3226" s="23">
        <v>1</v>
      </c>
      <c r="M3226" s="23">
        <v>1</v>
      </c>
    </row>
    <row r="3227" spans="1:13">
      <c r="A3227" s="6">
        <v>43860</v>
      </c>
      <c r="B3227" s="7">
        <v>0.56041666666666667</v>
      </c>
      <c r="C3227" s="23" t="str">
        <f>"FES1162733699"</f>
        <v>FES1162733699</v>
      </c>
      <c r="D3227" s="23" t="s">
        <v>19</v>
      </c>
      <c r="E3227" s="23" t="s">
        <v>1088</v>
      </c>
      <c r="F3227" s="23" t="str">
        <f>"2170726216 "</f>
        <v xml:space="preserve">2170726216 </v>
      </c>
      <c r="G3227" s="23" t="str">
        <f t="shared" si="93"/>
        <v>ON1</v>
      </c>
      <c r="H3227" s="23" t="s">
        <v>21</v>
      </c>
      <c r="I3227" s="23" t="s">
        <v>386</v>
      </c>
      <c r="J3227" s="23" t="str">
        <f>""</f>
        <v/>
      </c>
      <c r="K3227" s="23" t="str">
        <f>"PFES1162733699_0001"</f>
        <v>PFES1162733699_0001</v>
      </c>
      <c r="L3227" s="23">
        <v>1</v>
      </c>
      <c r="M3227" s="23">
        <v>1</v>
      </c>
    </row>
    <row r="3228" spans="1:13">
      <c r="A3228" s="6">
        <v>43860</v>
      </c>
      <c r="B3228" s="7">
        <v>0.55972222222222223</v>
      </c>
      <c r="C3228" s="23" t="str">
        <f>"FES1162733738"</f>
        <v>FES1162733738</v>
      </c>
      <c r="D3228" s="23" t="s">
        <v>19</v>
      </c>
      <c r="E3228" s="23" t="s">
        <v>262</v>
      </c>
      <c r="F3228" s="23" t="str">
        <f>"2170724138 "</f>
        <v xml:space="preserve">2170724138 </v>
      </c>
      <c r="G3228" s="23" t="str">
        <f t="shared" si="93"/>
        <v>ON1</v>
      </c>
      <c r="H3228" s="23" t="s">
        <v>21</v>
      </c>
      <c r="I3228" s="23" t="s">
        <v>114</v>
      </c>
      <c r="J3228" s="23" t="str">
        <f>""</f>
        <v/>
      </c>
      <c r="K3228" s="23" t="str">
        <f>"PFES1162733738_0001"</f>
        <v>PFES1162733738_0001</v>
      </c>
      <c r="L3228" s="23">
        <v>1</v>
      </c>
      <c r="M3228" s="23">
        <v>1</v>
      </c>
    </row>
    <row r="3229" spans="1:13">
      <c r="A3229" s="6">
        <v>43860</v>
      </c>
      <c r="B3229" s="7">
        <v>0.55902777777777779</v>
      </c>
      <c r="C3229" s="23" t="str">
        <f>"FES1162733684"</f>
        <v>FES1162733684</v>
      </c>
      <c r="D3229" s="23" t="s">
        <v>19</v>
      </c>
      <c r="E3229" s="23" t="s">
        <v>626</v>
      </c>
      <c r="F3229" s="23" t="str">
        <f>"2170724397 "</f>
        <v xml:space="preserve">2170724397 </v>
      </c>
      <c r="G3229" s="23" t="str">
        <f t="shared" si="93"/>
        <v>ON1</v>
      </c>
      <c r="H3229" s="23" t="s">
        <v>21</v>
      </c>
      <c r="I3229" s="23" t="s">
        <v>139</v>
      </c>
      <c r="J3229" s="23" t="str">
        <f>""</f>
        <v/>
      </c>
      <c r="K3229" s="23" t="str">
        <f>"PFES1162733684_0001"</f>
        <v>PFES1162733684_0001</v>
      </c>
      <c r="L3229" s="23">
        <v>1</v>
      </c>
      <c r="M3229" s="23">
        <v>1</v>
      </c>
    </row>
    <row r="3230" spans="1:13">
      <c r="A3230" s="6">
        <v>43860</v>
      </c>
      <c r="B3230" s="7">
        <v>0.55833333333333335</v>
      </c>
      <c r="C3230" s="23" t="str">
        <f>"FES1162733716"</f>
        <v>FES1162733716</v>
      </c>
      <c r="D3230" s="23" t="s">
        <v>19</v>
      </c>
      <c r="E3230" s="23" t="s">
        <v>147</v>
      </c>
      <c r="F3230" s="23" t="str">
        <f>"2170726246 "</f>
        <v xml:space="preserve">2170726246 </v>
      </c>
      <c r="G3230" s="23" t="str">
        <f t="shared" si="93"/>
        <v>ON1</v>
      </c>
      <c r="H3230" s="23" t="s">
        <v>21</v>
      </c>
      <c r="I3230" s="23" t="s">
        <v>148</v>
      </c>
      <c r="J3230" s="23" t="str">
        <f>""</f>
        <v/>
      </c>
      <c r="K3230" s="23" t="str">
        <f>"PFES1162733716_0001"</f>
        <v>PFES1162733716_0001</v>
      </c>
      <c r="L3230" s="23">
        <v>1</v>
      </c>
      <c r="M3230" s="23">
        <v>1</v>
      </c>
    </row>
    <row r="3231" spans="1:13">
      <c r="A3231" s="6">
        <v>43860</v>
      </c>
      <c r="B3231" s="7">
        <v>0.55763888888888891</v>
      </c>
      <c r="C3231" s="23" t="str">
        <f>"FES1162733753"</f>
        <v>FES1162733753</v>
      </c>
      <c r="D3231" s="23" t="s">
        <v>19</v>
      </c>
      <c r="E3231" s="23" t="s">
        <v>87</v>
      </c>
      <c r="F3231" s="23" t="str">
        <f>"2170724376 "</f>
        <v xml:space="preserve">2170724376 </v>
      </c>
      <c r="G3231" s="23" t="str">
        <f t="shared" si="93"/>
        <v>ON1</v>
      </c>
      <c r="H3231" s="23" t="s">
        <v>21</v>
      </c>
      <c r="I3231" s="23" t="s">
        <v>88</v>
      </c>
      <c r="J3231" s="23" t="str">
        <f>""</f>
        <v/>
      </c>
      <c r="K3231" s="23" t="str">
        <f>"PFES1162733753_0001"</f>
        <v>PFES1162733753_0001</v>
      </c>
      <c r="L3231" s="23">
        <v>1</v>
      </c>
      <c r="M3231" s="23">
        <v>1</v>
      </c>
    </row>
    <row r="3232" spans="1:13">
      <c r="A3232" s="6">
        <v>43860</v>
      </c>
      <c r="B3232" s="7">
        <v>0.55694444444444446</v>
      </c>
      <c r="C3232" s="23" t="str">
        <f>"FES1162733708"</f>
        <v>FES1162733708</v>
      </c>
      <c r="D3232" s="23" t="s">
        <v>19</v>
      </c>
      <c r="E3232" s="23" t="s">
        <v>101</v>
      </c>
      <c r="F3232" s="23" t="str">
        <f>"2170726237 "</f>
        <v xml:space="preserve">2170726237 </v>
      </c>
      <c r="G3232" s="23" t="str">
        <f t="shared" si="93"/>
        <v>ON1</v>
      </c>
      <c r="H3232" s="23" t="s">
        <v>21</v>
      </c>
      <c r="I3232" s="23" t="s">
        <v>102</v>
      </c>
      <c r="J3232" s="23" t="str">
        <f>""</f>
        <v/>
      </c>
      <c r="K3232" s="23" t="str">
        <f>"PFES1162733708_0001"</f>
        <v>PFES1162733708_0001</v>
      </c>
      <c r="L3232" s="23">
        <v>1</v>
      </c>
      <c r="M3232" s="23">
        <v>1</v>
      </c>
    </row>
    <row r="3233" spans="1:13">
      <c r="A3233" s="6">
        <v>43860</v>
      </c>
      <c r="B3233" s="7">
        <v>0.55625000000000002</v>
      </c>
      <c r="C3233" s="23" t="str">
        <f>"FES1162733784"</f>
        <v>FES1162733784</v>
      </c>
      <c r="D3233" s="23" t="s">
        <v>19</v>
      </c>
      <c r="E3233" s="23" t="s">
        <v>1089</v>
      </c>
      <c r="F3233" s="23" t="str">
        <f>"2170726284 "</f>
        <v xml:space="preserve">2170726284 </v>
      </c>
      <c r="G3233" s="23" t="str">
        <f t="shared" si="93"/>
        <v>ON1</v>
      </c>
      <c r="H3233" s="23" t="s">
        <v>21</v>
      </c>
      <c r="I3233" s="23" t="s">
        <v>303</v>
      </c>
      <c r="J3233" s="23" t="str">
        <f>""</f>
        <v/>
      </c>
      <c r="K3233" s="23" t="str">
        <f>"PFES1162733784_0001"</f>
        <v>PFES1162733784_0001</v>
      </c>
      <c r="L3233" s="23">
        <v>1</v>
      </c>
      <c r="M3233" s="23">
        <v>1</v>
      </c>
    </row>
    <row r="3234" spans="1:13">
      <c r="A3234" s="6">
        <v>43860</v>
      </c>
      <c r="B3234" s="7">
        <v>0.55625000000000002</v>
      </c>
      <c r="C3234" s="23" t="str">
        <f>"FES1162733643"</f>
        <v>FES1162733643</v>
      </c>
      <c r="D3234" s="23" t="s">
        <v>19</v>
      </c>
      <c r="E3234" s="23" t="s">
        <v>199</v>
      </c>
      <c r="F3234" s="23" t="str">
        <f>"2170721771 "</f>
        <v xml:space="preserve">2170721771 </v>
      </c>
      <c r="G3234" s="23" t="str">
        <f t="shared" si="93"/>
        <v>ON1</v>
      </c>
      <c r="H3234" s="23" t="s">
        <v>21</v>
      </c>
      <c r="I3234" s="23" t="s">
        <v>200</v>
      </c>
      <c r="J3234" s="23" t="str">
        <f>""</f>
        <v/>
      </c>
      <c r="K3234" s="23" t="str">
        <f>"PFES1162733643_0001"</f>
        <v>PFES1162733643_0001</v>
      </c>
      <c r="L3234" s="23">
        <v>1</v>
      </c>
      <c r="M3234" s="23">
        <v>1</v>
      </c>
    </row>
    <row r="3235" spans="1:13">
      <c r="A3235" s="6">
        <v>43860</v>
      </c>
      <c r="B3235" s="7">
        <v>0.55555555555555558</v>
      </c>
      <c r="C3235" s="23" t="str">
        <f>"FES1162733792"</f>
        <v>FES1162733792</v>
      </c>
      <c r="D3235" s="23" t="s">
        <v>19</v>
      </c>
      <c r="E3235" s="23" t="s">
        <v>151</v>
      </c>
      <c r="F3235" s="23" t="str">
        <f>"2170726295 "</f>
        <v xml:space="preserve">2170726295 </v>
      </c>
      <c r="G3235" s="23" t="str">
        <f t="shared" si="93"/>
        <v>ON1</v>
      </c>
      <c r="H3235" s="23" t="s">
        <v>21</v>
      </c>
      <c r="I3235" s="23" t="s">
        <v>152</v>
      </c>
      <c r="J3235" s="23" t="str">
        <f>""</f>
        <v/>
      </c>
      <c r="K3235" s="23" t="str">
        <f>"PFES1162733792_0001"</f>
        <v>PFES1162733792_0001</v>
      </c>
      <c r="L3235" s="23">
        <v>1</v>
      </c>
      <c r="M3235" s="23">
        <v>1</v>
      </c>
    </row>
    <row r="3236" spans="1:13">
      <c r="A3236" s="6">
        <v>43860</v>
      </c>
      <c r="B3236" s="7">
        <v>0.55486111111111114</v>
      </c>
      <c r="C3236" s="23" t="str">
        <f>"FES1162733772"</f>
        <v>FES1162733772</v>
      </c>
      <c r="D3236" s="23" t="s">
        <v>19</v>
      </c>
      <c r="E3236" s="23" t="s">
        <v>134</v>
      </c>
      <c r="F3236" s="23" t="str">
        <f>"2170726266 "</f>
        <v xml:space="preserve">2170726266 </v>
      </c>
      <c r="G3236" s="23" t="str">
        <f t="shared" si="93"/>
        <v>ON1</v>
      </c>
      <c r="H3236" s="23" t="s">
        <v>21</v>
      </c>
      <c r="I3236" s="23" t="s">
        <v>135</v>
      </c>
      <c r="J3236" s="23" t="str">
        <f>""</f>
        <v/>
      </c>
      <c r="K3236" s="23" t="str">
        <f>"PFES1162733772_0001"</f>
        <v>PFES1162733772_0001</v>
      </c>
      <c r="L3236" s="23">
        <v>1</v>
      </c>
      <c r="M3236" s="23">
        <v>1</v>
      </c>
    </row>
    <row r="3237" spans="1:13">
      <c r="A3237" s="6">
        <v>43860</v>
      </c>
      <c r="B3237" s="7">
        <v>0.5541666666666667</v>
      </c>
      <c r="C3237" s="23" t="str">
        <f>"FES1162733728"</f>
        <v>FES1162733728</v>
      </c>
      <c r="D3237" s="23" t="s">
        <v>19</v>
      </c>
      <c r="E3237" s="23" t="s">
        <v>324</v>
      </c>
      <c r="F3237" s="23" t="str">
        <f>"2170724064 "</f>
        <v xml:space="preserve">2170724064 </v>
      </c>
      <c r="G3237" s="23" t="str">
        <f t="shared" si="93"/>
        <v>ON1</v>
      </c>
      <c r="H3237" s="23" t="s">
        <v>21</v>
      </c>
      <c r="I3237" s="23" t="s">
        <v>325</v>
      </c>
      <c r="J3237" s="23" t="str">
        <f>""</f>
        <v/>
      </c>
      <c r="K3237" s="23" t="str">
        <f>"PFES1162733728_0001"</f>
        <v>PFES1162733728_0001</v>
      </c>
      <c r="L3237" s="23">
        <v>1</v>
      </c>
      <c r="M3237" s="23">
        <v>1</v>
      </c>
    </row>
    <row r="3238" spans="1:13">
      <c r="A3238" s="6">
        <v>43860</v>
      </c>
      <c r="B3238" s="7">
        <v>0.5541666666666667</v>
      </c>
      <c r="C3238" s="23" t="str">
        <f>"FES1162733663"</f>
        <v>FES1162733663</v>
      </c>
      <c r="D3238" s="23" t="s">
        <v>19</v>
      </c>
      <c r="E3238" s="23" t="s">
        <v>387</v>
      </c>
      <c r="F3238" s="23" t="str">
        <f>"2170723926 "</f>
        <v xml:space="preserve">2170723926 </v>
      </c>
      <c r="G3238" s="23" t="str">
        <f t="shared" si="93"/>
        <v>ON1</v>
      </c>
      <c r="H3238" s="23" t="s">
        <v>21</v>
      </c>
      <c r="I3238" s="23" t="s">
        <v>202</v>
      </c>
      <c r="J3238" s="23" t="str">
        <f>""</f>
        <v/>
      </c>
      <c r="K3238" s="23" t="str">
        <f>"PFES1162733663_0001"</f>
        <v>PFES1162733663_0001</v>
      </c>
      <c r="L3238" s="23">
        <v>1</v>
      </c>
      <c r="M3238" s="23">
        <v>1</v>
      </c>
    </row>
    <row r="3239" spans="1:13">
      <c r="A3239" s="6">
        <v>43860</v>
      </c>
      <c r="B3239" s="7">
        <v>0.55347222222222225</v>
      </c>
      <c r="C3239" s="23" t="str">
        <f>"FES1162733346"</f>
        <v>FES1162733346</v>
      </c>
      <c r="D3239" s="23" t="s">
        <v>19</v>
      </c>
      <c r="E3239" s="23" t="s">
        <v>343</v>
      </c>
      <c r="F3239" s="23" t="str">
        <f>"2170725870 "</f>
        <v xml:space="preserve">2170725870 </v>
      </c>
      <c r="G3239" s="23" t="str">
        <f t="shared" si="93"/>
        <v>ON1</v>
      </c>
      <c r="H3239" s="23" t="s">
        <v>21</v>
      </c>
      <c r="I3239" s="23" t="s">
        <v>344</v>
      </c>
      <c r="J3239" s="23" t="str">
        <f>""</f>
        <v/>
      </c>
      <c r="K3239" s="23" t="str">
        <f>"PFES1162733346_0001"</f>
        <v>PFES1162733346_0001</v>
      </c>
      <c r="L3239" s="23">
        <v>1</v>
      </c>
      <c r="M3239" s="23">
        <v>1</v>
      </c>
    </row>
    <row r="3240" spans="1:13">
      <c r="A3240" s="6">
        <v>43860</v>
      </c>
      <c r="B3240" s="7">
        <v>0.55277777777777781</v>
      </c>
      <c r="C3240" s="23" t="str">
        <f>"FES1162733658"</f>
        <v>FES1162733658</v>
      </c>
      <c r="D3240" s="23" t="s">
        <v>19</v>
      </c>
      <c r="E3240" s="23" t="s">
        <v>279</v>
      </c>
      <c r="F3240" s="23" t="str">
        <f>"2170723905 "</f>
        <v xml:space="preserve">2170723905 </v>
      </c>
      <c r="G3240" s="23" t="str">
        <f t="shared" ref="G3240:G3271" si="94">"ON1"</f>
        <v>ON1</v>
      </c>
      <c r="H3240" s="23" t="s">
        <v>21</v>
      </c>
      <c r="I3240" s="23" t="s">
        <v>69</v>
      </c>
      <c r="J3240" s="23" t="str">
        <f>""</f>
        <v/>
      </c>
      <c r="K3240" s="23" t="str">
        <f>"PFES1162733658_0001"</f>
        <v>PFES1162733658_0001</v>
      </c>
      <c r="L3240" s="23">
        <v>1</v>
      </c>
      <c r="M3240" s="23">
        <v>1</v>
      </c>
    </row>
    <row r="3241" spans="1:13">
      <c r="A3241" s="6">
        <v>43860</v>
      </c>
      <c r="B3241" s="7">
        <v>0.55208333333333337</v>
      </c>
      <c r="C3241" s="23" t="str">
        <f>"FES1162733721"</f>
        <v>FES1162733721</v>
      </c>
      <c r="D3241" s="23" t="s">
        <v>19</v>
      </c>
      <c r="E3241" s="23" t="s">
        <v>250</v>
      </c>
      <c r="F3241" s="23" t="str">
        <f>"2170723915 "</f>
        <v xml:space="preserve">2170723915 </v>
      </c>
      <c r="G3241" s="23" t="str">
        <f t="shared" si="94"/>
        <v>ON1</v>
      </c>
      <c r="H3241" s="23" t="s">
        <v>21</v>
      </c>
      <c r="I3241" s="23" t="s">
        <v>88</v>
      </c>
      <c r="J3241" s="23" t="str">
        <f>""</f>
        <v/>
      </c>
      <c r="K3241" s="23" t="str">
        <f>"PFES1162733721_0001"</f>
        <v>PFES1162733721_0001</v>
      </c>
      <c r="L3241" s="23">
        <v>1</v>
      </c>
      <c r="M3241" s="23">
        <v>1</v>
      </c>
    </row>
    <row r="3242" spans="1:13">
      <c r="A3242" s="6">
        <v>43860</v>
      </c>
      <c r="B3242" s="7">
        <v>0.55208333333333337</v>
      </c>
      <c r="C3242" s="23" t="str">
        <f>"FES1162733640"</f>
        <v>FES1162733640</v>
      </c>
      <c r="D3242" s="23" t="s">
        <v>19</v>
      </c>
      <c r="E3242" s="23" t="s">
        <v>46</v>
      </c>
      <c r="F3242" s="23" t="str">
        <f>"2170726204 "</f>
        <v xml:space="preserve">2170726204 </v>
      </c>
      <c r="G3242" s="23" t="str">
        <f t="shared" si="94"/>
        <v>ON1</v>
      </c>
      <c r="H3242" s="23" t="s">
        <v>21</v>
      </c>
      <c r="I3242" s="23" t="s">
        <v>47</v>
      </c>
      <c r="J3242" s="23" t="str">
        <f>""</f>
        <v/>
      </c>
      <c r="K3242" s="23" t="str">
        <f>"PFES1162733640_0001"</f>
        <v>PFES1162733640_0001</v>
      </c>
      <c r="L3242" s="23">
        <v>1</v>
      </c>
      <c r="M3242" s="23">
        <v>1</v>
      </c>
    </row>
    <row r="3243" spans="1:13">
      <c r="A3243" s="6">
        <v>43860</v>
      </c>
      <c r="B3243" s="7">
        <v>0.55138888888888882</v>
      </c>
      <c r="C3243" s="23" t="str">
        <f>"FES1162733673"</f>
        <v>FES1162733673</v>
      </c>
      <c r="D3243" s="23" t="s">
        <v>19</v>
      </c>
      <c r="E3243" s="23" t="s">
        <v>762</v>
      </c>
      <c r="F3243" s="23" t="str">
        <f>"2170724092 "</f>
        <v xml:space="preserve">2170724092 </v>
      </c>
      <c r="G3243" s="23" t="str">
        <f t="shared" si="94"/>
        <v>ON1</v>
      </c>
      <c r="H3243" s="23" t="s">
        <v>21</v>
      </c>
      <c r="I3243" s="23" t="s">
        <v>329</v>
      </c>
      <c r="J3243" s="23" t="str">
        <f>""</f>
        <v/>
      </c>
      <c r="K3243" s="23" t="str">
        <f>"PFES1162733673_0001"</f>
        <v>PFES1162733673_0001</v>
      </c>
      <c r="L3243" s="23">
        <v>1</v>
      </c>
      <c r="M3243" s="23">
        <v>1</v>
      </c>
    </row>
    <row r="3244" spans="1:13">
      <c r="A3244" s="6">
        <v>43860</v>
      </c>
      <c r="B3244" s="7">
        <v>0.55069444444444449</v>
      </c>
      <c r="C3244" s="23" t="str">
        <f>"FES1162733667"</f>
        <v>FES1162733667</v>
      </c>
      <c r="D3244" s="23" t="s">
        <v>19</v>
      </c>
      <c r="E3244" s="23" t="s">
        <v>712</v>
      </c>
      <c r="F3244" s="23" t="str">
        <f>"2170723976 "</f>
        <v xml:space="preserve">2170723976 </v>
      </c>
      <c r="G3244" s="23" t="str">
        <f t="shared" si="94"/>
        <v>ON1</v>
      </c>
      <c r="H3244" s="23" t="s">
        <v>21</v>
      </c>
      <c r="I3244" s="23" t="s">
        <v>713</v>
      </c>
      <c r="J3244" s="23" t="str">
        <f>""</f>
        <v/>
      </c>
      <c r="K3244" s="23" t="str">
        <f>"PFES1162733667_0001"</f>
        <v>PFES1162733667_0001</v>
      </c>
      <c r="L3244" s="23">
        <v>1</v>
      </c>
      <c r="M3244" s="23">
        <v>1</v>
      </c>
    </row>
    <row r="3245" spans="1:13">
      <c r="A3245" s="6">
        <v>43860</v>
      </c>
      <c r="B3245" s="7">
        <v>0.55069444444444449</v>
      </c>
      <c r="C3245" s="23" t="str">
        <f>"FES1162733733"</f>
        <v>FES1162733733</v>
      </c>
      <c r="D3245" s="23" t="s">
        <v>19</v>
      </c>
      <c r="E3245" s="23" t="s">
        <v>753</v>
      </c>
      <c r="F3245" s="23" t="str">
        <f>"2170724103 "</f>
        <v xml:space="preserve">2170724103 </v>
      </c>
      <c r="G3245" s="23" t="str">
        <f t="shared" si="94"/>
        <v>ON1</v>
      </c>
      <c r="H3245" s="23" t="s">
        <v>21</v>
      </c>
      <c r="I3245" s="23" t="s">
        <v>355</v>
      </c>
      <c r="J3245" s="23" t="str">
        <f>""</f>
        <v/>
      </c>
      <c r="K3245" s="23" t="str">
        <f>"PFES1162733733_0001"</f>
        <v>PFES1162733733_0001</v>
      </c>
      <c r="L3245" s="23">
        <v>1</v>
      </c>
      <c r="M3245" s="23">
        <v>1</v>
      </c>
    </row>
    <row r="3246" spans="1:13">
      <c r="A3246" s="6">
        <v>43860</v>
      </c>
      <c r="B3246" s="7">
        <v>0.54999999999999993</v>
      </c>
      <c r="C3246" s="23" t="str">
        <f>"FES1162733670"</f>
        <v>FES1162733670</v>
      </c>
      <c r="D3246" s="23" t="s">
        <v>19</v>
      </c>
      <c r="E3246" s="23" t="s">
        <v>242</v>
      </c>
      <c r="F3246" s="23" t="str">
        <f>"2170724049 "</f>
        <v xml:space="preserve">2170724049 </v>
      </c>
      <c r="G3246" s="23" t="str">
        <f t="shared" si="94"/>
        <v>ON1</v>
      </c>
      <c r="H3246" s="23" t="s">
        <v>21</v>
      </c>
      <c r="I3246" s="23" t="s">
        <v>85</v>
      </c>
      <c r="J3246" s="23" t="str">
        <f>""</f>
        <v/>
      </c>
      <c r="K3246" s="23" t="str">
        <f>"PFES1162733670_0001"</f>
        <v>PFES1162733670_0001</v>
      </c>
      <c r="L3246" s="23">
        <v>1</v>
      </c>
      <c r="M3246" s="23">
        <v>1</v>
      </c>
    </row>
    <row r="3247" spans="1:13">
      <c r="A3247" s="6">
        <v>43860</v>
      </c>
      <c r="B3247" s="7">
        <v>0.5493055555555556</v>
      </c>
      <c r="C3247" s="23" t="str">
        <f>"FES1162733724"</f>
        <v>FES1162733724</v>
      </c>
      <c r="D3247" s="23" t="s">
        <v>19</v>
      </c>
      <c r="E3247" s="23" t="s">
        <v>712</v>
      </c>
      <c r="F3247" s="23" t="str">
        <f>"2170723977 "</f>
        <v xml:space="preserve">2170723977 </v>
      </c>
      <c r="G3247" s="23" t="str">
        <f t="shared" si="94"/>
        <v>ON1</v>
      </c>
      <c r="H3247" s="23" t="s">
        <v>21</v>
      </c>
      <c r="I3247" s="23" t="s">
        <v>713</v>
      </c>
      <c r="J3247" s="23" t="str">
        <f>""</f>
        <v/>
      </c>
      <c r="K3247" s="23" t="str">
        <f>"PFES1162733724_0001"</f>
        <v>PFES1162733724_0001</v>
      </c>
      <c r="L3247" s="23">
        <v>1</v>
      </c>
      <c r="M3247" s="23">
        <v>1</v>
      </c>
    </row>
    <row r="3248" spans="1:13">
      <c r="A3248" s="6">
        <v>43860</v>
      </c>
      <c r="B3248" s="7">
        <v>0.54861111111111105</v>
      </c>
      <c r="C3248" s="23" t="str">
        <f>"FES1162733660"</f>
        <v>FES1162733660</v>
      </c>
      <c r="D3248" s="23" t="s">
        <v>19</v>
      </c>
      <c r="E3248" s="23" t="s">
        <v>603</v>
      </c>
      <c r="F3248" s="23" t="str">
        <f>"2170723916 "</f>
        <v xml:space="preserve">2170723916 </v>
      </c>
      <c r="G3248" s="23" t="str">
        <f t="shared" si="94"/>
        <v>ON1</v>
      </c>
      <c r="H3248" s="23" t="s">
        <v>21</v>
      </c>
      <c r="I3248" s="23" t="s">
        <v>604</v>
      </c>
      <c r="J3248" s="23" t="str">
        <f>""</f>
        <v/>
      </c>
      <c r="K3248" s="23" t="str">
        <f>"PFES1162733660_0001"</f>
        <v>PFES1162733660_0001</v>
      </c>
      <c r="L3248" s="23">
        <v>1</v>
      </c>
      <c r="M3248" s="23">
        <v>1</v>
      </c>
    </row>
    <row r="3249" spans="1:13">
      <c r="A3249" s="6">
        <v>43860</v>
      </c>
      <c r="B3249" s="7">
        <v>0.54722222222222217</v>
      </c>
      <c r="C3249" s="23" t="str">
        <f>"FES1162733786"</f>
        <v>FES1162733786</v>
      </c>
      <c r="D3249" s="23" t="s">
        <v>19</v>
      </c>
      <c r="E3249" s="23" t="s">
        <v>324</v>
      </c>
      <c r="F3249" s="23" t="str">
        <f>"2170726285 "</f>
        <v xml:space="preserve">2170726285 </v>
      </c>
      <c r="G3249" s="23" t="str">
        <f t="shared" si="94"/>
        <v>ON1</v>
      </c>
      <c r="H3249" s="23" t="s">
        <v>21</v>
      </c>
      <c r="I3249" s="23" t="s">
        <v>325</v>
      </c>
      <c r="J3249" s="23" t="str">
        <f>""</f>
        <v/>
      </c>
      <c r="K3249" s="23" t="str">
        <f>"PFES1162733786_0001"</f>
        <v>PFES1162733786_0001</v>
      </c>
      <c r="L3249" s="23">
        <v>1</v>
      </c>
      <c r="M3249" s="23">
        <v>1</v>
      </c>
    </row>
    <row r="3250" spans="1:13">
      <c r="A3250" s="6">
        <v>43860</v>
      </c>
      <c r="B3250" s="7">
        <v>0.54652777777777783</v>
      </c>
      <c r="C3250" s="23" t="str">
        <f>"FES1162733771"</f>
        <v>FES1162733771</v>
      </c>
      <c r="D3250" s="23" t="s">
        <v>19</v>
      </c>
      <c r="E3250" s="23" t="s">
        <v>670</v>
      </c>
      <c r="F3250" s="23" t="str">
        <f>"2170726265 "</f>
        <v xml:space="preserve">2170726265 </v>
      </c>
      <c r="G3250" s="23" t="str">
        <f t="shared" si="94"/>
        <v>ON1</v>
      </c>
      <c r="H3250" s="23" t="s">
        <v>21</v>
      </c>
      <c r="I3250" s="23" t="s">
        <v>528</v>
      </c>
      <c r="J3250" s="23" t="str">
        <f>""</f>
        <v/>
      </c>
      <c r="K3250" s="23" t="str">
        <f>"PFES1162733771_0001"</f>
        <v>PFES1162733771_0001</v>
      </c>
      <c r="L3250" s="23">
        <v>1</v>
      </c>
      <c r="M3250" s="23">
        <v>1</v>
      </c>
    </row>
    <row r="3251" spans="1:13">
      <c r="A3251" s="6">
        <v>43860</v>
      </c>
      <c r="B3251" s="7">
        <v>0.54583333333333328</v>
      </c>
      <c r="C3251" s="23" t="str">
        <f>"FES1162733666"</f>
        <v>FES1162733666</v>
      </c>
      <c r="D3251" s="23" t="s">
        <v>19</v>
      </c>
      <c r="E3251" s="23" t="s">
        <v>712</v>
      </c>
      <c r="F3251" s="23" t="str">
        <f>"2170723975 "</f>
        <v xml:space="preserve">2170723975 </v>
      </c>
      <c r="G3251" s="23" t="str">
        <f t="shared" si="94"/>
        <v>ON1</v>
      </c>
      <c r="H3251" s="23" t="s">
        <v>21</v>
      </c>
      <c r="I3251" s="23" t="s">
        <v>713</v>
      </c>
      <c r="J3251" s="23" t="str">
        <f>""</f>
        <v/>
      </c>
      <c r="K3251" s="23" t="str">
        <f>"PFES1162733666_0001"</f>
        <v>PFES1162733666_0001</v>
      </c>
      <c r="L3251" s="23">
        <v>1</v>
      </c>
      <c r="M3251" s="23">
        <v>1</v>
      </c>
    </row>
    <row r="3252" spans="1:13">
      <c r="A3252" s="6">
        <v>43860</v>
      </c>
      <c r="B3252" s="7">
        <v>0.54513888888888895</v>
      </c>
      <c r="C3252" s="23" t="str">
        <f>"FES1162733725"</f>
        <v>FES1162733725</v>
      </c>
      <c r="D3252" s="23" t="s">
        <v>19</v>
      </c>
      <c r="E3252" s="23" t="s">
        <v>308</v>
      </c>
      <c r="F3252" s="23" t="str">
        <f>"2170724016 "</f>
        <v xml:space="preserve">2170724016 </v>
      </c>
      <c r="G3252" s="23" t="str">
        <f t="shared" si="94"/>
        <v>ON1</v>
      </c>
      <c r="H3252" s="23" t="s">
        <v>21</v>
      </c>
      <c r="I3252" s="23" t="s">
        <v>309</v>
      </c>
      <c r="J3252" s="23" t="str">
        <f>""</f>
        <v/>
      </c>
      <c r="K3252" s="23" t="str">
        <f>"PFES1162733725_0001"</f>
        <v>PFES1162733725_0001</v>
      </c>
      <c r="L3252" s="23">
        <v>1</v>
      </c>
      <c r="M3252" s="23">
        <v>1</v>
      </c>
    </row>
    <row r="3253" spans="1:13">
      <c r="A3253" s="6">
        <v>43860</v>
      </c>
      <c r="B3253" s="7">
        <v>0.54513888888888895</v>
      </c>
      <c r="C3253" s="23" t="str">
        <f>"FES1162733770"</f>
        <v>FES1162733770</v>
      </c>
      <c r="D3253" s="23" t="s">
        <v>19</v>
      </c>
      <c r="E3253" s="23" t="s">
        <v>534</v>
      </c>
      <c r="F3253" s="23" t="str">
        <f>"2170726264 "</f>
        <v xml:space="preserve">2170726264 </v>
      </c>
      <c r="G3253" s="23" t="str">
        <f t="shared" si="94"/>
        <v>ON1</v>
      </c>
      <c r="H3253" s="23" t="s">
        <v>21</v>
      </c>
      <c r="I3253" s="23" t="s">
        <v>135</v>
      </c>
      <c r="J3253" s="23" t="str">
        <f>""</f>
        <v/>
      </c>
      <c r="K3253" s="23" t="str">
        <f>"PFES1162733770_0001"</f>
        <v>PFES1162733770_0001</v>
      </c>
      <c r="L3253" s="23">
        <v>1</v>
      </c>
      <c r="M3253" s="23">
        <v>2</v>
      </c>
    </row>
    <row r="3254" spans="1:13">
      <c r="A3254" s="6">
        <v>43860</v>
      </c>
      <c r="B3254" s="7">
        <v>0.5444444444444444</v>
      </c>
      <c r="C3254" s="23" t="str">
        <f>"FES1162733752"</f>
        <v>FES1162733752</v>
      </c>
      <c r="D3254" s="23" t="s">
        <v>19</v>
      </c>
      <c r="E3254" s="23" t="s">
        <v>199</v>
      </c>
      <c r="F3254" s="23" t="str">
        <f>"2170724370 "</f>
        <v xml:space="preserve">2170724370 </v>
      </c>
      <c r="G3254" s="23" t="str">
        <f t="shared" si="94"/>
        <v>ON1</v>
      </c>
      <c r="H3254" s="23" t="s">
        <v>21</v>
      </c>
      <c r="I3254" s="23" t="s">
        <v>200</v>
      </c>
      <c r="J3254" s="23" t="str">
        <f>""</f>
        <v/>
      </c>
      <c r="K3254" s="23" t="str">
        <f>"PFES1162733752_0001"</f>
        <v>PFES1162733752_0001</v>
      </c>
      <c r="L3254" s="23">
        <v>1</v>
      </c>
      <c r="M3254" s="23">
        <v>1</v>
      </c>
    </row>
    <row r="3255" spans="1:13">
      <c r="A3255" s="6">
        <v>43860</v>
      </c>
      <c r="B3255" s="7">
        <v>0.5444444444444444</v>
      </c>
      <c r="C3255" s="23" t="str">
        <f>"FES1162733619"</f>
        <v>FES1162733619</v>
      </c>
      <c r="D3255" s="23" t="s">
        <v>19</v>
      </c>
      <c r="E3255" s="23" t="s">
        <v>147</v>
      </c>
      <c r="F3255" s="23" t="str">
        <f>"2170725892 "</f>
        <v xml:space="preserve">2170725892 </v>
      </c>
      <c r="G3255" s="23" t="str">
        <f t="shared" si="94"/>
        <v>ON1</v>
      </c>
      <c r="H3255" s="23" t="s">
        <v>21</v>
      </c>
      <c r="I3255" s="23" t="s">
        <v>148</v>
      </c>
      <c r="J3255" s="23" t="str">
        <f>""</f>
        <v/>
      </c>
      <c r="K3255" s="23" t="str">
        <f>"PFES1162733619_0001"</f>
        <v>PFES1162733619_0001</v>
      </c>
      <c r="L3255" s="23">
        <v>1</v>
      </c>
      <c r="M3255" s="23">
        <v>12</v>
      </c>
    </row>
    <row r="3256" spans="1:13">
      <c r="A3256" s="6">
        <v>43860</v>
      </c>
      <c r="B3256" s="7">
        <v>0.5444444444444444</v>
      </c>
      <c r="C3256" s="23" t="str">
        <f>"FES1162733734"</f>
        <v>FES1162733734</v>
      </c>
      <c r="D3256" s="23" t="s">
        <v>19</v>
      </c>
      <c r="E3256" s="23" t="s">
        <v>256</v>
      </c>
      <c r="F3256" s="23" t="str">
        <f>"217072411 "</f>
        <v xml:space="preserve">217072411 </v>
      </c>
      <c r="G3256" s="23" t="str">
        <f t="shared" si="94"/>
        <v>ON1</v>
      </c>
      <c r="H3256" s="23" t="s">
        <v>21</v>
      </c>
      <c r="I3256" s="23" t="s">
        <v>257</v>
      </c>
      <c r="J3256" s="23" t="str">
        <f>""</f>
        <v/>
      </c>
      <c r="K3256" s="23" t="str">
        <f>"PFES1162733734_0001"</f>
        <v>PFES1162733734_0001</v>
      </c>
      <c r="L3256" s="23">
        <v>1</v>
      </c>
      <c r="M3256" s="23">
        <v>6</v>
      </c>
    </row>
    <row r="3257" spans="1:13">
      <c r="A3257" s="6">
        <v>43860</v>
      </c>
      <c r="B3257" s="7">
        <v>0.54375000000000007</v>
      </c>
      <c r="C3257" s="23" t="str">
        <f>"FES1162733636"</f>
        <v>FES1162733636</v>
      </c>
      <c r="D3257" s="23" t="s">
        <v>19</v>
      </c>
      <c r="E3257" s="23" t="s">
        <v>252</v>
      </c>
      <c r="F3257" s="23" t="str">
        <f>"2170726182 "</f>
        <v xml:space="preserve">2170726182 </v>
      </c>
      <c r="G3257" s="23" t="str">
        <f t="shared" si="94"/>
        <v>ON1</v>
      </c>
      <c r="H3257" s="23" t="s">
        <v>21</v>
      </c>
      <c r="I3257" s="23" t="s">
        <v>253</v>
      </c>
      <c r="J3257" s="23" t="str">
        <f>""</f>
        <v/>
      </c>
      <c r="K3257" s="23" t="str">
        <f>"PFES1162733636_0001"</f>
        <v>PFES1162733636_0001</v>
      </c>
      <c r="L3257" s="23">
        <v>1</v>
      </c>
      <c r="M3257" s="23">
        <v>2</v>
      </c>
    </row>
    <row r="3258" spans="1:13">
      <c r="A3258" s="6">
        <v>43860</v>
      </c>
      <c r="B3258" s="7">
        <v>0.54375000000000007</v>
      </c>
      <c r="C3258" s="23" t="str">
        <f>"FES1162733732"</f>
        <v>FES1162733732</v>
      </c>
      <c r="D3258" s="23" t="s">
        <v>19</v>
      </c>
      <c r="E3258" s="23" t="s">
        <v>762</v>
      </c>
      <c r="F3258" s="23" t="str">
        <f>"2170724092 "</f>
        <v xml:space="preserve">2170724092 </v>
      </c>
      <c r="G3258" s="23" t="str">
        <f t="shared" si="94"/>
        <v>ON1</v>
      </c>
      <c r="H3258" s="23" t="s">
        <v>21</v>
      </c>
      <c r="I3258" s="23" t="s">
        <v>329</v>
      </c>
      <c r="J3258" s="23" t="str">
        <f>""</f>
        <v/>
      </c>
      <c r="K3258" s="23" t="str">
        <f>"PFES1162733732_0001"</f>
        <v>PFES1162733732_0001</v>
      </c>
      <c r="L3258" s="23">
        <v>1</v>
      </c>
      <c r="M3258" s="23">
        <v>1</v>
      </c>
    </row>
    <row r="3259" spans="1:13">
      <c r="A3259" s="6">
        <v>43860</v>
      </c>
      <c r="B3259" s="7">
        <v>0.54375000000000007</v>
      </c>
      <c r="C3259" s="23" t="str">
        <f>"FES1162733675"</f>
        <v>FES1162733675</v>
      </c>
      <c r="D3259" s="23" t="s">
        <v>19</v>
      </c>
      <c r="E3259" s="23" t="s">
        <v>633</v>
      </c>
      <c r="F3259" s="23" t="str">
        <f>"2170724248 "</f>
        <v xml:space="preserve">2170724248 </v>
      </c>
      <c r="G3259" s="23" t="str">
        <f t="shared" si="94"/>
        <v>ON1</v>
      </c>
      <c r="H3259" s="23" t="s">
        <v>21</v>
      </c>
      <c r="I3259" s="23" t="s">
        <v>139</v>
      </c>
      <c r="J3259" s="23" t="str">
        <f>""</f>
        <v/>
      </c>
      <c r="K3259" s="23" t="str">
        <f>"PFES1162733675_0001"</f>
        <v>PFES1162733675_0001</v>
      </c>
      <c r="L3259" s="23">
        <v>1</v>
      </c>
      <c r="M3259" s="23">
        <v>1</v>
      </c>
    </row>
    <row r="3260" spans="1:13">
      <c r="A3260" s="6">
        <v>43860</v>
      </c>
      <c r="B3260" s="7">
        <v>0.54305555555555551</v>
      </c>
      <c r="C3260" s="23" t="str">
        <f>"FES1162733701"</f>
        <v>FES1162733701</v>
      </c>
      <c r="D3260" s="23" t="s">
        <v>19</v>
      </c>
      <c r="E3260" s="23" t="s">
        <v>1090</v>
      </c>
      <c r="F3260" s="23" t="str">
        <f>"2170726627 "</f>
        <v xml:space="preserve">2170726627 </v>
      </c>
      <c r="G3260" s="23" t="str">
        <f t="shared" si="94"/>
        <v>ON1</v>
      </c>
      <c r="H3260" s="23" t="s">
        <v>21</v>
      </c>
      <c r="I3260" s="23" t="s">
        <v>47</v>
      </c>
      <c r="J3260" s="23" t="str">
        <f>""</f>
        <v/>
      </c>
      <c r="K3260" s="23" t="str">
        <f>"PFES1162733701_0001"</f>
        <v>PFES1162733701_0001</v>
      </c>
      <c r="L3260" s="23">
        <v>1</v>
      </c>
      <c r="M3260" s="23">
        <v>5</v>
      </c>
    </row>
    <row r="3261" spans="1:13">
      <c r="A3261" s="6">
        <v>43860</v>
      </c>
      <c r="B3261" s="7">
        <v>0.54305555555555551</v>
      </c>
      <c r="C3261" s="23" t="str">
        <f>"FES1162733763"</f>
        <v>FES1162733763</v>
      </c>
      <c r="D3261" s="23" t="s">
        <v>19</v>
      </c>
      <c r="E3261" s="23" t="s">
        <v>491</v>
      </c>
      <c r="F3261" s="23" t="str">
        <f>"2170726254 "</f>
        <v xml:space="preserve">2170726254 </v>
      </c>
      <c r="G3261" s="23" t="str">
        <f t="shared" si="94"/>
        <v>ON1</v>
      </c>
      <c r="H3261" s="23" t="s">
        <v>21</v>
      </c>
      <c r="I3261" s="23" t="s">
        <v>47</v>
      </c>
      <c r="J3261" s="23" t="str">
        <f>""</f>
        <v/>
      </c>
      <c r="K3261" s="23" t="str">
        <f>"PFES1162733763_0001"</f>
        <v>PFES1162733763_0001</v>
      </c>
      <c r="L3261" s="23">
        <v>1</v>
      </c>
      <c r="M3261" s="23">
        <v>3</v>
      </c>
    </row>
    <row r="3262" spans="1:13">
      <c r="A3262" s="6">
        <v>43860</v>
      </c>
      <c r="B3262" s="7">
        <v>0.54236111111111118</v>
      </c>
      <c r="C3262" s="23" t="str">
        <f>"FES1162733711"</f>
        <v>FES1162733711</v>
      </c>
      <c r="D3262" s="23" t="s">
        <v>19</v>
      </c>
      <c r="E3262" s="23" t="s">
        <v>101</v>
      </c>
      <c r="F3262" s="23" t="str">
        <f>"2170726238 "</f>
        <v xml:space="preserve">2170726238 </v>
      </c>
      <c r="G3262" s="23" t="str">
        <f t="shared" si="94"/>
        <v>ON1</v>
      </c>
      <c r="H3262" s="23" t="s">
        <v>21</v>
      </c>
      <c r="I3262" s="23" t="s">
        <v>102</v>
      </c>
      <c r="J3262" s="23" t="str">
        <f>""</f>
        <v/>
      </c>
      <c r="K3262" s="23" t="str">
        <f>"PFES1162733711_0001"</f>
        <v>PFES1162733711_0001</v>
      </c>
      <c r="L3262" s="23">
        <v>1</v>
      </c>
      <c r="M3262" s="23">
        <v>1</v>
      </c>
    </row>
    <row r="3263" spans="1:13">
      <c r="A3263" s="6">
        <v>43860</v>
      </c>
      <c r="B3263" s="7">
        <v>0.54236111111111118</v>
      </c>
      <c r="C3263" s="23" t="str">
        <f>"FES1162733687"</f>
        <v>FES1162733687</v>
      </c>
      <c r="D3263" s="23" t="s">
        <v>19</v>
      </c>
      <c r="E3263" s="23" t="s">
        <v>46</v>
      </c>
      <c r="F3263" s="23" t="str">
        <f>"2170724565 "</f>
        <v xml:space="preserve">2170724565 </v>
      </c>
      <c r="G3263" s="23" t="str">
        <f t="shared" si="94"/>
        <v>ON1</v>
      </c>
      <c r="H3263" s="23" t="s">
        <v>21</v>
      </c>
      <c r="I3263" s="23" t="s">
        <v>47</v>
      </c>
      <c r="J3263" s="23" t="str">
        <f>""</f>
        <v/>
      </c>
      <c r="K3263" s="23" t="str">
        <f>"PFES1162733687_0001"</f>
        <v>PFES1162733687_0001</v>
      </c>
      <c r="L3263" s="23">
        <v>1</v>
      </c>
      <c r="M3263" s="23">
        <v>2</v>
      </c>
    </row>
    <row r="3264" spans="1:13">
      <c r="A3264" s="6">
        <v>43860</v>
      </c>
      <c r="B3264" s="7">
        <v>0.54236111111111118</v>
      </c>
      <c r="C3264" s="23" t="str">
        <f>"FES1162733750"</f>
        <v>FES1162733750</v>
      </c>
      <c r="D3264" s="23" t="s">
        <v>19</v>
      </c>
      <c r="E3264" s="23" t="s">
        <v>214</v>
      </c>
      <c r="F3264" s="23" t="str">
        <f>"2170724263 "</f>
        <v xml:space="preserve">2170724263 </v>
      </c>
      <c r="G3264" s="23" t="str">
        <f t="shared" si="94"/>
        <v>ON1</v>
      </c>
      <c r="H3264" s="23" t="s">
        <v>21</v>
      </c>
      <c r="I3264" s="23" t="s">
        <v>215</v>
      </c>
      <c r="J3264" s="23" t="str">
        <f>""</f>
        <v/>
      </c>
      <c r="K3264" s="23" t="str">
        <f>"PFES1162733750_0001"</f>
        <v>PFES1162733750_0001</v>
      </c>
      <c r="L3264" s="23">
        <v>1</v>
      </c>
      <c r="M3264" s="23">
        <v>1</v>
      </c>
    </row>
    <row r="3265" spans="1:13">
      <c r="A3265" s="6">
        <v>43860</v>
      </c>
      <c r="B3265" s="7">
        <v>0.54236111111111118</v>
      </c>
      <c r="C3265" s="23" t="str">
        <f>"FES1162733737"</f>
        <v>FES1162733737</v>
      </c>
      <c r="D3265" s="23" t="s">
        <v>19</v>
      </c>
      <c r="E3265" s="23" t="s">
        <v>35</v>
      </c>
      <c r="F3265" s="23" t="str">
        <f>"2170724118 "</f>
        <v xml:space="preserve">2170724118 </v>
      </c>
      <c r="G3265" s="23" t="str">
        <f t="shared" si="94"/>
        <v>ON1</v>
      </c>
      <c r="H3265" s="23" t="s">
        <v>21</v>
      </c>
      <c r="I3265" s="23" t="s">
        <v>36</v>
      </c>
      <c r="J3265" s="23" t="str">
        <f>""</f>
        <v/>
      </c>
      <c r="K3265" s="23" t="str">
        <f>"PFES1162733737_0001"</f>
        <v>PFES1162733737_0001</v>
      </c>
      <c r="L3265" s="23">
        <v>1</v>
      </c>
      <c r="M3265" s="23">
        <v>2</v>
      </c>
    </row>
    <row r="3266" spans="1:13">
      <c r="A3266" s="6">
        <v>43860</v>
      </c>
      <c r="B3266" s="7">
        <v>0.54166666666666663</v>
      </c>
      <c r="C3266" s="23" t="str">
        <f>"FES1162733662"</f>
        <v>FES1162733662</v>
      </c>
      <c r="D3266" s="23" t="s">
        <v>19</v>
      </c>
      <c r="E3266" s="23" t="s">
        <v>734</v>
      </c>
      <c r="F3266" s="23" t="str">
        <f>"2170723921 "</f>
        <v xml:space="preserve">2170723921 </v>
      </c>
      <c r="G3266" s="23" t="str">
        <f t="shared" si="94"/>
        <v>ON1</v>
      </c>
      <c r="H3266" s="23" t="s">
        <v>21</v>
      </c>
      <c r="I3266" s="23" t="s">
        <v>49</v>
      </c>
      <c r="J3266" s="23" t="str">
        <f>""</f>
        <v/>
      </c>
      <c r="K3266" s="23" t="str">
        <f>"PFES1162733662_0001"</f>
        <v>PFES1162733662_0001</v>
      </c>
      <c r="L3266" s="23">
        <v>1</v>
      </c>
      <c r="M3266" s="23">
        <v>1</v>
      </c>
    </row>
    <row r="3267" spans="1:13">
      <c r="A3267" s="6">
        <v>43860</v>
      </c>
      <c r="B3267" s="7">
        <v>0.54166666666666663</v>
      </c>
      <c r="C3267" s="23" t="str">
        <f>"FES1162733694"</f>
        <v>FES1162733694</v>
      </c>
      <c r="D3267" s="23" t="s">
        <v>19</v>
      </c>
      <c r="E3267" s="23" t="s">
        <v>224</v>
      </c>
      <c r="F3267" s="23" t="str">
        <f>"2170726217 "</f>
        <v xml:space="preserve">2170726217 </v>
      </c>
      <c r="G3267" s="23" t="str">
        <f t="shared" si="94"/>
        <v>ON1</v>
      </c>
      <c r="H3267" s="23" t="s">
        <v>21</v>
      </c>
      <c r="I3267" s="23" t="s">
        <v>225</v>
      </c>
      <c r="J3267" s="23" t="str">
        <f>""</f>
        <v/>
      </c>
      <c r="K3267" s="23" t="str">
        <f>"PFES1162733694_0001"</f>
        <v>PFES1162733694_0001</v>
      </c>
      <c r="L3267" s="23">
        <v>1</v>
      </c>
      <c r="M3267" s="23">
        <v>1</v>
      </c>
    </row>
    <row r="3268" spans="1:13">
      <c r="A3268" s="6">
        <v>43860</v>
      </c>
      <c r="B3268" s="7">
        <v>0.54097222222222219</v>
      </c>
      <c r="C3268" s="23" t="str">
        <f>"FES1162733769"</f>
        <v>FES1162733769</v>
      </c>
      <c r="D3268" s="23" t="s">
        <v>19</v>
      </c>
      <c r="E3268" s="23" t="s">
        <v>1091</v>
      </c>
      <c r="F3268" s="23" t="str">
        <f>"2170726263 "</f>
        <v xml:space="preserve">2170726263 </v>
      </c>
      <c r="G3268" s="23" t="str">
        <f t="shared" si="94"/>
        <v>ON1</v>
      </c>
      <c r="H3268" s="23" t="s">
        <v>21</v>
      </c>
      <c r="I3268" s="23" t="s">
        <v>1092</v>
      </c>
      <c r="J3268" s="23" t="str">
        <f>""</f>
        <v/>
      </c>
      <c r="K3268" s="23" t="str">
        <f>"PFES1162733769_0001"</f>
        <v>PFES1162733769_0001</v>
      </c>
      <c r="L3268" s="23">
        <v>1</v>
      </c>
      <c r="M3268" s="23">
        <v>8</v>
      </c>
    </row>
    <row r="3269" spans="1:13">
      <c r="A3269" s="6">
        <v>43860</v>
      </c>
      <c r="B3269" s="7">
        <v>0.54097222222222219</v>
      </c>
      <c r="C3269" s="23" t="str">
        <f>"FES1162733626"</f>
        <v>FES1162733626</v>
      </c>
      <c r="D3269" s="23" t="s">
        <v>19</v>
      </c>
      <c r="E3269" s="23" t="s">
        <v>363</v>
      </c>
      <c r="F3269" s="23" t="str">
        <f>"2170724114 "</f>
        <v xml:space="preserve">2170724114 </v>
      </c>
      <c r="G3269" s="23" t="str">
        <f t="shared" si="94"/>
        <v>ON1</v>
      </c>
      <c r="H3269" s="23" t="s">
        <v>21</v>
      </c>
      <c r="I3269" s="23" t="s">
        <v>364</v>
      </c>
      <c r="J3269" s="23" t="str">
        <f>""</f>
        <v/>
      </c>
      <c r="K3269" s="23" t="str">
        <f>"PFES1162733626_0001"</f>
        <v>PFES1162733626_0001</v>
      </c>
      <c r="L3269" s="23">
        <v>1</v>
      </c>
      <c r="M3269" s="23">
        <v>2</v>
      </c>
    </row>
    <row r="3270" spans="1:13">
      <c r="A3270" s="6">
        <v>43860</v>
      </c>
      <c r="B3270" s="7">
        <v>0.54097222222222219</v>
      </c>
      <c r="C3270" s="23" t="str">
        <f>"FES1162733775"</f>
        <v>FES1162733775</v>
      </c>
      <c r="D3270" s="23" t="s">
        <v>19</v>
      </c>
      <c r="E3270" s="23" t="s">
        <v>180</v>
      </c>
      <c r="F3270" s="23" t="str">
        <f>"2170726271 "</f>
        <v xml:space="preserve">2170726271 </v>
      </c>
      <c r="G3270" s="23" t="str">
        <f t="shared" si="94"/>
        <v>ON1</v>
      </c>
      <c r="H3270" s="23" t="s">
        <v>21</v>
      </c>
      <c r="I3270" s="23" t="s">
        <v>28</v>
      </c>
      <c r="J3270" s="23" t="str">
        <f>""</f>
        <v/>
      </c>
      <c r="K3270" s="23" t="str">
        <f>"PFES1162733775_0001"</f>
        <v>PFES1162733775_0001</v>
      </c>
      <c r="L3270" s="23">
        <v>1</v>
      </c>
      <c r="M3270" s="23">
        <v>1</v>
      </c>
    </row>
    <row r="3271" spans="1:13">
      <c r="A3271" s="6">
        <v>43860</v>
      </c>
      <c r="B3271" s="7">
        <v>0.54097222222222219</v>
      </c>
      <c r="C3271" s="23" t="str">
        <f>"FES1162733736"</f>
        <v>FES1162733736</v>
      </c>
      <c r="D3271" s="23" t="s">
        <v>19</v>
      </c>
      <c r="E3271" s="23" t="s">
        <v>245</v>
      </c>
      <c r="F3271" s="23" t="str">
        <f>"2170724117 "</f>
        <v xml:space="preserve">2170724117 </v>
      </c>
      <c r="G3271" s="23" t="str">
        <f t="shared" si="94"/>
        <v>ON1</v>
      </c>
      <c r="H3271" s="23" t="s">
        <v>21</v>
      </c>
      <c r="I3271" s="23" t="s">
        <v>96</v>
      </c>
      <c r="J3271" s="23" t="str">
        <f>""</f>
        <v/>
      </c>
      <c r="K3271" s="23" t="str">
        <f>"PFES1162733736_0001"</f>
        <v>PFES1162733736_0001</v>
      </c>
      <c r="L3271" s="23">
        <v>1</v>
      </c>
      <c r="M3271" s="23">
        <v>1</v>
      </c>
    </row>
    <row r="3272" spans="1:13">
      <c r="A3272" s="6">
        <v>43860</v>
      </c>
      <c r="B3272" s="7">
        <v>0.54027777777777775</v>
      </c>
      <c r="C3272" s="23" t="str">
        <f>"FES1162733644"</f>
        <v>FES1162733644</v>
      </c>
      <c r="D3272" s="23" t="s">
        <v>19</v>
      </c>
      <c r="E3272" s="23" t="s">
        <v>332</v>
      </c>
      <c r="F3272" s="23" t="str">
        <f>"2170721994 "</f>
        <v xml:space="preserve">2170721994 </v>
      </c>
      <c r="G3272" s="23" t="str">
        <f>"DBC"</f>
        <v>DBC</v>
      </c>
      <c r="H3272" s="23" t="s">
        <v>21</v>
      </c>
      <c r="I3272" s="23" t="s">
        <v>305</v>
      </c>
      <c r="J3272" s="23" t="str">
        <f>""</f>
        <v/>
      </c>
      <c r="K3272" s="23" t="str">
        <f>"PFES1162733644_0001"</f>
        <v>PFES1162733644_0001</v>
      </c>
      <c r="L3272" s="23">
        <v>1</v>
      </c>
      <c r="M3272" s="23">
        <v>27</v>
      </c>
    </row>
    <row r="3273" spans="1:13">
      <c r="A3273" s="6">
        <v>43860</v>
      </c>
      <c r="B3273" s="7">
        <v>0.54027777777777775</v>
      </c>
      <c r="C3273" s="23" t="str">
        <f>"FES1162733729"</f>
        <v>FES1162733729</v>
      </c>
      <c r="D3273" s="23" t="s">
        <v>19</v>
      </c>
      <c r="E3273" s="23" t="s">
        <v>310</v>
      </c>
      <c r="F3273" s="23" t="str">
        <f>"2170724065 "</f>
        <v xml:space="preserve">2170724065 </v>
      </c>
      <c r="G3273" s="23" t="str">
        <f t="shared" ref="G3273:G3281" si="95">"ON1"</f>
        <v>ON1</v>
      </c>
      <c r="H3273" s="23" t="s">
        <v>21</v>
      </c>
      <c r="I3273" s="23" t="s">
        <v>311</v>
      </c>
      <c r="J3273" s="23" t="str">
        <f>""</f>
        <v/>
      </c>
      <c r="K3273" s="23" t="str">
        <f>"PFES1162733729_0001"</f>
        <v>PFES1162733729_0001</v>
      </c>
      <c r="L3273" s="23">
        <v>1</v>
      </c>
      <c r="M3273" s="23">
        <v>1</v>
      </c>
    </row>
    <row r="3274" spans="1:13">
      <c r="A3274" s="6">
        <v>43860</v>
      </c>
      <c r="B3274" s="7">
        <v>0.5395833333333333</v>
      </c>
      <c r="C3274" s="23" t="str">
        <f>"FES1162733761"</f>
        <v>FES1162733761</v>
      </c>
      <c r="D3274" s="23" t="s">
        <v>19</v>
      </c>
      <c r="E3274" s="23" t="s">
        <v>487</v>
      </c>
      <c r="F3274" s="23" t="str">
        <f>"2170725860 "</f>
        <v xml:space="preserve">2170725860 </v>
      </c>
      <c r="G3274" s="23" t="str">
        <f t="shared" si="95"/>
        <v>ON1</v>
      </c>
      <c r="H3274" s="23" t="s">
        <v>21</v>
      </c>
      <c r="I3274" s="23" t="s">
        <v>488</v>
      </c>
      <c r="J3274" s="23" t="str">
        <f>""</f>
        <v/>
      </c>
      <c r="K3274" s="23" t="str">
        <f>"PFES1162733761_0001"</f>
        <v>PFES1162733761_0001</v>
      </c>
      <c r="L3274" s="23">
        <v>1</v>
      </c>
      <c r="M3274" s="23">
        <v>1</v>
      </c>
    </row>
    <row r="3275" spans="1:13">
      <c r="A3275" s="6">
        <v>43860</v>
      </c>
      <c r="B3275" s="7">
        <v>0.53888888888888886</v>
      </c>
      <c r="C3275" s="23" t="str">
        <f>"FES1162733611"</f>
        <v>FES1162733611</v>
      </c>
      <c r="D3275" s="23" t="s">
        <v>19</v>
      </c>
      <c r="E3275" s="23" t="s">
        <v>1093</v>
      </c>
      <c r="F3275" s="23" t="str">
        <f>"21707216061 "</f>
        <v xml:space="preserve">21707216061 </v>
      </c>
      <c r="G3275" s="23" t="str">
        <f t="shared" si="95"/>
        <v>ON1</v>
      </c>
      <c r="H3275" s="23" t="s">
        <v>21</v>
      </c>
      <c r="I3275" s="23" t="s">
        <v>1094</v>
      </c>
      <c r="J3275" s="23" t="str">
        <f>""</f>
        <v/>
      </c>
      <c r="K3275" s="23" t="str">
        <f>"PFES1162733611_0001"</f>
        <v>PFES1162733611_0001</v>
      </c>
      <c r="L3275" s="23">
        <v>1</v>
      </c>
      <c r="M3275" s="23">
        <v>11</v>
      </c>
    </row>
    <row r="3276" spans="1:13">
      <c r="A3276" s="6">
        <v>43860</v>
      </c>
      <c r="B3276" s="7">
        <v>0.53888888888888886</v>
      </c>
      <c r="C3276" s="23" t="str">
        <f>"FES1162733800"</f>
        <v>FES1162733800</v>
      </c>
      <c r="D3276" s="23" t="s">
        <v>19</v>
      </c>
      <c r="E3276" s="23" t="s">
        <v>588</v>
      </c>
      <c r="F3276" s="23" t="str">
        <f>"2170726301 "</f>
        <v xml:space="preserve">2170726301 </v>
      </c>
      <c r="G3276" s="23" t="str">
        <f t="shared" si="95"/>
        <v>ON1</v>
      </c>
      <c r="H3276" s="23" t="s">
        <v>21</v>
      </c>
      <c r="I3276" s="23" t="s">
        <v>408</v>
      </c>
      <c r="J3276" s="23" t="str">
        <f>""</f>
        <v/>
      </c>
      <c r="K3276" s="23" t="str">
        <f>"PFES1162733800_0001"</f>
        <v>PFES1162733800_0001</v>
      </c>
      <c r="L3276" s="23">
        <v>1</v>
      </c>
      <c r="M3276" s="23">
        <v>1</v>
      </c>
    </row>
    <row r="3277" spans="1:13">
      <c r="A3277" s="6">
        <v>43860</v>
      </c>
      <c r="B3277" s="7">
        <v>0.53888888888888886</v>
      </c>
      <c r="C3277" s="23" t="str">
        <f>"FES1162733747"</f>
        <v>FES1162733747</v>
      </c>
      <c r="D3277" s="23" t="s">
        <v>19</v>
      </c>
      <c r="E3277" s="23" t="s">
        <v>465</v>
      </c>
      <c r="F3277" s="23" t="str">
        <f>"2170724525 "</f>
        <v xml:space="preserve">2170724525 </v>
      </c>
      <c r="G3277" s="23" t="str">
        <f t="shared" si="95"/>
        <v>ON1</v>
      </c>
      <c r="H3277" s="23" t="s">
        <v>21</v>
      </c>
      <c r="I3277" s="23" t="s">
        <v>466</v>
      </c>
      <c r="J3277" s="23" t="str">
        <f>""</f>
        <v/>
      </c>
      <c r="K3277" s="23" t="str">
        <f>"PFES1162733747_0001"</f>
        <v>PFES1162733747_0001</v>
      </c>
      <c r="L3277" s="23">
        <v>1</v>
      </c>
      <c r="M3277" s="23">
        <v>2</v>
      </c>
    </row>
    <row r="3278" spans="1:13">
      <c r="A3278" s="6">
        <v>43860</v>
      </c>
      <c r="B3278" s="7">
        <v>0.53888888888888886</v>
      </c>
      <c r="C3278" s="23" t="str">
        <f>"FES1162733661"</f>
        <v>FES1162733661</v>
      </c>
      <c r="D3278" s="23" t="s">
        <v>19</v>
      </c>
      <c r="E3278" s="23" t="s">
        <v>222</v>
      </c>
      <c r="F3278" s="23" t="str">
        <f>"2170723917 "</f>
        <v xml:space="preserve">2170723917 </v>
      </c>
      <c r="G3278" s="23" t="str">
        <f t="shared" si="95"/>
        <v>ON1</v>
      </c>
      <c r="H3278" s="23" t="s">
        <v>21</v>
      </c>
      <c r="I3278" s="23" t="s">
        <v>28</v>
      </c>
      <c r="J3278" s="23" t="str">
        <f>""</f>
        <v/>
      </c>
      <c r="K3278" s="23" t="str">
        <f>"PFES1162733661_0001"</f>
        <v>PFES1162733661_0001</v>
      </c>
      <c r="L3278" s="23">
        <v>1</v>
      </c>
      <c r="M3278" s="23">
        <v>1</v>
      </c>
    </row>
    <row r="3279" spans="1:13">
      <c r="A3279" s="6">
        <v>43860</v>
      </c>
      <c r="B3279" s="7">
        <v>0.53749999999999998</v>
      </c>
      <c r="C3279" s="23" t="str">
        <f>"FES1162733637"</f>
        <v>FES1162733637</v>
      </c>
      <c r="D3279" s="23" t="s">
        <v>19</v>
      </c>
      <c r="E3279" s="23" t="s">
        <v>1095</v>
      </c>
      <c r="F3279" s="23" t="str">
        <f>"2170726194 "</f>
        <v xml:space="preserve">2170726194 </v>
      </c>
      <c r="G3279" s="23" t="str">
        <f t="shared" si="95"/>
        <v>ON1</v>
      </c>
      <c r="H3279" s="23" t="s">
        <v>21</v>
      </c>
      <c r="I3279" s="23" t="s">
        <v>96</v>
      </c>
      <c r="J3279" s="23" t="str">
        <f>"OIL"</f>
        <v>OIL</v>
      </c>
      <c r="K3279" s="23" t="str">
        <f>"PFES1162733637_0001"</f>
        <v>PFES1162733637_0001</v>
      </c>
      <c r="L3279" s="23">
        <v>1</v>
      </c>
      <c r="M3279" s="23">
        <v>5</v>
      </c>
    </row>
    <row r="3280" spans="1:13">
      <c r="A3280" s="6">
        <v>43860</v>
      </c>
      <c r="B3280" s="7">
        <v>0.53749999999999998</v>
      </c>
      <c r="C3280" s="23" t="str">
        <f>"FES1162733677"</f>
        <v>FES1162733677</v>
      </c>
      <c r="D3280" s="23" t="s">
        <v>19</v>
      </c>
      <c r="E3280" s="23" t="s">
        <v>359</v>
      </c>
      <c r="F3280" s="23" t="str">
        <f>"2170724319 "</f>
        <v xml:space="preserve">2170724319 </v>
      </c>
      <c r="G3280" s="23" t="str">
        <f t="shared" si="95"/>
        <v>ON1</v>
      </c>
      <c r="H3280" s="23" t="s">
        <v>21</v>
      </c>
      <c r="I3280" s="23" t="s">
        <v>165</v>
      </c>
      <c r="J3280" s="23" t="str">
        <f>""</f>
        <v/>
      </c>
      <c r="K3280" s="23" t="str">
        <f>"PFES1162733677_0001"</f>
        <v>PFES1162733677_0001</v>
      </c>
      <c r="L3280" s="23">
        <v>1</v>
      </c>
      <c r="M3280" s="23">
        <v>1</v>
      </c>
    </row>
    <row r="3281" spans="1:13">
      <c r="A3281" s="6">
        <v>43860</v>
      </c>
      <c r="B3281" s="7">
        <v>0.53611111111111109</v>
      </c>
      <c r="C3281" s="23" t="str">
        <f>"FES1162733648"</f>
        <v>FES1162733648</v>
      </c>
      <c r="D3281" s="23" t="s">
        <v>19</v>
      </c>
      <c r="E3281" s="23" t="s">
        <v>426</v>
      </c>
      <c r="F3281" s="23" t="str">
        <f>"2170723432 "</f>
        <v xml:space="preserve">2170723432 </v>
      </c>
      <c r="G3281" s="23" t="str">
        <f t="shared" si="95"/>
        <v>ON1</v>
      </c>
      <c r="H3281" s="23" t="s">
        <v>21</v>
      </c>
      <c r="I3281" s="23" t="s">
        <v>26</v>
      </c>
      <c r="J3281" s="23" t="str">
        <f>""</f>
        <v/>
      </c>
      <c r="K3281" s="23" t="str">
        <f>"PFES1162733648_0001"</f>
        <v>PFES1162733648_0001</v>
      </c>
      <c r="L3281" s="23">
        <v>1</v>
      </c>
      <c r="M3281" s="23">
        <v>1</v>
      </c>
    </row>
  </sheetData>
  <mergeCells count="1">
    <mergeCell ref="C1:E1"/>
  </mergeCells>
  <pageMargins left="0.75" right="0.75" top="1" bottom="1" header="0.5" footer="0.5"/>
  <pageSetup orientation="portrait" horizontalDpi="120" verticalDpi="7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2020-01-10T08:11:49Z</dcterms:created>
  <dcterms:modified xsi:type="dcterms:W3CDTF">2020-01-31T11:01:23Z</dcterms:modified>
</cp:coreProperties>
</file>