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50" i="1" l="1"/>
  <c r="E1150" i="1"/>
  <c r="P1149" i="1"/>
  <c r="E1149" i="1"/>
  <c r="P1148" i="1"/>
  <c r="E1148" i="1"/>
  <c r="P1147" i="1"/>
  <c r="E1147" i="1"/>
  <c r="P1146" i="1"/>
  <c r="E1146" i="1"/>
  <c r="P1145" i="1"/>
  <c r="E1145" i="1"/>
  <c r="P1144" i="1"/>
  <c r="E1144" i="1"/>
  <c r="P1143" i="1"/>
  <c r="E1143" i="1"/>
  <c r="P1142" i="1"/>
  <c r="E1142" i="1"/>
  <c r="P1141" i="1"/>
  <c r="E1141" i="1"/>
  <c r="P1140" i="1"/>
  <c r="E1140" i="1"/>
  <c r="P1139" i="1"/>
  <c r="E1139" i="1"/>
  <c r="P1138" i="1"/>
  <c r="E1138" i="1"/>
  <c r="P1137" i="1"/>
  <c r="E1137" i="1"/>
  <c r="P1136" i="1"/>
  <c r="E1136" i="1"/>
  <c r="P1135" i="1"/>
  <c r="E1135" i="1"/>
  <c r="P1134" i="1"/>
  <c r="E1134" i="1"/>
  <c r="P1133" i="1"/>
  <c r="E1133" i="1"/>
  <c r="P1132" i="1"/>
  <c r="E1132" i="1"/>
  <c r="P1131" i="1"/>
  <c r="E1131" i="1"/>
  <c r="P1130" i="1"/>
  <c r="E1130" i="1"/>
  <c r="P1129" i="1"/>
  <c r="E1129" i="1"/>
  <c r="P1128" i="1"/>
  <c r="E1128" i="1"/>
  <c r="P1127" i="1"/>
  <c r="E1127" i="1"/>
  <c r="P1126" i="1"/>
  <c r="E1126" i="1"/>
  <c r="P1125" i="1"/>
  <c r="E1125" i="1"/>
  <c r="P1124" i="1"/>
  <c r="E1124" i="1"/>
  <c r="P1123" i="1"/>
  <c r="E1123" i="1"/>
  <c r="P1122" i="1"/>
  <c r="E1122" i="1"/>
  <c r="P1121" i="1"/>
  <c r="E1121" i="1"/>
  <c r="P1120" i="1"/>
  <c r="E1120" i="1"/>
  <c r="P1119" i="1"/>
  <c r="E1119" i="1"/>
  <c r="P1118" i="1"/>
  <c r="E1118" i="1"/>
  <c r="P1117" i="1"/>
  <c r="E1117" i="1"/>
  <c r="P1116" i="1"/>
  <c r="E1116" i="1"/>
  <c r="P1115" i="1"/>
  <c r="E1115" i="1"/>
  <c r="P1114" i="1"/>
  <c r="E1114" i="1"/>
  <c r="P1113" i="1"/>
  <c r="E1113" i="1"/>
  <c r="P1112" i="1"/>
  <c r="E1112" i="1"/>
  <c r="P1111" i="1"/>
  <c r="E1111" i="1"/>
  <c r="P1110" i="1"/>
  <c r="E1110" i="1"/>
  <c r="P1109" i="1"/>
  <c r="E1109" i="1"/>
  <c r="P1108" i="1"/>
  <c r="E1108" i="1"/>
  <c r="P1107" i="1"/>
  <c r="E1107" i="1"/>
  <c r="P1106" i="1"/>
  <c r="E1106" i="1"/>
  <c r="P1105" i="1"/>
  <c r="E1105" i="1"/>
  <c r="P1104" i="1"/>
  <c r="E1104" i="1"/>
  <c r="P1103" i="1"/>
  <c r="E1103" i="1"/>
  <c r="P1102" i="1"/>
  <c r="E1102" i="1"/>
  <c r="P1101" i="1"/>
  <c r="E1101" i="1"/>
  <c r="P1100" i="1"/>
  <c r="E1100" i="1"/>
  <c r="P1099" i="1"/>
  <c r="E1099" i="1"/>
  <c r="P1098" i="1"/>
  <c r="E1098" i="1"/>
  <c r="P1097" i="1"/>
  <c r="E1097" i="1"/>
  <c r="P1096" i="1"/>
  <c r="E1096" i="1"/>
  <c r="P1095" i="1"/>
  <c r="E1095" i="1"/>
  <c r="P1094" i="1"/>
  <c r="E1094" i="1"/>
  <c r="P1093" i="1"/>
  <c r="E1093" i="1"/>
  <c r="P1092" i="1"/>
  <c r="E1092" i="1"/>
  <c r="P1091" i="1"/>
  <c r="E1091" i="1"/>
  <c r="P1090" i="1"/>
  <c r="E1090" i="1"/>
  <c r="P1089" i="1"/>
  <c r="E1089" i="1"/>
  <c r="P1088" i="1"/>
  <c r="E1088" i="1"/>
  <c r="P1087" i="1"/>
  <c r="E1087" i="1"/>
  <c r="P1086" i="1"/>
  <c r="E1086" i="1"/>
  <c r="P1085" i="1"/>
  <c r="E1085" i="1"/>
  <c r="P1084" i="1"/>
  <c r="E1084" i="1"/>
  <c r="P1083" i="1"/>
  <c r="E1083" i="1"/>
  <c r="P1082" i="1"/>
  <c r="E1082" i="1"/>
  <c r="P1081" i="1"/>
  <c r="E1081" i="1"/>
  <c r="P1080" i="1"/>
  <c r="E1080" i="1"/>
  <c r="P1079" i="1"/>
  <c r="E1079" i="1"/>
  <c r="P1078" i="1"/>
  <c r="E1078" i="1"/>
  <c r="P1077" i="1"/>
  <c r="E1077" i="1"/>
  <c r="P1076" i="1"/>
  <c r="E1076" i="1"/>
  <c r="P1075" i="1"/>
  <c r="E1075" i="1"/>
  <c r="P1074" i="1"/>
  <c r="E1074" i="1"/>
  <c r="P1073" i="1"/>
  <c r="E1073" i="1"/>
  <c r="P1072" i="1"/>
  <c r="E1072" i="1"/>
  <c r="P1071" i="1"/>
  <c r="E1071" i="1"/>
  <c r="P1070" i="1"/>
  <c r="E1070" i="1"/>
  <c r="P1069" i="1"/>
  <c r="E1069" i="1"/>
  <c r="P1068" i="1"/>
  <c r="E1068" i="1"/>
  <c r="P1067" i="1"/>
  <c r="E1067" i="1"/>
  <c r="P1066" i="1"/>
  <c r="E1066" i="1"/>
  <c r="P1065" i="1"/>
  <c r="E1065" i="1"/>
  <c r="P1064" i="1"/>
  <c r="E1064" i="1"/>
  <c r="P1063" i="1"/>
  <c r="E1063" i="1"/>
  <c r="P1062" i="1"/>
  <c r="E1062" i="1"/>
  <c r="P1061" i="1"/>
  <c r="E1061" i="1"/>
  <c r="P1060" i="1"/>
  <c r="E1060" i="1"/>
  <c r="P1059" i="1"/>
  <c r="E1059" i="1"/>
  <c r="P1058" i="1"/>
  <c r="E1058" i="1"/>
  <c r="P1057" i="1"/>
  <c r="E1057" i="1"/>
  <c r="P1056" i="1"/>
  <c r="E1056" i="1"/>
  <c r="P1055" i="1"/>
  <c r="E1055" i="1"/>
  <c r="P1054" i="1"/>
  <c r="E1054" i="1"/>
  <c r="P1053" i="1"/>
  <c r="E1053" i="1"/>
  <c r="P1052" i="1"/>
  <c r="E1052" i="1"/>
  <c r="P1051" i="1"/>
  <c r="E1051" i="1"/>
  <c r="P1050" i="1"/>
  <c r="E1050" i="1"/>
  <c r="P1049" i="1"/>
  <c r="E1049" i="1"/>
  <c r="P1048" i="1"/>
  <c r="E1048" i="1"/>
  <c r="P1047" i="1"/>
  <c r="E1047" i="1"/>
  <c r="P1046" i="1"/>
  <c r="E1046" i="1"/>
  <c r="P1045" i="1"/>
  <c r="E1045" i="1"/>
  <c r="P1044" i="1"/>
  <c r="E1044" i="1"/>
  <c r="P1043" i="1"/>
  <c r="E1043" i="1"/>
  <c r="P1042" i="1"/>
  <c r="E1042" i="1"/>
  <c r="P1041" i="1"/>
  <c r="E1041" i="1"/>
  <c r="P1040" i="1"/>
  <c r="E1040" i="1"/>
  <c r="P1039" i="1"/>
  <c r="E1039" i="1"/>
  <c r="P1038" i="1"/>
  <c r="E1038" i="1"/>
  <c r="P1037" i="1"/>
  <c r="E1037" i="1"/>
  <c r="P1036" i="1"/>
  <c r="E1036" i="1"/>
  <c r="P1035" i="1"/>
  <c r="E1035" i="1"/>
  <c r="P1034" i="1"/>
  <c r="E1034" i="1"/>
  <c r="P1033" i="1"/>
  <c r="E1033" i="1"/>
  <c r="P1032" i="1"/>
  <c r="E1032" i="1"/>
  <c r="P1031" i="1"/>
  <c r="E1031" i="1"/>
  <c r="P1030" i="1"/>
  <c r="E1030" i="1"/>
  <c r="P1029" i="1"/>
  <c r="E1029" i="1"/>
  <c r="P1028" i="1"/>
  <c r="E1028" i="1"/>
  <c r="P1027" i="1"/>
  <c r="E1027" i="1"/>
  <c r="P1026" i="1"/>
  <c r="E1026" i="1"/>
  <c r="P1025" i="1"/>
  <c r="E1025" i="1"/>
  <c r="P1024" i="1"/>
  <c r="E1024" i="1"/>
  <c r="P1023" i="1"/>
  <c r="E1023" i="1"/>
  <c r="P1022" i="1"/>
  <c r="E1022" i="1"/>
  <c r="P1021" i="1"/>
  <c r="E1021" i="1"/>
  <c r="P1020" i="1"/>
  <c r="E1020" i="1"/>
  <c r="P1019" i="1"/>
  <c r="E1019" i="1"/>
  <c r="P1018" i="1"/>
  <c r="E1018" i="1"/>
  <c r="P1017" i="1"/>
  <c r="E1017" i="1"/>
  <c r="P1016" i="1"/>
  <c r="E1016" i="1"/>
  <c r="P1015" i="1"/>
  <c r="E1015" i="1"/>
  <c r="P1014" i="1"/>
  <c r="E1014" i="1"/>
  <c r="P1013" i="1"/>
  <c r="E1013" i="1"/>
  <c r="P1012" i="1"/>
  <c r="E1012" i="1"/>
  <c r="P1011" i="1"/>
  <c r="E1011" i="1"/>
  <c r="P1010" i="1"/>
  <c r="E1010" i="1"/>
  <c r="P1009" i="1"/>
  <c r="E1009" i="1"/>
  <c r="P1008" i="1"/>
  <c r="E1008" i="1"/>
  <c r="P1007" i="1"/>
  <c r="E1007" i="1"/>
  <c r="P1006" i="1"/>
  <c r="E1006" i="1"/>
  <c r="P1005" i="1"/>
  <c r="E1005" i="1"/>
  <c r="P1004" i="1"/>
  <c r="E1004" i="1"/>
  <c r="P1003" i="1"/>
  <c r="E1003" i="1"/>
  <c r="P1002" i="1"/>
  <c r="E1002" i="1"/>
  <c r="P1001" i="1"/>
  <c r="E1001" i="1"/>
  <c r="P1000" i="1"/>
  <c r="E1000" i="1"/>
  <c r="P999" i="1"/>
  <c r="E999" i="1"/>
  <c r="P998" i="1"/>
  <c r="E998" i="1"/>
  <c r="P997" i="1"/>
  <c r="E997" i="1"/>
  <c r="P996" i="1"/>
  <c r="E996" i="1"/>
  <c r="P995" i="1"/>
  <c r="E995" i="1"/>
  <c r="P994" i="1"/>
  <c r="E994" i="1"/>
  <c r="P993" i="1"/>
  <c r="E993" i="1"/>
  <c r="P992" i="1"/>
  <c r="E992" i="1"/>
  <c r="P991" i="1"/>
  <c r="E991" i="1"/>
  <c r="P990" i="1"/>
  <c r="E990" i="1"/>
  <c r="P989" i="1"/>
  <c r="E989" i="1"/>
  <c r="P988" i="1"/>
  <c r="E988" i="1"/>
  <c r="P987" i="1"/>
  <c r="E987" i="1"/>
  <c r="P986" i="1"/>
  <c r="E986" i="1"/>
  <c r="P985" i="1"/>
  <c r="E985" i="1"/>
  <c r="P984" i="1"/>
  <c r="E984" i="1"/>
  <c r="P983" i="1"/>
  <c r="E983" i="1"/>
  <c r="P982" i="1"/>
  <c r="E982" i="1"/>
  <c r="P981" i="1"/>
  <c r="E981" i="1"/>
  <c r="P980" i="1"/>
  <c r="E980" i="1"/>
  <c r="P979" i="1"/>
  <c r="E979" i="1"/>
  <c r="P978" i="1"/>
  <c r="E978" i="1"/>
  <c r="P977" i="1"/>
  <c r="E977" i="1"/>
  <c r="P976" i="1"/>
  <c r="E976" i="1"/>
  <c r="P975" i="1"/>
  <c r="E975" i="1"/>
  <c r="P974" i="1"/>
  <c r="E974" i="1"/>
  <c r="P973" i="1"/>
  <c r="E973" i="1"/>
  <c r="P972" i="1"/>
  <c r="E972" i="1"/>
  <c r="P971" i="1"/>
  <c r="E971" i="1"/>
  <c r="P970" i="1"/>
  <c r="E970" i="1"/>
  <c r="P969" i="1"/>
  <c r="E969" i="1"/>
  <c r="P968" i="1"/>
  <c r="E968" i="1"/>
  <c r="P967" i="1"/>
  <c r="E967" i="1"/>
  <c r="P966" i="1"/>
  <c r="E966" i="1"/>
  <c r="P965" i="1"/>
  <c r="E965" i="1"/>
  <c r="P964" i="1"/>
  <c r="E964" i="1"/>
  <c r="P963" i="1"/>
  <c r="E963" i="1"/>
  <c r="P962" i="1"/>
  <c r="E962" i="1"/>
  <c r="P961" i="1"/>
  <c r="E961" i="1"/>
  <c r="P960" i="1"/>
  <c r="E960" i="1"/>
  <c r="P959" i="1"/>
  <c r="E959" i="1"/>
  <c r="P958" i="1"/>
  <c r="E958" i="1"/>
  <c r="P957" i="1"/>
  <c r="E957" i="1"/>
  <c r="P956" i="1"/>
  <c r="E956" i="1"/>
  <c r="P955" i="1"/>
  <c r="E955" i="1"/>
  <c r="P954" i="1"/>
  <c r="E954" i="1"/>
  <c r="P953" i="1"/>
  <c r="E953" i="1"/>
  <c r="P952" i="1"/>
  <c r="E952" i="1"/>
  <c r="P951" i="1"/>
  <c r="E951" i="1"/>
  <c r="P950" i="1"/>
  <c r="E950" i="1"/>
  <c r="P949" i="1"/>
  <c r="E949" i="1"/>
  <c r="P948" i="1"/>
  <c r="E948" i="1"/>
  <c r="P947" i="1"/>
  <c r="E947" i="1"/>
  <c r="P946" i="1"/>
  <c r="E946" i="1"/>
  <c r="P945" i="1"/>
  <c r="E945" i="1"/>
  <c r="P944" i="1"/>
  <c r="E944" i="1"/>
  <c r="P943" i="1"/>
  <c r="E943" i="1"/>
  <c r="P942" i="1"/>
  <c r="E942" i="1"/>
  <c r="P941" i="1"/>
  <c r="E941" i="1"/>
  <c r="P940" i="1"/>
  <c r="E940" i="1"/>
  <c r="P939" i="1"/>
  <c r="E939" i="1"/>
  <c r="P938" i="1"/>
  <c r="E938" i="1"/>
  <c r="P937" i="1"/>
  <c r="E937" i="1"/>
  <c r="P936" i="1"/>
  <c r="E936" i="1"/>
  <c r="P935" i="1"/>
  <c r="E935" i="1"/>
  <c r="P934" i="1"/>
  <c r="E934" i="1"/>
  <c r="P933" i="1"/>
  <c r="E933" i="1"/>
  <c r="P932" i="1"/>
  <c r="E932" i="1"/>
  <c r="P931" i="1"/>
  <c r="E931" i="1"/>
  <c r="P930" i="1"/>
  <c r="E930" i="1"/>
  <c r="P929" i="1"/>
  <c r="E929" i="1"/>
  <c r="P928" i="1"/>
  <c r="E928" i="1"/>
  <c r="P927" i="1"/>
  <c r="E927" i="1"/>
  <c r="P926" i="1"/>
  <c r="E926" i="1"/>
  <c r="P925" i="1"/>
  <c r="E925" i="1"/>
  <c r="P924" i="1"/>
  <c r="E924" i="1"/>
  <c r="P923" i="1"/>
  <c r="E923" i="1"/>
  <c r="P922" i="1"/>
  <c r="E922" i="1"/>
  <c r="P921" i="1"/>
  <c r="E921" i="1"/>
  <c r="P920" i="1"/>
  <c r="E920" i="1"/>
  <c r="P919" i="1"/>
  <c r="E919" i="1"/>
  <c r="P918" i="1"/>
  <c r="E918" i="1"/>
  <c r="P917" i="1"/>
  <c r="E917" i="1"/>
  <c r="P916" i="1"/>
  <c r="E916" i="1"/>
  <c r="P915" i="1"/>
  <c r="E915" i="1"/>
  <c r="P914" i="1"/>
  <c r="E914" i="1"/>
  <c r="P913" i="1"/>
  <c r="E913" i="1"/>
  <c r="P912" i="1"/>
  <c r="E912" i="1"/>
  <c r="P911" i="1"/>
  <c r="E911" i="1"/>
  <c r="P910" i="1"/>
  <c r="E910" i="1"/>
  <c r="P909" i="1"/>
  <c r="E909" i="1"/>
  <c r="P908" i="1"/>
  <c r="E908" i="1"/>
  <c r="P907" i="1"/>
  <c r="E907" i="1"/>
  <c r="P906" i="1"/>
  <c r="E906" i="1"/>
  <c r="P905" i="1"/>
  <c r="E905" i="1"/>
  <c r="P904" i="1"/>
  <c r="E904" i="1"/>
  <c r="P903" i="1"/>
  <c r="E903" i="1"/>
  <c r="P902" i="1"/>
  <c r="E902" i="1"/>
  <c r="P901" i="1"/>
  <c r="E901" i="1"/>
  <c r="P900" i="1"/>
  <c r="E900" i="1"/>
  <c r="P899" i="1"/>
  <c r="E899" i="1"/>
  <c r="P898" i="1"/>
  <c r="E898" i="1"/>
  <c r="P897" i="1"/>
  <c r="E897" i="1"/>
  <c r="P896" i="1"/>
  <c r="E896" i="1"/>
  <c r="P895" i="1"/>
  <c r="E895" i="1"/>
  <c r="P894" i="1"/>
  <c r="E894" i="1"/>
  <c r="P893" i="1"/>
  <c r="E893" i="1"/>
  <c r="P892" i="1"/>
  <c r="E892" i="1"/>
  <c r="P891" i="1"/>
  <c r="E891" i="1"/>
  <c r="P890" i="1"/>
  <c r="E890" i="1"/>
  <c r="P889" i="1"/>
  <c r="E889" i="1"/>
  <c r="P888" i="1"/>
  <c r="E888" i="1"/>
  <c r="P887" i="1"/>
  <c r="E887" i="1"/>
  <c r="P886" i="1"/>
  <c r="E886" i="1"/>
  <c r="P885" i="1"/>
  <c r="E885" i="1"/>
  <c r="P884" i="1"/>
  <c r="E884" i="1"/>
  <c r="P883" i="1"/>
  <c r="E883" i="1"/>
  <c r="P882" i="1"/>
  <c r="E882" i="1"/>
  <c r="P881" i="1"/>
  <c r="E881" i="1"/>
  <c r="P880" i="1"/>
  <c r="E880" i="1"/>
  <c r="P879" i="1"/>
  <c r="E879" i="1"/>
  <c r="P878" i="1"/>
  <c r="E878" i="1"/>
  <c r="P877" i="1"/>
  <c r="E877" i="1"/>
  <c r="P876" i="1"/>
  <c r="E876" i="1"/>
  <c r="P875" i="1"/>
  <c r="E875" i="1"/>
  <c r="P874" i="1"/>
  <c r="E874" i="1"/>
  <c r="P873" i="1"/>
  <c r="E873" i="1"/>
  <c r="P872" i="1"/>
  <c r="E872" i="1"/>
  <c r="P871" i="1"/>
  <c r="E871" i="1"/>
  <c r="P870" i="1"/>
  <c r="E870" i="1"/>
  <c r="P869" i="1"/>
  <c r="E869" i="1"/>
  <c r="P868" i="1"/>
  <c r="E868" i="1"/>
  <c r="P867" i="1"/>
  <c r="E867" i="1"/>
  <c r="P866" i="1"/>
  <c r="E866" i="1"/>
  <c r="P865" i="1"/>
  <c r="E865" i="1"/>
  <c r="P864" i="1"/>
  <c r="E864" i="1"/>
  <c r="P863" i="1"/>
  <c r="E863" i="1"/>
  <c r="P862" i="1"/>
  <c r="E862" i="1"/>
  <c r="P861" i="1"/>
  <c r="E861" i="1"/>
  <c r="P860" i="1"/>
  <c r="E860" i="1"/>
  <c r="P859" i="1"/>
  <c r="E859" i="1"/>
  <c r="P858" i="1"/>
  <c r="E858" i="1"/>
  <c r="P857" i="1"/>
  <c r="E857" i="1"/>
  <c r="P856" i="1"/>
  <c r="E856" i="1"/>
  <c r="P855" i="1"/>
  <c r="E855" i="1"/>
  <c r="P854" i="1"/>
  <c r="E854" i="1"/>
  <c r="P853" i="1"/>
  <c r="E853" i="1"/>
  <c r="P852" i="1"/>
  <c r="E852" i="1"/>
  <c r="P851" i="1"/>
  <c r="E851" i="1"/>
  <c r="P850" i="1"/>
  <c r="E850" i="1"/>
  <c r="P849" i="1"/>
  <c r="E849" i="1"/>
  <c r="P848" i="1"/>
  <c r="E848" i="1"/>
  <c r="P847" i="1"/>
  <c r="E847" i="1"/>
  <c r="P846" i="1"/>
  <c r="E846" i="1"/>
  <c r="P845" i="1"/>
  <c r="E845" i="1"/>
  <c r="P844" i="1"/>
  <c r="E844" i="1"/>
  <c r="P843" i="1"/>
  <c r="E843" i="1"/>
  <c r="P842" i="1"/>
  <c r="E842" i="1"/>
  <c r="P841" i="1"/>
  <c r="E841" i="1"/>
  <c r="P840" i="1"/>
  <c r="E840" i="1"/>
  <c r="P839" i="1"/>
  <c r="E839" i="1"/>
  <c r="P838" i="1"/>
  <c r="E838" i="1"/>
  <c r="P837" i="1"/>
  <c r="E837" i="1"/>
  <c r="P836" i="1"/>
  <c r="E836" i="1"/>
  <c r="P835" i="1"/>
  <c r="E835" i="1"/>
  <c r="P834" i="1"/>
  <c r="E834" i="1"/>
  <c r="P833" i="1"/>
  <c r="E833" i="1"/>
  <c r="P832" i="1"/>
  <c r="E832" i="1"/>
  <c r="P831" i="1"/>
  <c r="E831" i="1"/>
  <c r="P830" i="1"/>
  <c r="E830" i="1"/>
  <c r="P829" i="1"/>
  <c r="E829" i="1"/>
  <c r="P828" i="1"/>
  <c r="E828" i="1"/>
  <c r="P827" i="1"/>
  <c r="E827" i="1"/>
  <c r="P826" i="1"/>
  <c r="E826" i="1"/>
  <c r="P825" i="1"/>
  <c r="E825" i="1"/>
  <c r="P824" i="1"/>
  <c r="E824" i="1"/>
  <c r="P823" i="1"/>
  <c r="E823" i="1"/>
  <c r="P822" i="1"/>
  <c r="E822" i="1"/>
  <c r="P821" i="1"/>
  <c r="E821" i="1"/>
  <c r="P820" i="1"/>
  <c r="E820" i="1"/>
  <c r="P819" i="1"/>
  <c r="E819" i="1"/>
  <c r="P818" i="1"/>
  <c r="E818" i="1"/>
  <c r="P817" i="1"/>
  <c r="E817" i="1"/>
  <c r="P816" i="1"/>
  <c r="E816" i="1"/>
  <c r="P815" i="1"/>
  <c r="E815" i="1"/>
  <c r="P814" i="1"/>
  <c r="E814" i="1"/>
  <c r="P813" i="1"/>
  <c r="E813" i="1"/>
  <c r="P812" i="1"/>
  <c r="E812" i="1"/>
  <c r="P811" i="1"/>
  <c r="E811" i="1"/>
  <c r="P810" i="1"/>
  <c r="E810" i="1"/>
  <c r="P809" i="1"/>
  <c r="E809" i="1"/>
  <c r="P808" i="1"/>
  <c r="E808" i="1"/>
  <c r="P807" i="1"/>
  <c r="E807" i="1"/>
  <c r="P806" i="1"/>
  <c r="E806" i="1"/>
  <c r="P805" i="1"/>
  <c r="E805" i="1"/>
  <c r="P804" i="1"/>
  <c r="E804" i="1"/>
  <c r="P803" i="1"/>
  <c r="E803" i="1"/>
  <c r="P802" i="1"/>
  <c r="E802" i="1"/>
  <c r="P801" i="1"/>
  <c r="E801" i="1"/>
  <c r="P800" i="1"/>
  <c r="E800" i="1"/>
  <c r="P799" i="1"/>
  <c r="E799" i="1"/>
  <c r="P798" i="1"/>
  <c r="E798" i="1"/>
  <c r="P797" i="1"/>
  <c r="E797" i="1"/>
  <c r="P796" i="1"/>
  <c r="E796" i="1"/>
  <c r="P795" i="1"/>
  <c r="E795" i="1"/>
  <c r="P794" i="1"/>
  <c r="E794" i="1"/>
  <c r="P793" i="1"/>
  <c r="E793" i="1"/>
  <c r="P792" i="1"/>
  <c r="E792" i="1"/>
  <c r="P791" i="1"/>
  <c r="E791" i="1"/>
  <c r="P790" i="1"/>
  <c r="E790" i="1"/>
  <c r="P789" i="1"/>
  <c r="E789" i="1"/>
  <c r="P788" i="1"/>
  <c r="E788" i="1"/>
  <c r="P787" i="1"/>
  <c r="E787" i="1"/>
  <c r="P786" i="1"/>
  <c r="E786" i="1"/>
  <c r="P785" i="1"/>
  <c r="E785" i="1"/>
  <c r="P784" i="1"/>
  <c r="E784" i="1"/>
  <c r="P783" i="1"/>
  <c r="E783" i="1"/>
  <c r="P782" i="1"/>
  <c r="E782" i="1"/>
  <c r="P781" i="1"/>
  <c r="E781" i="1"/>
  <c r="P780" i="1"/>
  <c r="E780" i="1"/>
  <c r="P779" i="1"/>
  <c r="E779" i="1"/>
  <c r="P778" i="1"/>
  <c r="E778" i="1"/>
  <c r="P777" i="1"/>
  <c r="E777" i="1"/>
  <c r="P776" i="1"/>
  <c r="E776" i="1"/>
  <c r="P775" i="1"/>
  <c r="E775" i="1"/>
  <c r="P774" i="1"/>
  <c r="E774" i="1"/>
  <c r="P773" i="1"/>
  <c r="E773" i="1"/>
  <c r="P772" i="1"/>
  <c r="E772" i="1"/>
  <c r="P771" i="1"/>
  <c r="E771" i="1"/>
  <c r="P770" i="1"/>
  <c r="E770" i="1"/>
  <c r="P769" i="1"/>
  <c r="E769" i="1"/>
  <c r="P768" i="1"/>
  <c r="E768" i="1"/>
  <c r="P767" i="1"/>
  <c r="E767" i="1"/>
  <c r="P766" i="1"/>
  <c r="E766" i="1"/>
  <c r="P765" i="1"/>
  <c r="E765" i="1"/>
  <c r="P764" i="1"/>
  <c r="E764" i="1"/>
  <c r="P763" i="1"/>
  <c r="E763" i="1"/>
  <c r="P762" i="1"/>
  <c r="E762" i="1"/>
  <c r="P761" i="1"/>
  <c r="E761" i="1"/>
  <c r="P760" i="1"/>
  <c r="E760" i="1"/>
  <c r="P759" i="1"/>
  <c r="E759" i="1"/>
  <c r="P758" i="1"/>
  <c r="E758" i="1"/>
  <c r="P757" i="1"/>
  <c r="E757" i="1"/>
  <c r="P756" i="1"/>
  <c r="E756" i="1"/>
  <c r="P755" i="1"/>
  <c r="E755" i="1"/>
  <c r="P754" i="1"/>
  <c r="E754" i="1"/>
  <c r="P753" i="1"/>
  <c r="E753" i="1"/>
  <c r="P752" i="1"/>
  <c r="E752" i="1"/>
  <c r="P751" i="1"/>
  <c r="E751" i="1"/>
  <c r="P750" i="1"/>
  <c r="E750" i="1"/>
  <c r="P749" i="1"/>
  <c r="E749" i="1"/>
  <c r="P748" i="1"/>
  <c r="E748" i="1"/>
  <c r="P747" i="1"/>
  <c r="E747" i="1"/>
  <c r="P746" i="1"/>
  <c r="E746" i="1"/>
  <c r="P745" i="1"/>
  <c r="E745" i="1"/>
  <c r="P744" i="1"/>
  <c r="E744" i="1"/>
  <c r="P743" i="1"/>
  <c r="E743" i="1"/>
  <c r="P742" i="1"/>
  <c r="E742" i="1"/>
  <c r="P741" i="1"/>
  <c r="E741" i="1"/>
  <c r="P740" i="1"/>
  <c r="E740" i="1"/>
  <c r="P739" i="1"/>
  <c r="E739" i="1"/>
  <c r="P738" i="1"/>
  <c r="E738" i="1"/>
  <c r="P737" i="1"/>
  <c r="E737" i="1"/>
  <c r="P736" i="1"/>
  <c r="E736" i="1"/>
  <c r="P735" i="1"/>
  <c r="E735" i="1"/>
  <c r="P734" i="1"/>
  <c r="E734" i="1"/>
  <c r="P733" i="1"/>
  <c r="E733" i="1"/>
  <c r="P732" i="1"/>
  <c r="E732" i="1"/>
  <c r="P731" i="1"/>
  <c r="E731" i="1"/>
  <c r="P730" i="1"/>
  <c r="E730" i="1"/>
  <c r="P729" i="1"/>
  <c r="E729" i="1"/>
  <c r="P728" i="1"/>
  <c r="E728" i="1"/>
  <c r="P727" i="1"/>
  <c r="E727" i="1"/>
  <c r="P726" i="1"/>
  <c r="E726" i="1"/>
  <c r="P725" i="1"/>
  <c r="E725" i="1"/>
  <c r="P724" i="1"/>
  <c r="E724" i="1"/>
  <c r="P723" i="1"/>
  <c r="E723" i="1"/>
  <c r="P722" i="1"/>
  <c r="E722" i="1"/>
  <c r="P721" i="1"/>
  <c r="E721" i="1"/>
  <c r="P720" i="1"/>
  <c r="E720" i="1"/>
  <c r="P719" i="1"/>
  <c r="E719" i="1"/>
  <c r="P718" i="1"/>
  <c r="E718" i="1"/>
  <c r="P717" i="1"/>
  <c r="E717" i="1"/>
  <c r="P716" i="1"/>
  <c r="E716" i="1"/>
  <c r="P715" i="1"/>
  <c r="E715" i="1"/>
  <c r="P714" i="1"/>
  <c r="E714" i="1"/>
  <c r="P713" i="1"/>
  <c r="E713" i="1"/>
  <c r="P712" i="1"/>
  <c r="E712" i="1"/>
  <c r="P711" i="1"/>
  <c r="E711" i="1"/>
  <c r="P710" i="1"/>
  <c r="E710" i="1"/>
  <c r="P709" i="1"/>
  <c r="E709" i="1"/>
  <c r="P708" i="1"/>
  <c r="E708" i="1"/>
  <c r="P707" i="1"/>
  <c r="E707" i="1"/>
  <c r="P706" i="1"/>
  <c r="E706" i="1"/>
  <c r="P705" i="1"/>
  <c r="E705" i="1"/>
  <c r="P704" i="1"/>
  <c r="E704" i="1"/>
  <c r="P703" i="1"/>
  <c r="E703" i="1"/>
  <c r="P702" i="1"/>
  <c r="E702" i="1"/>
  <c r="P701" i="1"/>
  <c r="E701" i="1"/>
  <c r="P700" i="1"/>
  <c r="E700" i="1"/>
  <c r="P699" i="1"/>
  <c r="E699" i="1"/>
  <c r="P698" i="1"/>
  <c r="E698" i="1"/>
  <c r="P697" i="1"/>
  <c r="E697" i="1"/>
  <c r="P696" i="1"/>
  <c r="E696" i="1"/>
  <c r="P695" i="1"/>
  <c r="E695" i="1"/>
  <c r="P694" i="1"/>
  <c r="E694" i="1"/>
  <c r="P693" i="1"/>
  <c r="E693" i="1"/>
  <c r="P692" i="1"/>
  <c r="E692" i="1"/>
  <c r="P691" i="1"/>
  <c r="E691" i="1"/>
  <c r="P690" i="1"/>
  <c r="E690" i="1"/>
  <c r="P689" i="1"/>
  <c r="E689" i="1"/>
  <c r="P688" i="1"/>
  <c r="E688" i="1"/>
  <c r="P687" i="1"/>
  <c r="E687" i="1"/>
  <c r="P686" i="1"/>
  <c r="E686" i="1"/>
  <c r="P685" i="1"/>
  <c r="E685" i="1"/>
  <c r="P684" i="1"/>
  <c r="E684" i="1"/>
  <c r="P683" i="1"/>
  <c r="E683" i="1"/>
  <c r="P682" i="1"/>
  <c r="E682" i="1"/>
  <c r="P681" i="1"/>
  <c r="E681" i="1"/>
  <c r="P680" i="1"/>
  <c r="E680" i="1"/>
  <c r="P679" i="1"/>
  <c r="E679" i="1"/>
  <c r="P678" i="1"/>
  <c r="E678" i="1"/>
  <c r="P677" i="1"/>
  <c r="E677" i="1"/>
  <c r="P676" i="1"/>
  <c r="E676" i="1"/>
  <c r="P675" i="1"/>
  <c r="E675" i="1"/>
  <c r="P674" i="1"/>
  <c r="E674" i="1"/>
  <c r="P673" i="1"/>
  <c r="E673" i="1"/>
  <c r="P672" i="1"/>
  <c r="E672" i="1"/>
  <c r="P671" i="1"/>
  <c r="E671" i="1"/>
  <c r="P670" i="1"/>
  <c r="E670" i="1"/>
  <c r="P669" i="1"/>
  <c r="E669" i="1"/>
  <c r="P668" i="1"/>
  <c r="E668" i="1"/>
  <c r="P667" i="1"/>
  <c r="E667" i="1"/>
  <c r="P666" i="1"/>
  <c r="E666" i="1"/>
  <c r="P665" i="1"/>
  <c r="E665" i="1"/>
  <c r="P664" i="1"/>
  <c r="E664" i="1"/>
  <c r="P663" i="1"/>
  <c r="E663" i="1"/>
  <c r="P662" i="1"/>
  <c r="E662" i="1"/>
  <c r="P661" i="1"/>
  <c r="E661" i="1"/>
  <c r="P660" i="1"/>
  <c r="E660" i="1"/>
  <c r="P659" i="1"/>
  <c r="E659" i="1"/>
  <c r="P658" i="1"/>
  <c r="E658" i="1"/>
  <c r="P657" i="1"/>
  <c r="E657" i="1"/>
  <c r="P656" i="1"/>
  <c r="E656" i="1"/>
  <c r="P655" i="1"/>
  <c r="E655" i="1"/>
  <c r="P654" i="1"/>
  <c r="E654" i="1"/>
  <c r="P653" i="1"/>
  <c r="E653" i="1"/>
  <c r="P652" i="1"/>
  <c r="E652" i="1"/>
  <c r="P651" i="1"/>
  <c r="E651" i="1"/>
  <c r="P650" i="1"/>
  <c r="E650" i="1"/>
  <c r="P649" i="1"/>
  <c r="E649" i="1"/>
  <c r="P648" i="1"/>
  <c r="E648" i="1"/>
  <c r="P647" i="1"/>
  <c r="E647" i="1"/>
  <c r="P646" i="1"/>
  <c r="E646" i="1"/>
  <c r="P645" i="1"/>
  <c r="E645" i="1"/>
  <c r="P644" i="1"/>
  <c r="E644" i="1"/>
  <c r="P643" i="1"/>
  <c r="E643" i="1"/>
  <c r="P642" i="1"/>
  <c r="E642" i="1"/>
  <c r="P641" i="1"/>
  <c r="E641" i="1"/>
  <c r="P640" i="1"/>
  <c r="E640" i="1"/>
  <c r="P639" i="1"/>
  <c r="E639" i="1"/>
  <c r="P638" i="1"/>
  <c r="E638" i="1"/>
  <c r="P637" i="1"/>
  <c r="E637" i="1"/>
  <c r="P636" i="1"/>
  <c r="E636" i="1"/>
  <c r="P635" i="1"/>
  <c r="E635" i="1"/>
  <c r="P634" i="1"/>
  <c r="E634" i="1"/>
  <c r="P633" i="1"/>
  <c r="E633" i="1"/>
  <c r="P632" i="1"/>
  <c r="E632" i="1"/>
  <c r="P631" i="1"/>
  <c r="E631" i="1"/>
  <c r="P630" i="1"/>
  <c r="E630" i="1"/>
  <c r="P629" i="1"/>
  <c r="E629" i="1"/>
  <c r="P628" i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<sst xmlns="http://schemas.openxmlformats.org/spreadsheetml/2006/main" count="22159" uniqueCount="1192">
  <si>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</si>
  <si>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</si>
  <si>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</si>
  <si>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</si>
  <si>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</si>
  <si>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</si>
  <si>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</si>
  <si>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</si>
  <si>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</si>
  <si>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</si>
  <si>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</si>
  <si>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</si>
  <si>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</si>
  <si>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</si>
  <si>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</si>
  <si>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</si>
  <si>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</si>
  <si>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</si>
  <si>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</si>
  <si>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</si>
  <si>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</si>
  <si>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</si>
  <si>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</si>
  <si>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</si>
  <si>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</si>
  <si>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</si>
  <si>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</si>
  <si>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</si>
  <si>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</si>
  <si>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</si>
  <si>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</si>
  <si>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</si>
  <si>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</si>
  <si>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</si>
  <si>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</si>
  <si>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</si>
  <si>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</si>
  <si>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</si>
  <si>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</si>
  <si>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</si>
  <si>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</si>
  <si>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</si>
  <si>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</si>
  <si>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</si>
  <si>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</si>
  <si>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</si>
  <si>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</si>
  <si>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</si>
  <si>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</si>
  <si>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</si>
  <si>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</si>
  <si>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</si>
  <si>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</si>
  <si>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</si>
  <si>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</si>
  <si>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</si>
  <si>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</si>
  <si>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</si>
  <si>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</si>
  <si>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</si>
  <si>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</si>
  <si>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C17924</t>
  </si>
  <si>
    <t>MOVE ANALYTICS CC (FESTO DIRECT DEL</t>
  </si>
  <si>
    <t>WAY</t>
  </si>
  <si>
    <t>KEMPT</t>
  </si>
  <si>
    <t>KEMPTON PARK</t>
  </si>
  <si>
    <t xml:space="preserve">Festo                              </t>
  </si>
  <si>
    <t xml:space="preserve">                                   </t>
  </si>
  <si>
    <t xml:space="preserve">AEL MINING SERVICES LIMITED        </t>
  </si>
  <si>
    <t>ON1</t>
  </si>
  <si>
    <t>Receiving</t>
  </si>
  <si>
    <t>Abram Machaka</t>
  </si>
  <si>
    <t>?</t>
  </si>
  <si>
    <t>Flyer</t>
  </si>
  <si>
    <t>no</t>
  </si>
  <si>
    <t>BOKSB</t>
  </si>
  <si>
    <t>BOKSBURG</t>
  </si>
  <si>
    <t xml:space="preserve">CMA PROCESS (PTY)LTD               </t>
  </si>
  <si>
    <t>RECEIVING</t>
  </si>
  <si>
    <t>releen</t>
  </si>
  <si>
    <t>yes</t>
  </si>
  <si>
    <t>BLOE1</t>
  </si>
  <si>
    <t>BLOEMFONTEIN</t>
  </si>
  <si>
    <t xml:space="preserve">HARTMANS INDUTRIAL EQUIPMENT       </t>
  </si>
  <si>
    <t>CHARL</t>
  </si>
  <si>
    <t>Late linehaul</t>
  </si>
  <si>
    <t>tho</t>
  </si>
  <si>
    <t>UMTAT</t>
  </si>
  <si>
    <t>UMTATA</t>
  </si>
  <si>
    <t xml:space="preserve">PREMIER FMCG PTY LTD               </t>
  </si>
  <si>
    <t>NONWAKAZI</t>
  </si>
  <si>
    <t>PARCEL</t>
  </si>
  <si>
    <t>CAPET</t>
  </si>
  <si>
    <t>CAPE TOWN</t>
  </si>
  <si>
    <t xml:space="preserve">VICTORY ELECTRICAL CC              </t>
  </si>
  <si>
    <t>traceY</t>
  </si>
  <si>
    <t>Late Linehaul Delayed Beyond Skynet Control</t>
  </si>
  <si>
    <t>NGF</t>
  </si>
  <si>
    <t>POD received from cell 0638152011 M</t>
  </si>
  <si>
    <t>WORCE</t>
  </si>
  <si>
    <t>WORCESTER</t>
  </si>
  <si>
    <t xml:space="preserve">GRW ENGINERING                     </t>
  </si>
  <si>
    <t>HARRY</t>
  </si>
  <si>
    <t>POD received from cell 0723786860 M</t>
  </si>
  <si>
    <t>RANDF</t>
  </si>
  <si>
    <t>RANDFONTEIN</t>
  </si>
  <si>
    <t xml:space="preserve">WILMAR CONTINENTAL EDIBLE OILS     </t>
  </si>
  <si>
    <t>KELLY</t>
  </si>
  <si>
    <t xml:space="preserve">UNILEVER ANDERBOLT HOMECARE LI     </t>
  </si>
  <si>
    <t>Recieving</t>
  </si>
  <si>
    <t>andreas</t>
  </si>
  <si>
    <t>MIDRA</t>
  </si>
  <si>
    <t>MIDRAND</t>
  </si>
  <si>
    <t xml:space="preserve">PARMALAT SA                        </t>
  </si>
  <si>
    <t>ISHAN GOPIE</t>
  </si>
  <si>
    <t>frida</t>
  </si>
  <si>
    <t>MALME</t>
  </si>
  <si>
    <t>MALMESBURY</t>
  </si>
  <si>
    <t xml:space="preserve">HYDROMATIC PTY LTD                 </t>
  </si>
  <si>
    <t>ANZELLE</t>
  </si>
  <si>
    <t>DURBA</t>
  </si>
  <si>
    <t>DURBAN</t>
  </si>
  <si>
    <t xml:space="preserve">DIVFOOD A DIV OF NAMPAK PRODUC     </t>
  </si>
  <si>
    <t>ZAMA</t>
  </si>
  <si>
    <t>Appointment required</t>
  </si>
  <si>
    <t>mst</t>
  </si>
  <si>
    <t xml:space="preserve">NR EXTREME ENGINEERING   PIPIN     </t>
  </si>
  <si>
    <t>Nocholas</t>
  </si>
  <si>
    <t>ssh</t>
  </si>
  <si>
    <t>POD received from cell 0844941078 M</t>
  </si>
  <si>
    <t xml:space="preserve">SAPPI GLOBAL BUSINESS SERVICES     </t>
  </si>
  <si>
    <t>paul</t>
  </si>
  <si>
    <t>POD received from cell 0734986729 M</t>
  </si>
  <si>
    <t>STANG</t>
  </si>
  <si>
    <t>STANGER</t>
  </si>
  <si>
    <t xml:space="preserve">SAPPI SA                           </t>
  </si>
  <si>
    <t xml:space="preserve">Henry                         </t>
  </si>
  <si>
    <t xml:space="preserve">POD received from cell 0732603055 M     </t>
  </si>
  <si>
    <t xml:space="preserve">ENTYCE BEVERAGES                   </t>
  </si>
  <si>
    <t>Mohammed</t>
  </si>
  <si>
    <t>POD received from cell 0731123851 M</t>
  </si>
  <si>
    <t xml:space="preserve">THE SIMBA GROUP LTD                </t>
  </si>
  <si>
    <t>Dawn</t>
  </si>
  <si>
    <t>POD received from cell 0763378994 M</t>
  </si>
  <si>
    <t xml:space="preserve">CONSOL GLASS (PTY) LTD             </t>
  </si>
  <si>
    <t>LINDIE</t>
  </si>
  <si>
    <t>PORT3</t>
  </si>
  <si>
    <t>PORT ELIZABETH</t>
  </si>
  <si>
    <t xml:space="preserve">FRESENIUS KABI MANUFACTURING       </t>
  </si>
  <si>
    <t>Merin</t>
  </si>
  <si>
    <t>POD received from cell 0848977566 M</t>
  </si>
  <si>
    <t>PIET1</t>
  </si>
  <si>
    <t>PIETERMARITZBURG</t>
  </si>
  <si>
    <t xml:space="preserve">RCL FOODS CONSUMER (PTY) LTD       </t>
  </si>
  <si>
    <t>vuyani</t>
  </si>
  <si>
    <t xml:space="preserve">DANONE SA PTY LTD                  </t>
  </si>
  <si>
    <t>a steyn</t>
  </si>
  <si>
    <t>POD received from cell 0826644094 M</t>
  </si>
  <si>
    <t>HOWIC</t>
  </si>
  <si>
    <t>HOWICK</t>
  </si>
  <si>
    <t xml:space="preserve">FAIRFIELD DAIRY PTY LTD            </t>
  </si>
  <si>
    <t>justin</t>
  </si>
  <si>
    <t xml:space="preserve">IRVIN   JONSON LTD                 </t>
  </si>
  <si>
    <t>sanab</t>
  </si>
  <si>
    <t>POD received from cell 0617856156 M</t>
  </si>
  <si>
    <t xml:space="preserve">BMG BELLVILLE 0120                 </t>
  </si>
  <si>
    <t>Cathy</t>
  </si>
  <si>
    <t>POD received from cell 0746644640 M</t>
  </si>
  <si>
    <t>JACO1</t>
  </si>
  <si>
    <t>JACOBS</t>
  </si>
  <si>
    <t xml:space="preserve">TROPICAL PLASTICS   PACKAGING      </t>
  </si>
  <si>
    <t>Assas</t>
  </si>
  <si>
    <t>POD received from cell 0636703508 M</t>
  </si>
  <si>
    <t xml:space="preserve">CLURE PROJECTS CC                  </t>
  </si>
  <si>
    <t xml:space="preserve">LIQUI BOX                          </t>
  </si>
  <si>
    <t>MULTON</t>
  </si>
  <si>
    <t>POD received from cell 0766089477 M</t>
  </si>
  <si>
    <t>UMHLA</t>
  </si>
  <si>
    <t>UMHLANGA ROCKS</t>
  </si>
  <si>
    <t xml:space="preserve">FILTEC AUTOMATION PTY LTD          </t>
  </si>
  <si>
    <t>NAVIN</t>
  </si>
  <si>
    <t xml:space="preserve">CAPITAL MAITANACE                  </t>
  </si>
  <si>
    <t xml:space="preserve">abram                         </t>
  </si>
  <si>
    <t xml:space="preserve">                                        </t>
  </si>
  <si>
    <t>SOME2</t>
  </si>
  <si>
    <t>SOMERSET WEST</t>
  </si>
  <si>
    <t xml:space="preserve">GOSSAMER STRUCTURES CC             </t>
  </si>
  <si>
    <t>FANIE</t>
  </si>
  <si>
    <t>POD received from cell 0653615686 M</t>
  </si>
  <si>
    <t xml:space="preserve">traceY                        </t>
  </si>
  <si>
    <t xml:space="preserve">POD received from cell 0638152011 M     </t>
  </si>
  <si>
    <t xml:space="preserve">NAMPAK LIQUID PACKAGING            </t>
  </si>
  <si>
    <t>Monica</t>
  </si>
  <si>
    <t>POD received from cell 0837323487 M</t>
  </si>
  <si>
    <t>HARRI</t>
  </si>
  <si>
    <t>HARRISMITH</t>
  </si>
  <si>
    <t xml:space="preserve">NESTLE SA                          </t>
  </si>
  <si>
    <t>THOBILE</t>
  </si>
  <si>
    <t>POD received from cell 0733568082 M</t>
  </si>
  <si>
    <t>SPRI3</t>
  </si>
  <si>
    <t>SPRINGS</t>
  </si>
  <si>
    <t xml:space="preserve">KIMBERLY CLARK                     </t>
  </si>
  <si>
    <t>clint</t>
  </si>
  <si>
    <t>bem</t>
  </si>
  <si>
    <t xml:space="preserve">SIGNAL INSTRUMENTATION CC          </t>
  </si>
  <si>
    <t>Koti</t>
  </si>
  <si>
    <t xml:space="preserve">PIONEER FOODS (PTY) LTD            </t>
  </si>
  <si>
    <t>bongiew</t>
  </si>
  <si>
    <t xml:space="preserve">EGLI PRECISION ENGINEERING PTY     </t>
  </si>
  <si>
    <t>KAMESAN</t>
  </si>
  <si>
    <t xml:space="preserve">CAVALETTO 98                       </t>
  </si>
  <si>
    <t>jame</t>
  </si>
  <si>
    <t>PINET</t>
  </si>
  <si>
    <t>PINETOWN</t>
  </si>
  <si>
    <t xml:space="preserve">NATIONAL BRANDS BUSCUITS   SNA     </t>
  </si>
  <si>
    <t>prospal</t>
  </si>
  <si>
    <t>POD received from cell 0837429668 M</t>
  </si>
  <si>
    <t xml:space="preserve">NATIONAL BRANDS LTD BECKETTS       </t>
  </si>
  <si>
    <t>Jacob</t>
  </si>
  <si>
    <t xml:space="preserve">NATIONAL BRANDS BIS   SNK DIV      </t>
  </si>
  <si>
    <t>Joseph</t>
  </si>
  <si>
    <t>BALF2</t>
  </si>
  <si>
    <t>BALFOUR (TVL)</t>
  </si>
  <si>
    <t xml:space="preserve">KARAN BEEF (PTY) LTD               </t>
  </si>
  <si>
    <t>signed</t>
  </si>
  <si>
    <t>SASOL</t>
  </si>
  <si>
    <t>SASOLBURG</t>
  </si>
  <si>
    <t xml:space="preserve">COREL INSTRUMENTATION   CONTRO     </t>
  </si>
  <si>
    <t>joyce</t>
  </si>
  <si>
    <t xml:space="preserve">SKYNET PORT ELIZABETH              </t>
  </si>
  <si>
    <t>RD</t>
  </si>
  <si>
    <t>ALLAN BOSCH TO COLLECT</t>
  </si>
  <si>
    <t>ALLAN BOSCH</t>
  </si>
  <si>
    <t>allan</t>
  </si>
  <si>
    <t>RD2</t>
  </si>
  <si>
    <t>navin</t>
  </si>
  <si>
    <t xml:space="preserve">THE BIG FOOD CO                    </t>
  </si>
  <si>
    <t>Abram</t>
  </si>
  <si>
    <t>EAST</t>
  </si>
  <si>
    <t>EAST LONDON</t>
  </si>
  <si>
    <t xml:space="preserve">NESTLE SOUTH AFRICA (PTY) L.T.     </t>
  </si>
  <si>
    <t>siyabonga</t>
  </si>
  <si>
    <t>POD received from cell 0834172191 M</t>
  </si>
  <si>
    <t>abram</t>
  </si>
  <si>
    <t>MOFFAT</t>
  </si>
  <si>
    <t>POD received from cell 0634787633 M</t>
  </si>
  <si>
    <t>thandekka</t>
  </si>
  <si>
    <t xml:space="preserve">UNILEVER SOUTH AFRICA (PTY) LT     </t>
  </si>
  <si>
    <t>RECEVING   STORE</t>
  </si>
  <si>
    <t>nomthandazo</t>
  </si>
  <si>
    <t>POD received from cell 0637872832 M</t>
  </si>
  <si>
    <t xml:space="preserve">RCL FOODCORP (PTY) LTD             </t>
  </si>
  <si>
    <t>GENI</t>
  </si>
  <si>
    <t>MICHAEL</t>
  </si>
  <si>
    <t>PRETO</t>
  </si>
  <si>
    <t>PRETORIA</t>
  </si>
  <si>
    <t xml:space="preserve">NEOPAK                             </t>
  </si>
  <si>
    <t>Tlou</t>
  </si>
  <si>
    <t>Company Closed</t>
  </si>
  <si>
    <t>teb</t>
  </si>
  <si>
    <t>POD received from cell 0842332441 M</t>
  </si>
  <si>
    <t>musa</t>
  </si>
  <si>
    <t>PAARL</t>
  </si>
  <si>
    <t xml:space="preserve">MED ENGINEERING (PTY) LTD          </t>
  </si>
  <si>
    <t>Adriaan</t>
  </si>
  <si>
    <t>Outlying delivery location</t>
  </si>
  <si>
    <t>POD received from cell 073026080 M</t>
  </si>
  <si>
    <t xml:space="preserve">CLOVER SA (PTY) LTD                </t>
  </si>
  <si>
    <t>RECIEVING</t>
  </si>
  <si>
    <t>V POSTHUMUS</t>
  </si>
  <si>
    <t>JOHAN</t>
  </si>
  <si>
    <t>JOHANNESBURG</t>
  </si>
  <si>
    <t xml:space="preserve">DE BEERS GROUP SERVICES            </t>
  </si>
  <si>
    <t>HENNE</t>
  </si>
  <si>
    <t>HENNENMAN</t>
  </si>
  <si>
    <t xml:space="preserve">TIGER MILLING                      </t>
  </si>
  <si>
    <t>C Jordaan</t>
  </si>
  <si>
    <t>POD received from cell 0640460857 M</t>
  </si>
  <si>
    <t xml:space="preserve">UNILEVER SA PTY LTD                </t>
  </si>
  <si>
    <t>MTU</t>
  </si>
  <si>
    <t xml:space="preserve">RCL FOODS CONSUMER (PTY)LTD        </t>
  </si>
  <si>
    <t>nqoba</t>
  </si>
  <si>
    <t xml:space="preserve">JENDAMARK AUTOMATION PTY LTD       </t>
  </si>
  <si>
    <t>j steyn</t>
  </si>
  <si>
    <t>lin</t>
  </si>
  <si>
    <t>LINDI</t>
  </si>
  <si>
    <t>taressa</t>
  </si>
  <si>
    <t>Missed cutoff</t>
  </si>
  <si>
    <t>jam</t>
  </si>
  <si>
    <t xml:space="preserve">BMG EAST LONDON                    </t>
  </si>
  <si>
    <t>Derek</t>
  </si>
  <si>
    <t>POD received from cell 0838920848 M</t>
  </si>
  <si>
    <t>ref to FES1162743833</t>
  </si>
  <si>
    <t>PJ MALAN</t>
  </si>
  <si>
    <t>vincent</t>
  </si>
  <si>
    <t xml:space="preserve">POLYOAK PACKAGING (PTY) LTD        </t>
  </si>
  <si>
    <t>VUYO</t>
  </si>
  <si>
    <t>POD received from cell 0845733114 M</t>
  </si>
  <si>
    <t>VERUL</t>
  </si>
  <si>
    <t>VERULAM</t>
  </si>
  <si>
    <t xml:space="preserve">TONGAAT HULETTS GROUP              </t>
  </si>
  <si>
    <t xml:space="preserve">Msizi                         </t>
  </si>
  <si>
    <t xml:space="preserve">PAK 2000 (PTY) LTD                 </t>
  </si>
  <si>
    <t>precious</t>
  </si>
  <si>
    <t>tracey</t>
  </si>
  <si>
    <t>zuma</t>
  </si>
  <si>
    <t xml:space="preserve">kallie                        </t>
  </si>
  <si>
    <t xml:space="preserve">POD received from cell 0653615686 M     </t>
  </si>
  <si>
    <t xml:space="preserve">UNILEVER SA                        </t>
  </si>
  <si>
    <t>rts rfes1162744173</t>
  </si>
  <si>
    <t>Returned to sender on waybill number RFE</t>
  </si>
  <si>
    <t xml:space="preserve">CIM AUTOMATION                     </t>
  </si>
  <si>
    <t>MARINUS</t>
  </si>
  <si>
    <t xml:space="preserve">UNILEVER S.A (PTY)LTD              </t>
  </si>
  <si>
    <t>Sabelo</t>
  </si>
  <si>
    <t>DESPA</t>
  </si>
  <si>
    <t>DESPATCH</t>
  </si>
  <si>
    <t>m ferela</t>
  </si>
  <si>
    <t xml:space="preserve">FREDDY HIRCH   CO                  </t>
  </si>
  <si>
    <t>Cherlyn</t>
  </si>
  <si>
    <t xml:space="preserve">PREMIER CAPE TOWN WHEAT MILL       </t>
  </si>
  <si>
    <t>ACHMAT</t>
  </si>
  <si>
    <t xml:space="preserve">CHET CHEMICALS A DIV OF            </t>
  </si>
  <si>
    <t>Joel</t>
  </si>
  <si>
    <t>MR MICHAEL DIPPENAAR</t>
  </si>
  <si>
    <t>dhambuleni</t>
  </si>
  <si>
    <t xml:space="preserve">ACK SOLUTIONS (PTY) LTD            </t>
  </si>
  <si>
    <t>Lenard</t>
  </si>
  <si>
    <t>nico</t>
  </si>
  <si>
    <t xml:space="preserve">ACEPAK PACKAGING SYSTEMS           </t>
  </si>
  <si>
    <t>ishmael</t>
  </si>
  <si>
    <t>POD received from cell 0764958693 M</t>
  </si>
  <si>
    <t>HUMAN</t>
  </si>
  <si>
    <t>HUMANSDORP</t>
  </si>
  <si>
    <t xml:space="preserve">WOODLANDS RESOURCE RECOVERY PL     </t>
  </si>
  <si>
    <t>Mikayla</t>
  </si>
  <si>
    <t>MIKAYLE</t>
  </si>
  <si>
    <t xml:space="preserve">PHARMACARE LTD T A ASPEN           </t>
  </si>
  <si>
    <t xml:space="preserve">hyron                         </t>
  </si>
  <si>
    <t>lep</t>
  </si>
  <si>
    <t xml:space="preserve">POD received from cell 0848977566 M     </t>
  </si>
  <si>
    <t xml:space="preserve">FESTO PLZ                          </t>
  </si>
  <si>
    <t xml:space="preserve">BEVCAN A DIV OF NAMPAK PRODUCT     </t>
  </si>
  <si>
    <t>VUS</t>
  </si>
  <si>
    <t>thandeka</t>
  </si>
  <si>
    <t xml:space="preserve">KELPACK MANUFACTURING (PTY)LTD     </t>
  </si>
  <si>
    <t>RECEIVING.</t>
  </si>
  <si>
    <t>spha</t>
  </si>
  <si>
    <t xml:space="preserve">DIYA VALVES INTERNATIONALS CC      </t>
  </si>
  <si>
    <t>niren</t>
  </si>
  <si>
    <t>Elias</t>
  </si>
  <si>
    <t>VANDE</t>
  </si>
  <si>
    <t>VANDERBIJLPARK</t>
  </si>
  <si>
    <t xml:space="preserve">MITTAL STEEL SOUTH AFRICA LIMI     </t>
  </si>
  <si>
    <t>COLLIN - CENTRAL RECEIVING</t>
  </si>
  <si>
    <t>BOX</t>
  </si>
  <si>
    <t>casper</t>
  </si>
  <si>
    <t xml:space="preserve">SIME DARBY HUDSON   KINGHT         </t>
  </si>
  <si>
    <t>s singh</t>
  </si>
  <si>
    <t>ESTCO</t>
  </si>
  <si>
    <t>ESTCOURT</t>
  </si>
  <si>
    <t xml:space="preserve">NESTLE SOUTH AFRICA PTY LTD        </t>
  </si>
  <si>
    <t>naicker</t>
  </si>
  <si>
    <t xml:space="preserve">PAARL PNEUMATICS CC                </t>
  </si>
  <si>
    <t>Leon</t>
  </si>
  <si>
    <t xml:space="preserve">TRUDA SNACKS CAPE CC               </t>
  </si>
  <si>
    <t>clive</t>
  </si>
  <si>
    <t>illeg</t>
  </si>
  <si>
    <t>GERMI</t>
  </si>
  <si>
    <t>GERMISTON</t>
  </si>
  <si>
    <t xml:space="preserve">JOHNSON MATTHEY PTY LTD            </t>
  </si>
  <si>
    <t>ref to FES1162743394</t>
  </si>
  <si>
    <t xml:space="preserve">AMS BEARING CC                     </t>
  </si>
  <si>
    <t>ILLEG</t>
  </si>
  <si>
    <t>DELMA</t>
  </si>
  <si>
    <t>DELMAS</t>
  </si>
  <si>
    <t xml:space="preserve">MCCAIN FOOD SOUTH AFRICA PTY L     </t>
  </si>
  <si>
    <t>paris</t>
  </si>
  <si>
    <t>FRAGILE OIL</t>
  </si>
  <si>
    <t>RDX</t>
  </si>
  <si>
    <t>V STOLY</t>
  </si>
  <si>
    <t>PARCEL PARCEL</t>
  </si>
  <si>
    <t>RD4</t>
  </si>
  <si>
    <t xml:space="preserve">ALBANY BAKERY A DIVISION OF TI     </t>
  </si>
  <si>
    <t>lillyy</t>
  </si>
  <si>
    <t>VEREE</t>
  </si>
  <si>
    <t>VEREENIGING</t>
  </si>
  <si>
    <t xml:space="preserve">MAIN STREET 1310(PTY) L.T.D        </t>
  </si>
  <si>
    <t xml:space="preserve">HACKMACK ENTERPRISES               </t>
  </si>
  <si>
    <t>PETER</t>
  </si>
  <si>
    <t xml:space="preserve">PREMIER FMCG                       </t>
  </si>
  <si>
    <t>Belinda</t>
  </si>
  <si>
    <t>POD received from cell 0738698647 M</t>
  </si>
  <si>
    <t>Parcel</t>
  </si>
  <si>
    <t>RECSEND PARCEL</t>
  </si>
  <si>
    <t>Kotie Langenhoven</t>
  </si>
  <si>
    <t xml:space="preserve">Ronnie                        </t>
  </si>
  <si>
    <t xml:space="preserve">POD received from cell 0834172191 M     </t>
  </si>
  <si>
    <t>James</t>
  </si>
  <si>
    <t>RE BSEND PARCEL</t>
  </si>
  <si>
    <t>r009935712250</t>
  </si>
  <si>
    <t>Returned to sender on waybill number R00</t>
  </si>
  <si>
    <t xml:space="preserve">KIMBERLEY-CLARK S.A                </t>
  </si>
  <si>
    <t xml:space="preserve">mapipa                        </t>
  </si>
  <si>
    <t xml:space="preserve">ROHAN                              </t>
  </si>
  <si>
    <t>ROHAN</t>
  </si>
  <si>
    <t>RANDB</t>
  </si>
  <si>
    <t>RANDBURG</t>
  </si>
  <si>
    <t xml:space="preserve">UNIVERSAL AUTOMATED SYSTEMS PT     </t>
  </si>
  <si>
    <t>A DANIELLS</t>
  </si>
  <si>
    <t xml:space="preserve">TONGAAT HULLET STARCH              </t>
  </si>
  <si>
    <t>samuel</t>
  </si>
  <si>
    <t xml:space="preserve">TONGAAT HULLETTS GROUP LTD         </t>
  </si>
  <si>
    <t>SHARANDY</t>
  </si>
  <si>
    <t xml:space="preserve">MAGNACORP 397 CC TA CONCEPT        </t>
  </si>
  <si>
    <t>neil</t>
  </si>
  <si>
    <t>ROODE</t>
  </si>
  <si>
    <t>ROODEPOORT</t>
  </si>
  <si>
    <t xml:space="preserve">NUMATICS SA                        </t>
  </si>
  <si>
    <t>wayne</t>
  </si>
  <si>
    <t xml:space="preserve">GRAMEC PTY LTD                     </t>
  </si>
  <si>
    <t>RECEIVER</t>
  </si>
  <si>
    <t>KRUGE</t>
  </si>
  <si>
    <t>KRUGERSDORP</t>
  </si>
  <si>
    <t xml:space="preserve">SCHULLPAK GAUTENG (PTY)LTD         </t>
  </si>
  <si>
    <t>ref to FES1162743941</t>
  </si>
  <si>
    <t xml:space="preserve">NEOPAK PTY LTD                     </t>
  </si>
  <si>
    <t>Thabo</t>
  </si>
  <si>
    <t>POD received from cell 0748428543 M</t>
  </si>
  <si>
    <t>kuben</t>
  </si>
  <si>
    <t>POD received from cell 0814795132 M</t>
  </si>
  <si>
    <t xml:space="preserve">DIVFOOD   NAMPAK                   </t>
  </si>
  <si>
    <t>Sean</t>
  </si>
  <si>
    <t xml:space="preserve">CIRCUIT BREAKER INDUSTRIES PTY     </t>
  </si>
  <si>
    <t>ref to FES1162743714</t>
  </si>
  <si>
    <t xml:space="preserve">CULINARY A DIV OF TIGER CONSUM     </t>
  </si>
  <si>
    <t>Vincent</t>
  </si>
  <si>
    <t>POD received from cell 0794663323 M</t>
  </si>
  <si>
    <t xml:space="preserve">ANDRITZ DELCOR (PTY)LTD            </t>
  </si>
  <si>
    <t>RE SEND PARCEL</t>
  </si>
  <si>
    <t>BERNADINE</t>
  </si>
  <si>
    <t>cathy</t>
  </si>
  <si>
    <t xml:space="preserve">Merin                         </t>
  </si>
  <si>
    <t>ALBE2</t>
  </si>
  <si>
    <t>ALBERTON</t>
  </si>
  <si>
    <t xml:space="preserve">UMOYA AUTOMATION CC                </t>
  </si>
  <si>
    <t>mkhuleli</t>
  </si>
  <si>
    <t xml:space="preserve">TRACEY                        </t>
  </si>
  <si>
    <t>nerika</t>
  </si>
  <si>
    <t>J SINGH</t>
  </si>
  <si>
    <t>WHITE</t>
  </si>
  <si>
    <t>WHITE RIVER</t>
  </si>
  <si>
    <t xml:space="preserve">INGWE AUTOMATION SALES             </t>
  </si>
  <si>
    <t>Hanne</t>
  </si>
  <si>
    <t>POD received from cell 0820924588 M</t>
  </si>
  <si>
    <t>NTETHELELO</t>
  </si>
  <si>
    <t>HAMMA</t>
  </si>
  <si>
    <t>HAMMANSKRAAL</t>
  </si>
  <si>
    <t>LUCAS</t>
  </si>
  <si>
    <t>abbas</t>
  </si>
  <si>
    <t>HEID2</t>
  </si>
  <si>
    <t>HEIDELBERG (TVL)</t>
  </si>
  <si>
    <t xml:space="preserve">KARAN BEEF FEEDLOT                 </t>
  </si>
  <si>
    <t>marius</t>
  </si>
  <si>
    <t>POD received from cell 0833788669 M</t>
  </si>
  <si>
    <t xml:space="preserve">DETNET SA                          </t>
  </si>
  <si>
    <t>ref to FES116274662</t>
  </si>
  <si>
    <t>mxolisi</t>
  </si>
  <si>
    <t>Lucas</t>
  </si>
  <si>
    <t>POD received from cell 0726813383 M</t>
  </si>
  <si>
    <t xml:space="preserve">ANDRITZ DELKOR PTY LTD             </t>
  </si>
  <si>
    <t>JABU MHULA</t>
  </si>
  <si>
    <t>ref to FES1162743890</t>
  </si>
  <si>
    <t>MEMORY OOSTHUIZEN</t>
  </si>
  <si>
    <t>cindi</t>
  </si>
  <si>
    <t xml:space="preserve">FAIR CAPE DAIRIES (PTY) LTD        </t>
  </si>
  <si>
    <t>neville</t>
  </si>
  <si>
    <t>TONGA</t>
  </si>
  <si>
    <t>TONGAAT</t>
  </si>
  <si>
    <t xml:space="preserve">HP HOSE FITTING SPECIALIST Cc      </t>
  </si>
  <si>
    <t>mark</t>
  </si>
  <si>
    <t>karen</t>
  </si>
  <si>
    <t xml:space="preserve">CIM AUTOMATION (PTY)LTD            </t>
  </si>
  <si>
    <t>charlotte</t>
  </si>
  <si>
    <t xml:space="preserve">PIONEER FOOD PTY LTD               </t>
  </si>
  <si>
    <t>chenta</t>
  </si>
  <si>
    <t>POD received from cell 0768934183 M</t>
  </si>
  <si>
    <t>Siphokazi</t>
  </si>
  <si>
    <t xml:space="preserve">KELLOGGS CO OF SA                  </t>
  </si>
  <si>
    <t>Brian</t>
  </si>
  <si>
    <t xml:space="preserve">KATLA FOOD TRADING                 </t>
  </si>
  <si>
    <t>coenraad</t>
  </si>
  <si>
    <t>POD received from cell 0738228265 M</t>
  </si>
  <si>
    <t xml:space="preserve">SIQALO FOODS (PTY)LTD              </t>
  </si>
  <si>
    <t>sipho</t>
  </si>
  <si>
    <t xml:space="preserve">POLYOAK PACKAGING PTY LTD          </t>
  </si>
  <si>
    <t>thabani</t>
  </si>
  <si>
    <t xml:space="preserve">MARCOM PLASTICS CC                 </t>
  </si>
  <si>
    <t>THULANI</t>
  </si>
  <si>
    <t xml:space="preserve">LION MATCH PRODUCTS                </t>
  </si>
  <si>
    <t>ASHLEY</t>
  </si>
  <si>
    <t xml:space="preserve">BEVCAN                             </t>
  </si>
  <si>
    <t>Katlego</t>
  </si>
  <si>
    <t xml:space="preserve">RCL FOODS SUGAR   MILLING          </t>
  </si>
  <si>
    <t>laureta</t>
  </si>
  <si>
    <t xml:space="preserve">RICE   PASTA A DIV OF              </t>
  </si>
  <si>
    <t>Lucy</t>
  </si>
  <si>
    <t xml:space="preserve">CLOVER SA (PTY)LTD                 </t>
  </si>
  <si>
    <t xml:space="preserve">RCL FOODS CONSUMER                 </t>
  </si>
  <si>
    <t>joey</t>
  </si>
  <si>
    <t>SHIP AS PER TONY</t>
  </si>
  <si>
    <t>RD1</t>
  </si>
  <si>
    <t xml:space="preserve">RCL FOODS CONSUMER PTY             </t>
  </si>
  <si>
    <t>R BOOYSEN</t>
  </si>
  <si>
    <t xml:space="preserve">COMPTON PARCKAGING                 </t>
  </si>
  <si>
    <t>annika</t>
  </si>
  <si>
    <t>kevin sherwin</t>
  </si>
  <si>
    <t>E BOOYSEN</t>
  </si>
  <si>
    <t xml:space="preserve">NATURES GARDEN                     </t>
  </si>
  <si>
    <t>penelope</t>
  </si>
  <si>
    <t xml:space="preserve">MCCAIN FOODS SA PTY LTD            </t>
  </si>
  <si>
    <t>Jeremiah</t>
  </si>
  <si>
    <t>NIGEL</t>
  </si>
  <si>
    <t xml:space="preserve">CONSOL GLASS                       </t>
  </si>
  <si>
    <t>Vangile</t>
  </si>
  <si>
    <t>DANRE</t>
  </si>
  <si>
    <t xml:space="preserve">ADCOCK INGRAM CRITICAL CARE PT     </t>
  </si>
  <si>
    <t>Victor</t>
  </si>
  <si>
    <t xml:space="preserve">PREMIER FOODS (PTY) LTD            </t>
  </si>
  <si>
    <t>JANNIE</t>
  </si>
  <si>
    <t>stamp</t>
  </si>
  <si>
    <t>POD received from cell 0621038907 M</t>
  </si>
  <si>
    <t>GEORG</t>
  </si>
  <si>
    <t>GEORGE</t>
  </si>
  <si>
    <t xml:space="preserve">SANMIK AGENCIES CC                 </t>
  </si>
  <si>
    <t>THEO</t>
  </si>
  <si>
    <t xml:space="preserve">FOXOLUTION SYSTEMS ENG CC          </t>
  </si>
  <si>
    <t>Darlington</t>
  </si>
  <si>
    <t>POD received from cell 0638501267 M</t>
  </si>
  <si>
    <t>RUDI</t>
  </si>
  <si>
    <t>seb</t>
  </si>
  <si>
    <t>qondi</t>
  </si>
  <si>
    <t>POD received from cell 0827418949 M</t>
  </si>
  <si>
    <t>TracEY</t>
  </si>
  <si>
    <t>POD received from cell 0738058187 M</t>
  </si>
  <si>
    <t xml:space="preserve">FILMATIC PACKAGING SYSTEM (PTY     </t>
  </si>
  <si>
    <t>Patrick</t>
  </si>
  <si>
    <t>ngf</t>
  </si>
  <si>
    <t>sinethemba</t>
  </si>
  <si>
    <t>Kotie</t>
  </si>
  <si>
    <t>POD received from cell 0731643511 M</t>
  </si>
  <si>
    <t xml:space="preserve">VANNPAX (PTY)LTD                   </t>
  </si>
  <si>
    <t>Johan</t>
  </si>
  <si>
    <t>DEREK</t>
  </si>
  <si>
    <t xml:space="preserve">BMG New Germany                    </t>
  </si>
  <si>
    <t>BLAKE HASELL</t>
  </si>
  <si>
    <t>VRED3</t>
  </si>
  <si>
    <t>VREDENBURG</t>
  </si>
  <si>
    <t xml:space="preserve">BEARINGS DISTRIBUTORS WESKUS       </t>
  </si>
  <si>
    <t>CHRISTO</t>
  </si>
  <si>
    <t xml:space="preserve">CLIFFORD MACHINES   TECHNOLOGY     </t>
  </si>
  <si>
    <t>craig</t>
  </si>
  <si>
    <t xml:space="preserve">INTAKA TECH (PTY)LTD               </t>
  </si>
  <si>
    <t>Neevesh</t>
  </si>
  <si>
    <t>HEILB</t>
  </si>
  <si>
    <t>HEILBRON</t>
  </si>
  <si>
    <t xml:space="preserve">CLOVER S.A                         </t>
  </si>
  <si>
    <t xml:space="preserve">GEORGE                        </t>
  </si>
  <si>
    <t xml:space="preserve">POD received from cell 0731643511 M     </t>
  </si>
  <si>
    <t xml:space="preserve">BRANDLINE PACKAGING (PTY)LTD       </t>
  </si>
  <si>
    <t>johana</t>
  </si>
  <si>
    <t>Ronnie</t>
  </si>
  <si>
    <t xml:space="preserve">TONGAAT HULETTS GROUP LIMITED      </t>
  </si>
  <si>
    <t>Msizi</t>
  </si>
  <si>
    <t>POD received from cell 0732603055 M</t>
  </si>
  <si>
    <t xml:space="preserve">FOODCORP PTY LTD MILLING           </t>
  </si>
  <si>
    <t>willie</t>
  </si>
  <si>
    <t xml:space="preserve">PARMALAT SA (PTY) LTD              </t>
  </si>
  <si>
    <t>Rushay</t>
  </si>
  <si>
    <t>Flyer PARCEL</t>
  </si>
  <si>
    <t xml:space="preserve">SKYNET SA                          </t>
  </si>
  <si>
    <t xml:space="preserve">FESTO                              </t>
  </si>
  <si>
    <t>THABANG</t>
  </si>
  <si>
    <t>VELI</t>
  </si>
  <si>
    <t>RDL</t>
  </si>
  <si>
    <t xml:space="preserve">TRUDA SNACKS                       </t>
  </si>
  <si>
    <t>chezaa</t>
  </si>
  <si>
    <t xml:space="preserve">MAINSTREET 1310                    </t>
  </si>
  <si>
    <t>Clement</t>
  </si>
  <si>
    <t>CHARLES</t>
  </si>
  <si>
    <t>TRACEY</t>
  </si>
  <si>
    <t xml:space="preserve">zamokuhle security            </t>
  </si>
  <si>
    <t xml:space="preserve">POD received from cell 0797318730 M     </t>
  </si>
  <si>
    <t xml:space="preserve">GENERAL PNEUMATICS NATAL PTY L     </t>
  </si>
  <si>
    <t>dave</t>
  </si>
  <si>
    <t xml:space="preserve">PARMALAT (PTY) LTD                 </t>
  </si>
  <si>
    <t>b Petersen</t>
  </si>
  <si>
    <t xml:space="preserve">dhambu                        </t>
  </si>
  <si>
    <t xml:space="preserve">POD received from cell 0744435413 M     </t>
  </si>
  <si>
    <t xml:space="preserve">BALLENA TRADING 31 PTY LTD         </t>
  </si>
  <si>
    <t>RISHAL RAMKISSORE</t>
  </si>
  <si>
    <t>Prince</t>
  </si>
  <si>
    <t>BENON</t>
  </si>
  <si>
    <t>BENONI</t>
  </si>
  <si>
    <t xml:space="preserve">AVION EAST RAND PTY LTD            </t>
  </si>
  <si>
    <t>Richard</t>
  </si>
  <si>
    <t>jvd</t>
  </si>
  <si>
    <t>victor</t>
  </si>
  <si>
    <t>joseph</t>
  </si>
  <si>
    <t>moses</t>
  </si>
  <si>
    <t>WESLEY</t>
  </si>
  <si>
    <t xml:space="preserve">AMKA PRODUCTS                      </t>
  </si>
  <si>
    <t>SHAL</t>
  </si>
  <si>
    <t xml:space="preserve">LEANBIZ CONSULTING CC              </t>
  </si>
  <si>
    <t>Salim</t>
  </si>
  <si>
    <t>POD received from cell 0725230163 M</t>
  </si>
  <si>
    <t>p nel</t>
  </si>
  <si>
    <t>Eugene</t>
  </si>
  <si>
    <t>super</t>
  </si>
  <si>
    <t>Abbey</t>
  </si>
  <si>
    <t xml:space="preserve">ALBANY BAKERIES                    </t>
  </si>
  <si>
    <t>ANDRIES WILTZ</t>
  </si>
  <si>
    <t>HOPE</t>
  </si>
  <si>
    <t xml:space="preserve">ADCOCK INGRAM HEALTHCARE           </t>
  </si>
  <si>
    <t>Theo</t>
  </si>
  <si>
    <t>r geduld</t>
  </si>
  <si>
    <t>R Singh</t>
  </si>
  <si>
    <t>POD received from cell 0797318730 M</t>
  </si>
  <si>
    <t>Carin Van Niekerk</t>
  </si>
  <si>
    <t xml:space="preserve">Dlamini                       </t>
  </si>
  <si>
    <t>san</t>
  </si>
  <si>
    <t xml:space="preserve">POD received from cell 0717313860 M     </t>
  </si>
  <si>
    <t xml:space="preserve">L OREAL MANUFACTURING (PTY)LTD     </t>
  </si>
  <si>
    <t>busi</t>
  </si>
  <si>
    <t>j tomsett</t>
  </si>
  <si>
    <t>Gary</t>
  </si>
  <si>
    <t>Thando</t>
  </si>
  <si>
    <t xml:space="preserve">MEGA-PAK                           </t>
  </si>
  <si>
    <t>malungisa</t>
  </si>
  <si>
    <t>POD received from cell 0718816995 M</t>
  </si>
  <si>
    <t>K SHERRUIN</t>
  </si>
  <si>
    <t xml:space="preserve">AUTOLIV SA                         </t>
  </si>
  <si>
    <t>REF TO FES1162743754</t>
  </si>
  <si>
    <t>HANLIE</t>
  </si>
  <si>
    <t>REF TO FES1162743849</t>
  </si>
  <si>
    <t>Thimothy</t>
  </si>
  <si>
    <t>Driver late</t>
  </si>
  <si>
    <t xml:space="preserve">TOPLINE TOOLING (PTY) LTD          </t>
  </si>
  <si>
    <t xml:space="preserve">COCA COLA BEVERAGES S.A(PTY)LT     </t>
  </si>
  <si>
    <t>GLADYS</t>
  </si>
  <si>
    <t>ESTHER</t>
  </si>
  <si>
    <t>zameka</t>
  </si>
  <si>
    <t>MIDD2</t>
  </si>
  <si>
    <t>MIDDELBURG (Mpumalanga)</t>
  </si>
  <si>
    <t xml:space="preserve">BEARING MAN GROUP (PTY)LTD         </t>
  </si>
  <si>
    <t>Michant</t>
  </si>
  <si>
    <t>POD received from cell 0786307963 M</t>
  </si>
  <si>
    <t>SEND AS PER TONY</t>
  </si>
  <si>
    <t>PALLET</t>
  </si>
  <si>
    <t xml:space="preserve">dhambuleni                    </t>
  </si>
  <si>
    <t xml:space="preserve">v posthumous                  </t>
  </si>
  <si>
    <t xml:space="preserve">HARVARD PROJECTS                   </t>
  </si>
  <si>
    <t xml:space="preserve">carl                          </t>
  </si>
  <si>
    <t>Hold for Collection</t>
  </si>
  <si>
    <t xml:space="preserve">COCA COLA BEVERAGES SA             </t>
  </si>
  <si>
    <t>Mpho</t>
  </si>
  <si>
    <t>reshib</t>
  </si>
  <si>
    <t>carlien</t>
  </si>
  <si>
    <t>lucky</t>
  </si>
  <si>
    <t xml:space="preserve">RAINBOW FARMS PTY LTD P2           </t>
  </si>
  <si>
    <t>ENGINEERING STORES</t>
  </si>
  <si>
    <t xml:space="preserve">TIGER CONSUMER BRANDS              </t>
  </si>
  <si>
    <t>D DOUGLAS</t>
  </si>
  <si>
    <t>Arthur</t>
  </si>
  <si>
    <t>m kidgell</t>
  </si>
  <si>
    <t xml:space="preserve">TIGER BRANDS SNACKS   TREATS       </t>
  </si>
  <si>
    <t>Engineering Stores</t>
  </si>
  <si>
    <t xml:space="preserve">PREMIER FMCG (PTY)LTD              </t>
  </si>
  <si>
    <t>Raphael</t>
  </si>
  <si>
    <t xml:space="preserve">COCA COLA SHANDUKA BEVERAGES       </t>
  </si>
  <si>
    <t xml:space="preserve">BMG                                </t>
  </si>
  <si>
    <t>GAWIE MYBURGH</t>
  </si>
  <si>
    <t>Stefanie</t>
  </si>
  <si>
    <t>awelani</t>
  </si>
  <si>
    <t>ISIPI</t>
  </si>
  <si>
    <t>ISIPINGO</t>
  </si>
  <si>
    <t xml:space="preserve">THE SIMBA GROUP                    </t>
  </si>
  <si>
    <t>DELIVER BY TOMORROW 10 04 2020</t>
  </si>
  <si>
    <t>yashaar</t>
  </si>
  <si>
    <t xml:space="preserve">GOLDFEIL LOGISTICS                 </t>
  </si>
  <si>
    <t>setisha</t>
  </si>
  <si>
    <t>way</t>
  </si>
  <si>
    <t>POD received from cell 0734787843 M</t>
  </si>
  <si>
    <t>GREYT</t>
  </si>
  <si>
    <t>GREYTOWN</t>
  </si>
  <si>
    <t xml:space="preserve">UCL COMPANY                        </t>
  </si>
  <si>
    <t>b burnell</t>
  </si>
  <si>
    <t xml:space="preserve">nanto                         </t>
  </si>
  <si>
    <t xml:space="preserve">Thembelane                    </t>
  </si>
  <si>
    <t xml:space="preserve">POD received from cell 0636703508 M     </t>
  </si>
  <si>
    <t>grant</t>
  </si>
  <si>
    <t xml:space="preserve">COCA -COLA BEVERAGES SOUTH AFR     </t>
  </si>
  <si>
    <t xml:space="preserve">princess                      </t>
  </si>
  <si>
    <t xml:space="preserve">POD received from cell 0671334453 M     </t>
  </si>
  <si>
    <t xml:space="preserve">COCA COLA  BEVERANGE S.A           </t>
  </si>
  <si>
    <t>rhyno</t>
  </si>
  <si>
    <t>thulani</t>
  </si>
  <si>
    <t>Kolisi</t>
  </si>
  <si>
    <t xml:space="preserve">IPACKCHEM PTY LTD                  </t>
  </si>
  <si>
    <t>faith</t>
  </si>
  <si>
    <t>yigeshan</t>
  </si>
  <si>
    <t>POD received from cell 0625063292 M</t>
  </si>
  <si>
    <t xml:space="preserve">SUNBAKE BENONI                     </t>
  </si>
  <si>
    <t>nelson</t>
  </si>
  <si>
    <t>ntethelelo</t>
  </si>
  <si>
    <t>patrick</t>
  </si>
  <si>
    <t xml:space="preserve">NR EXTREME ENGINEERING AND PIP     </t>
  </si>
  <si>
    <t>Chris</t>
  </si>
  <si>
    <t xml:space="preserve">boniswa                       </t>
  </si>
  <si>
    <t xml:space="preserve">POD received from cell 0768934183 M     </t>
  </si>
  <si>
    <t xml:space="preserve">RHODES FOOD GROUP                  </t>
  </si>
  <si>
    <t>tshepang</t>
  </si>
  <si>
    <t xml:space="preserve">tracey                        </t>
  </si>
  <si>
    <t>keith</t>
  </si>
  <si>
    <t>KAMESHAN</t>
  </si>
  <si>
    <t>thj</t>
  </si>
  <si>
    <t xml:space="preserve">DALEIN AGRI PLAN PTY LTD           </t>
  </si>
  <si>
    <t>EUGENE</t>
  </si>
  <si>
    <t xml:space="preserve">COMPRESSED AIR EQUIPMENT           </t>
  </si>
  <si>
    <t>SECURITY (BONNY)</t>
  </si>
  <si>
    <t>freedom</t>
  </si>
  <si>
    <t>sharon</t>
  </si>
  <si>
    <t>ABRAM MACHAKA</t>
  </si>
  <si>
    <t>JANETTA</t>
  </si>
  <si>
    <t>Vinesn</t>
  </si>
  <si>
    <t>SSH</t>
  </si>
  <si>
    <t xml:space="preserve">CCBSA HEIDELBERG VALPRE            </t>
  </si>
  <si>
    <t>Nyeleti</t>
  </si>
  <si>
    <t xml:space="preserve">patrick                       </t>
  </si>
  <si>
    <t>david</t>
  </si>
  <si>
    <t>thandi</t>
  </si>
  <si>
    <t>POD received from cell 0744435413 M</t>
  </si>
  <si>
    <t>shaun</t>
  </si>
  <si>
    <t>smanga</t>
  </si>
  <si>
    <t xml:space="preserve">TIGER CONSUMER BRANDS LTD          </t>
  </si>
  <si>
    <t>a stoltz</t>
  </si>
  <si>
    <t>JONATHAN</t>
  </si>
  <si>
    <t>Tshikaya</t>
  </si>
  <si>
    <t>rd1</t>
  </si>
  <si>
    <t>riaan</t>
  </si>
  <si>
    <t>Leani</t>
  </si>
  <si>
    <t>Mary  Ann</t>
  </si>
  <si>
    <t>ben</t>
  </si>
  <si>
    <t xml:space="preserve">zamaluhle security            </t>
  </si>
  <si>
    <t>Flyer PARCEL PARCEL</t>
  </si>
  <si>
    <t>nikesh</t>
  </si>
  <si>
    <t>SHAN</t>
  </si>
  <si>
    <t>jamie</t>
  </si>
  <si>
    <t>M L</t>
  </si>
  <si>
    <t xml:space="preserve">PREMIER BAKERY                     </t>
  </si>
  <si>
    <t>nokwanda</t>
  </si>
  <si>
    <t>nicholas</t>
  </si>
  <si>
    <t>elleg</t>
  </si>
  <si>
    <t xml:space="preserve">MYKAS PLASTICS CC                  </t>
  </si>
  <si>
    <t>Summaya Khan</t>
  </si>
  <si>
    <t>POD received from cell 0815339137 M</t>
  </si>
  <si>
    <t>wesley</t>
  </si>
  <si>
    <t>shah</t>
  </si>
  <si>
    <t>KAMEGAN</t>
  </si>
  <si>
    <t>melvin</t>
  </si>
  <si>
    <t>kamegaN</t>
  </si>
  <si>
    <t xml:space="preserve">BLUE SKIES                         </t>
  </si>
  <si>
    <t>yvonne</t>
  </si>
  <si>
    <t xml:space="preserve">HULAMIN OPERATIONS PTY LTD         </t>
  </si>
  <si>
    <t>jay</t>
  </si>
  <si>
    <t>ELIAS</t>
  </si>
  <si>
    <t xml:space="preserve">FILKRAFT ( PTY) LTD                </t>
  </si>
  <si>
    <t>Wernich</t>
  </si>
  <si>
    <t xml:space="preserve">CT INVENT PTY LTD                  </t>
  </si>
  <si>
    <t>CT INVENT PTY LTD</t>
  </si>
  <si>
    <t xml:space="preserve">KIM TAYLOR ENTEPRISE               </t>
  </si>
  <si>
    <t xml:space="preserve">zakhele                       </t>
  </si>
  <si>
    <t xml:space="preserve">THE SIMBA GROUP PTY LTD            </t>
  </si>
  <si>
    <t>ABRAM AT ENGINEERING STORES</t>
  </si>
  <si>
    <t xml:space="preserve">HIGH FORCE HYDRAULIC PNEUMATIC     </t>
  </si>
  <si>
    <t>ROBBY</t>
  </si>
  <si>
    <t xml:space="preserve">EUGENE                        </t>
  </si>
  <si>
    <t>Cecilia</t>
  </si>
  <si>
    <t xml:space="preserve">OPEN DOOR TRADERS CC               </t>
  </si>
  <si>
    <t>zahid</t>
  </si>
  <si>
    <t>Hazel</t>
  </si>
  <si>
    <t>GRABO</t>
  </si>
  <si>
    <t>GRABOUW</t>
  </si>
  <si>
    <t xml:space="preserve">APPLETISER sa (PTY) LTD            </t>
  </si>
  <si>
    <t>ZETHU</t>
  </si>
  <si>
    <t>POD received from cell 0730757284 M</t>
  </si>
  <si>
    <t>RD3</t>
  </si>
  <si>
    <t>Hannes</t>
  </si>
  <si>
    <t>POD received from cell 0677183488 M</t>
  </si>
  <si>
    <t xml:space="preserve">RCL FOODS                          </t>
  </si>
  <si>
    <t>MANAGER</t>
  </si>
  <si>
    <t>JAFTA</t>
  </si>
  <si>
    <t>bakker</t>
  </si>
  <si>
    <t xml:space="preserve">Thando                        </t>
  </si>
  <si>
    <t xml:space="preserve">POD received from cell 0746644640 M     </t>
  </si>
  <si>
    <t xml:space="preserve">BEVERA TECH                        </t>
  </si>
  <si>
    <t>Werner</t>
  </si>
  <si>
    <t>Henry</t>
  </si>
  <si>
    <t xml:space="preserve">KSNACKS                            </t>
  </si>
  <si>
    <t>PIET</t>
  </si>
  <si>
    <t>A sinatl</t>
  </si>
  <si>
    <t>POD received from cell 0717313860 M</t>
  </si>
  <si>
    <t xml:space="preserve">ILLOVO SUGAR LTD                   </t>
  </si>
  <si>
    <t>SIGNED</t>
  </si>
  <si>
    <t>Tracy</t>
  </si>
  <si>
    <t xml:space="preserve">DISTELL                            </t>
  </si>
  <si>
    <t>Returned to sender on waybill</t>
  </si>
  <si>
    <t>Client refused delivery</t>
  </si>
  <si>
    <t>Ervin</t>
  </si>
  <si>
    <t>mel</t>
  </si>
  <si>
    <t xml:space="preserve">AUTOMATION WORKS GAUTENG (PTY)     </t>
  </si>
  <si>
    <t>SENZENI</t>
  </si>
  <si>
    <t>NELSON</t>
  </si>
  <si>
    <t xml:space="preserve">UNILEVER SOUTH AFRICA PTY LTD      </t>
  </si>
  <si>
    <t>pravin</t>
  </si>
  <si>
    <t>vinesn</t>
  </si>
  <si>
    <t>CLURE PROJECTS CC</t>
  </si>
  <si>
    <t>POD received from cell 0836333439 M</t>
  </si>
  <si>
    <t>JOEY</t>
  </si>
  <si>
    <t xml:space="preserve">NEW PNEUMATICS DISTRIBUTORS        </t>
  </si>
  <si>
    <t>dashen</t>
  </si>
  <si>
    <t>jones</t>
  </si>
  <si>
    <t>theo</t>
  </si>
  <si>
    <t xml:space="preserve">PREMIER FMCG (PTY) LTD             </t>
  </si>
  <si>
    <t>pearl</t>
  </si>
  <si>
    <t>NESON</t>
  </si>
  <si>
    <t xml:space="preserve">Mike                          </t>
  </si>
  <si>
    <t>PARCEL PARCEL PARCEL</t>
  </si>
  <si>
    <t>SYSTEM</t>
  </si>
  <si>
    <t xml:space="preserve">AUTOMATION WORKS GAUTENG(PTY)      </t>
  </si>
  <si>
    <t>REVIEVING</t>
  </si>
  <si>
    <t>SWELL</t>
  </si>
  <si>
    <t>SWELLENDAM</t>
  </si>
  <si>
    <t xml:space="preserve">AUTOMATION WORKS CAPE PTY LTD      </t>
  </si>
  <si>
    <t>WYNAND</t>
  </si>
  <si>
    <t>DANONE SA PTY LTD</t>
  </si>
  <si>
    <t>rohan</t>
  </si>
  <si>
    <t xml:space="preserve">RESCUE TECHNOLOGY CC               </t>
  </si>
  <si>
    <t>STEWART</t>
  </si>
  <si>
    <t>S Rabie</t>
  </si>
  <si>
    <t>R Geduld</t>
  </si>
  <si>
    <t xml:space="preserve">Miranda                       </t>
  </si>
  <si>
    <t>LULAMA</t>
  </si>
  <si>
    <t>Stern</t>
  </si>
  <si>
    <t>FESTO PLZ J Steyn</t>
  </si>
  <si>
    <t>uat</t>
  </si>
  <si>
    <t>POD received from cell 0634406078 M</t>
  </si>
  <si>
    <t xml:space="preserve">MAIN STREET 1310 PTY LTD           </t>
  </si>
  <si>
    <t>BULELWA</t>
  </si>
  <si>
    <t xml:space="preserve">A.P.L. CARTONS (PTY) LTD           </t>
  </si>
  <si>
    <t>JOWILL</t>
  </si>
  <si>
    <t>STEL2</t>
  </si>
  <si>
    <t>STELLENBOSCH</t>
  </si>
  <si>
    <t xml:space="preserve">TF DESIGN (PTY) LTD                </t>
  </si>
  <si>
    <t>STORES</t>
  </si>
  <si>
    <t xml:space="preserve">DISTELL (PTY) LTD                  </t>
  </si>
  <si>
    <t>MLINDAZWE</t>
  </si>
  <si>
    <t>EDWINA CLOETE</t>
  </si>
  <si>
    <t>Xoli</t>
  </si>
  <si>
    <t>Nelson</t>
  </si>
  <si>
    <t>Tracey</t>
  </si>
  <si>
    <t>victer</t>
  </si>
  <si>
    <t>SENZENDI</t>
  </si>
  <si>
    <t xml:space="preserve">HARVARD PROJECT                    </t>
  </si>
  <si>
    <t>CALL CARL ON 072 151 7383</t>
  </si>
  <si>
    <t>CARL</t>
  </si>
  <si>
    <t>Carl</t>
  </si>
  <si>
    <t>vukani</t>
  </si>
  <si>
    <t>SIPHO</t>
  </si>
  <si>
    <t xml:space="preserve">BEARING   HYDRAULIC SPARES         </t>
  </si>
  <si>
    <t>Danie</t>
  </si>
  <si>
    <t xml:space="preserve">ALBANY BAKERY RANDFONTEIN          </t>
  </si>
  <si>
    <t>FEZEKA</t>
  </si>
  <si>
    <t>shane</t>
  </si>
  <si>
    <t xml:space="preserve">DIMENSION ENGINEERING SOLUTION     </t>
  </si>
  <si>
    <t>R SINGH</t>
  </si>
  <si>
    <t>yuka</t>
  </si>
  <si>
    <t>angelina</t>
  </si>
  <si>
    <t>Dulcoot</t>
  </si>
  <si>
    <t xml:space="preserve">NATIONAL PACKAGING SYSTEMS         </t>
  </si>
  <si>
    <t>siva</t>
  </si>
  <si>
    <t xml:space="preserve">BANDINI CHEESE PTY LTD             </t>
  </si>
  <si>
    <t xml:space="preserve">skynet                             </t>
  </si>
  <si>
    <t>ABRAM</t>
  </si>
  <si>
    <t>rdd</t>
  </si>
  <si>
    <t>UMKOM</t>
  </si>
  <si>
    <t>UMKOMAAS</t>
  </si>
  <si>
    <t xml:space="preserve">FONTANA MANUFACTURERS PTY LTD      </t>
  </si>
  <si>
    <t>ashay</t>
  </si>
  <si>
    <t>POD received from cell 0745473242 M</t>
  </si>
  <si>
    <t>marinus</t>
  </si>
  <si>
    <t>MOSSE</t>
  </si>
  <si>
    <t>MOSSEL BAY</t>
  </si>
  <si>
    <t xml:space="preserve">CSM BEARINGS   PNUEMATIC SUPPL     </t>
  </si>
  <si>
    <t>A Jacobs</t>
  </si>
  <si>
    <t xml:space="preserve">PRO PROJECT MACHINERY PTY LTD      </t>
  </si>
  <si>
    <t>JOHN</t>
  </si>
  <si>
    <t>njBuilo security</t>
  </si>
  <si>
    <t>KUBEN</t>
  </si>
  <si>
    <t>CHARLS</t>
  </si>
  <si>
    <t xml:space="preserve">NAMPAK CLOSURES                    </t>
  </si>
  <si>
    <t>lindani</t>
  </si>
  <si>
    <t>starn</t>
  </si>
  <si>
    <t xml:space="preserve">SPRING MEADOW DAIRY FARM (PTY)     </t>
  </si>
  <si>
    <t>nthuthuko</t>
  </si>
  <si>
    <t>BRYAN</t>
  </si>
  <si>
    <t xml:space="preserve">GAYATRI PAPER MILLS PTY LTD        </t>
  </si>
  <si>
    <t xml:space="preserve">bugifi                        </t>
  </si>
  <si>
    <t xml:space="preserve">POD received from cell 0748428543 M     </t>
  </si>
  <si>
    <t>GENT</t>
  </si>
  <si>
    <t xml:space="preserve">JOYCE                         </t>
  </si>
  <si>
    <t xml:space="preserve">KRONES SA PTY LTD                  </t>
  </si>
  <si>
    <t xml:space="preserve">DOUGLAS MALEPE                </t>
  </si>
  <si>
    <t xml:space="preserve">DOUGLAS MALGE                 </t>
  </si>
  <si>
    <t>LEO</t>
  </si>
  <si>
    <t xml:space="preserve">STRAIT ACCESS TECHNOLOGIES HOL     </t>
  </si>
  <si>
    <t>heater</t>
  </si>
  <si>
    <t>APPLETISER sa  PTY  LTD</t>
  </si>
  <si>
    <t>muzi</t>
  </si>
  <si>
    <t>NTOMBI</t>
  </si>
  <si>
    <t xml:space="preserve">STRATEGY ELECTRICAL                </t>
  </si>
  <si>
    <t>SINGED</t>
  </si>
  <si>
    <t>T K</t>
  </si>
  <si>
    <t>EMPAN</t>
  </si>
  <si>
    <t>EMPANGENI</t>
  </si>
  <si>
    <t xml:space="preserve">PNEUMATIC AID                      </t>
  </si>
  <si>
    <t>w j s steeny</t>
  </si>
  <si>
    <t>POD received from cell 0606762579 M</t>
  </si>
  <si>
    <t>H mnguni</t>
  </si>
  <si>
    <t>sherondy</t>
  </si>
  <si>
    <t xml:space="preserve">BMG ISITHEBE                       </t>
  </si>
  <si>
    <t>elvil</t>
  </si>
  <si>
    <t>Consignee not available)</t>
  </si>
  <si>
    <t>jap</t>
  </si>
  <si>
    <t xml:space="preserve">CONVEYALL NATAL CC                 </t>
  </si>
  <si>
    <t>Clinton</t>
  </si>
  <si>
    <t xml:space="preserve">PRIVATE HOUSE                      </t>
  </si>
  <si>
    <t>RICHARD</t>
  </si>
  <si>
    <t>NICHOLAS</t>
  </si>
  <si>
    <t>R SHERWIN</t>
  </si>
  <si>
    <t>m naidoo</t>
  </si>
  <si>
    <t>divide</t>
  </si>
  <si>
    <t>n vadoo</t>
  </si>
  <si>
    <t>jp sibisi</t>
  </si>
  <si>
    <t>SHERWIN</t>
  </si>
  <si>
    <t xml:space="preserve">bonnie                        </t>
  </si>
  <si>
    <t xml:space="preserve">POD received from cell 0814795132 M     </t>
  </si>
  <si>
    <t>Carin</t>
  </si>
  <si>
    <t>RESPECT</t>
  </si>
  <si>
    <t xml:space="preserve">CALDEIRA ENGENEERING               </t>
  </si>
  <si>
    <t>poovan</t>
  </si>
  <si>
    <t>J steyn</t>
  </si>
  <si>
    <t>UAT</t>
  </si>
  <si>
    <t xml:space="preserve">HYDRAQUIP                          </t>
  </si>
  <si>
    <t>Le Rich</t>
  </si>
  <si>
    <t>DHAMBULENI</t>
  </si>
  <si>
    <t>Flyer Flyer</t>
  </si>
  <si>
    <t>lloyd</t>
  </si>
  <si>
    <t>PORT4</t>
  </si>
  <si>
    <t>PORT SHEPSTONE</t>
  </si>
  <si>
    <t xml:space="preserve">DBN GENERAL APOSTOLIDES            </t>
  </si>
  <si>
    <t>martie</t>
  </si>
  <si>
    <t xml:space="preserve">ABI BOTTLING                       </t>
  </si>
  <si>
    <t>sugan</t>
  </si>
  <si>
    <t>POD received from cell 0671334453 M</t>
  </si>
  <si>
    <t>BONGISWA</t>
  </si>
  <si>
    <t>WAYNE</t>
  </si>
  <si>
    <t>MOSES</t>
  </si>
  <si>
    <t>NOZICELO</t>
  </si>
  <si>
    <t>JVD</t>
  </si>
  <si>
    <t xml:space="preserve">ELEMENT SIX PRODUCTION             </t>
  </si>
  <si>
    <t>miliswa</t>
  </si>
  <si>
    <t>asmay</t>
  </si>
  <si>
    <t>rowen</t>
  </si>
  <si>
    <t xml:space="preserve">UCL COMPANY (PTY)LTD               </t>
  </si>
  <si>
    <t>dasten</t>
  </si>
  <si>
    <t>mthuthuko</t>
  </si>
  <si>
    <t>thomas</t>
  </si>
  <si>
    <t>BALLENA TRADING 31 PTY LTD</t>
  </si>
  <si>
    <t>RECIEVER</t>
  </si>
  <si>
    <t>sherandy</t>
  </si>
  <si>
    <t>audrey</t>
  </si>
  <si>
    <t xml:space="preserve">ANG INDUSTRIAL SOLUTION            </t>
  </si>
  <si>
    <t>ANITA MOCKE</t>
  </si>
  <si>
    <t xml:space="preserve">QUICK VOLK ELECTRIC                </t>
  </si>
  <si>
    <t>PAUL</t>
  </si>
  <si>
    <t>P Gilili</t>
  </si>
  <si>
    <t xml:space="preserve">BIO CAPSULE PHARMACEUTICALS        </t>
  </si>
  <si>
    <t>L Stokes</t>
  </si>
  <si>
    <t>heather</t>
  </si>
  <si>
    <t xml:space="preserve">MEDCRAFT                           </t>
  </si>
  <si>
    <t>peter</t>
  </si>
  <si>
    <t xml:space="preserve">PRODUCTIVE ENGINEERING CC          </t>
  </si>
  <si>
    <t>GareTh</t>
  </si>
  <si>
    <t xml:space="preserve">SEALE AIR AFRICA (PTY)LTD          </t>
  </si>
  <si>
    <t>M ZUMA</t>
  </si>
  <si>
    <t>derick</t>
  </si>
  <si>
    <t>SHORT SUPPLIED AS PER ENOS</t>
  </si>
  <si>
    <t>D ACHMAT</t>
  </si>
  <si>
    <t>amos</t>
  </si>
  <si>
    <t>Bad address</t>
  </si>
  <si>
    <t xml:space="preserve">METROCAS CC                        </t>
  </si>
  <si>
    <t>NIC</t>
  </si>
  <si>
    <t xml:space="preserve">KW BREAD PACKAGING SYSTEMS CC      </t>
  </si>
  <si>
    <t>NOLOLO</t>
  </si>
  <si>
    <t xml:space="preserve">CIRCUIT INDUSTRIAL SUPPLIES PT     </t>
  </si>
  <si>
    <t xml:space="preserve">CHEMPLUS CC                        </t>
  </si>
  <si>
    <t>greg</t>
  </si>
  <si>
    <t>tendani</t>
  </si>
  <si>
    <t xml:space="preserve">HYDROMATIC                         </t>
  </si>
  <si>
    <t xml:space="preserve">PRESSURE DIE CASTINGS PTY LTD      </t>
  </si>
  <si>
    <t>K SHERWIN</t>
  </si>
  <si>
    <t>wessells</t>
  </si>
  <si>
    <t>NANDIPHA</t>
  </si>
  <si>
    <t xml:space="preserve">RCL FOODS SUGAR   MILLING PTY      </t>
  </si>
  <si>
    <t>RCL FOODS SUGAR   MILLING PTY</t>
  </si>
  <si>
    <t>NANDIPHO</t>
  </si>
  <si>
    <t xml:space="preserve">A DANIELS                     </t>
  </si>
  <si>
    <t>amy</t>
  </si>
  <si>
    <t>Piet</t>
  </si>
  <si>
    <t>D Pillay</t>
  </si>
  <si>
    <t>MONIQUE</t>
  </si>
  <si>
    <t>Bongiswa</t>
  </si>
  <si>
    <t xml:space="preserve">SPRINGS BEE GEE ELECT WHOLE CC     </t>
  </si>
  <si>
    <t>Tony</t>
  </si>
  <si>
    <t xml:space="preserve">ADCOCK INGRAM HEALTHCARE (PTY)     </t>
  </si>
  <si>
    <t>Wanie Deport</t>
  </si>
  <si>
    <t>dumanatji</t>
  </si>
  <si>
    <t xml:space="preserve">mahlatse                      </t>
  </si>
  <si>
    <t xml:space="preserve">POD received from cell 0827418949 M     </t>
  </si>
  <si>
    <t>Doerieyah Achmat</t>
  </si>
  <si>
    <t>dhamabithi</t>
  </si>
  <si>
    <t xml:space="preserve">THE SOUTH AFRICAN BREWERIES LT     </t>
  </si>
  <si>
    <t>EVELYN</t>
  </si>
  <si>
    <t>Zahid</t>
  </si>
  <si>
    <t xml:space="preserve">rohan                         </t>
  </si>
  <si>
    <t>LEP</t>
  </si>
  <si>
    <t>MARGA</t>
  </si>
  <si>
    <t>MARGATE</t>
  </si>
  <si>
    <t xml:space="preserve">LW TANK SYSTEMS CC                 </t>
  </si>
  <si>
    <t>Eric</t>
  </si>
  <si>
    <t>RECDEIVING</t>
  </si>
  <si>
    <t>STANLEY</t>
  </si>
  <si>
    <t xml:space="preserve">QUALITEC ENGINEERING CC            </t>
  </si>
  <si>
    <t>QUALITEC ENGINEERING CC</t>
  </si>
  <si>
    <t>gsvan</t>
  </si>
  <si>
    <t>cecilia</t>
  </si>
  <si>
    <t>mc milla</t>
  </si>
  <si>
    <t xml:space="preserve">CSM BEARING AND PNEUMATIC SUPP     </t>
  </si>
  <si>
    <t xml:space="preserve">Gary                          </t>
  </si>
  <si>
    <t xml:space="preserve">POD received from cell 073026080 M      </t>
  </si>
  <si>
    <t xml:space="preserve">victor                        </t>
  </si>
  <si>
    <t>ANNA</t>
  </si>
  <si>
    <t>Justin</t>
  </si>
  <si>
    <t>POD received from cell 0738726261 M</t>
  </si>
  <si>
    <t>K Langenhoven</t>
  </si>
  <si>
    <t>Gert</t>
  </si>
  <si>
    <t xml:space="preserve">CONRO PRECISION                    </t>
  </si>
  <si>
    <t>voko</t>
  </si>
  <si>
    <t xml:space="preserve">WINTERTIDE TRADING 69 CC           </t>
  </si>
  <si>
    <t xml:space="preserve">TIGER CONSUMER BRANDS LTD T A      </t>
  </si>
  <si>
    <t>nonjabulo</t>
  </si>
  <si>
    <t xml:space="preserve">PAILPAC PTY LTD                    </t>
  </si>
  <si>
    <t xml:space="preserve">FESTO DUR OFFICE                   </t>
  </si>
  <si>
    <t>B BRIAN</t>
  </si>
  <si>
    <t>A STOLTZ</t>
  </si>
  <si>
    <t>JOEL</t>
  </si>
  <si>
    <t>Grmmach</t>
  </si>
  <si>
    <t>SABELO</t>
  </si>
  <si>
    <t>RICHARD NICHOLAS</t>
  </si>
  <si>
    <t>Nicholas</t>
  </si>
  <si>
    <t>TEBOGO</t>
  </si>
  <si>
    <t>CARL TANYA</t>
  </si>
  <si>
    <t>Charles</t>
  </si>
  <si>
    <t xml:space="preserve">CSM BEARING   PNUEMATIC SUPPLI     </t>
  </si>
  <si>
    <t>L du plessis</t>
  </si>
  <si>
    <t>Paul</t>
  </si>
  <si>
    <t xml:space="preserve">HYDRABERG HYDRAULICS CC            </t>
  </si>
  <si>
    <t>Ben</t>
  </si>
  <si>
    <t>assad</t>
  </si>
  <si>
    <t xml:space="preserve">SAPPI SA LTD                       </t>
  </si>
  <si>
    <t>sfiso</t>
  </si>
  <si>
    <t xml:space="preserve">MPACT PLASTICS COMPRESSION MOU     </t>
  </si>
  <si>
    <t>N  Mafalala</t>
  </si>
  <si>
    <t>erne</t>
  </si>
  <si>
    <t>Pamela</t>
  </si>
  <si>
    <t xml:space="preserve">CALDEIRA ENGINEERING Cc            </t>
  </si>
  <si>
    <t>heimiri</t>
  </si>
  <si>
    <t>POD received from cell 0768323695 M</t>
  </si>
  <si>
    <t>GARY</t>
  </si>
  <si>
    <t>senzo</t>
  </si>
  <si>
    <t xml:space="preserve">SEALED AIR AFRICA (PTY) LTD        </t>
  </si>
  <si>
    <t>LANGA</t>
  </si>
  <si>
    <t>Hency</t>
  </si>
  <si>
    <t>POD received from cell 0833135866 M</t>
  </si>
  <si>
    <t xml:space="preserve">RCL FOOD CONSUMER PTY LTD          </t>
  </si>
  <si>
    <t xml:space="preserve">TUMI                          </t>
  </si>
  <si>
    <t xml:space="preserve">REGRADE MASTERS                    </t>
  </si>
  <si>
    <t>ANGELA</t>
  </si>
  <si>
    <t>Roshni</t>
  </si>
  <si>
    <t>PARCEL PARCEL PARCEL PARCEL PARCEL</t>
  </si>
  <si>
    <t>Gremmoch</t>
  </si>
  <si>
    <t xml:space="preserve">Derich Zona                   </t>
  </si>
  <si>
    <t>Flyer Flyer Flyer</t>
  </si>
  <si>
    <t>themba</t>
  </si>
  <si>
    <t>ajit</t>
  </si>
  <si>
    <t>SHAUNN</t>
  </si>
  <si>
    <t xml:space="preserve">WEIR MINERALS AFRICA               </t>
  </si>
  <si>
    <t>WILSON</t>
  </si>
  <si>
    <t>milly</t>
  </si>
  <si>
    <t xml:space="preserve">BMG Middelburg                     </t>
  </si>
  <si>
    <t>CO LEN</t>
  </si>
  <si>
    <t xml:space="preserve">Derek Zondi                   </t>
  </si>
  <si>
    <t>sibusiso</t>
  </si>
  <si>
    <t>PARCEL Flyer</t>
  </si>
  <si>
    <t>mavis</t>
  </si>
  <si>
    <t>Hellen</t>
  </si>
  <si>
    <t xml:space="preserve">BEARING MAN GROUP (PTY) LTD        </t>
  </si>
  <si>
    <t>RENE BARNARD</t>
  </si>
  <si>
    <t>ROBYN</t>
  </si>
  <si>
    <t xml:space="preserve">RISHABA TRADING CC                 </t>
  </si>
  <si>
    <t xml:space="preserve">jafta                         </t>
  </si>
  <si>
    <t xml:space="preserve">POD received from cell 0631188611 M     </t>
  </si>
  <si>
    <t>richman</t>
  </si>
  <si>
    <t xml:space="preserve">rom                           </t>
  </si>
  <si>
    <t xml:space="preserve">Gert                          </t>
  </si>
  <si>
    <t xml:space="preserve">POLYOAK PACKAGING (PTY)LTD         </t>
  </si>
  <si>
    <t>matk</t>
  </si>
  <si>
    <t xml:space="preserve">Clinton                       </t>
  </si>
  <si>
    <t xml:space="preserve">POD received from cell 0638501267 M     </t>
  </si>
  <si>
    <t>sethunya</t>
  </si>
  <si>
    <t>graeme</t>
  </si>
  <si>
    <t xml:space="preserve">NEW STYLE PORK                     </t>
  </si>
  <si>
    <t>FICKS</t>
  </si>
  <si>
    <t>FICKSBURG</t>
  </si>
  <si>
    <t xml:space="preserve">LESOTHO MILLING CO .(PTY)LTD       </t>
  </si>
  <si>
    <t>LESOTHO MILLING CO   PTY LTD</t>
  </si>
  <si>
    <t>POD received from cell 0833864863 M</t>
  </si>
  <si>
    <t xml:space="preserve">ireen                         </t>
  </si>
  <si>
    <t xml:space="preserve">ECOFRESH DIRECT                    </t>
  </si>
  <si>
    <t>Doerieyah</t>
  </si>
  <si>
    <t xml:space="preserve">PROGETTO INTERNATIONAL             </t>
  </si>
  <si>
    <t>Connie</t>
  </si>
  <si>
    <t>Ndaba</t>
  </si>
  <si>
    <t>POD received from cell 0787220950 M</t>
  </si>
  <si>
    <t>asiphe</t>
  </si>
  <si>
    <t xml:space="preserve">SKYE PLASTICS (PTY) LTD            </t>
  </si>
  <si>
    <t xml:space="preserve">Carin                         </t>
  </si>
  <si>
    <t xml:space="preserve">EGLI PRECISION ENGENNERING PTY     </t>
  </si>
  <si>
    <t>K LANGHOVEN</t>
  </si>
  <si>
    <t xml:space="preserve">COCA COLA LAKESIDE                 </t>
  </si>
  <si>
    <t>abewahle</t>
  </si>
  <si>
    <t xml:space="preserve">IMPROCHEM PTY LTD                  </t>
  </si>
  <si>
    <t>m pienaar</t>
  </si>
  <si>
    <t xml:space="preserve">ZETES (PTY)LTD                     </t>
  </si>
  <si>
    <t>Adam</t>
  </si>
  <si>
    <t>BERDUS</t>
  </si>
  <si>
    <t>MARK THOMPSON</t>
  </si>
  <si>
    <t xml:space="preserve">PVT                                </t>
  </si>
  <si>
    <t>PAT ARMOGA</t>
  </si>
  <si>
    <t>MARLON</t>
  </si>
  <si>
    <t xml:space="preserve">lawrenxe                      </t>
  </si>
  <si>
    <t xml:space="preserve">DIVFOOD A DIV OF NAMPAK            </t>
  </si>
  <si>
    <t xml:space="preserve">IMPALA PLATINIUM REFINERIES LT     </t>
  </si>
  <si>
    <t xml:space="preserve">GSK CONSUMER HEALTHCARE SA PTY     </t>
  </si>
  <si>
    <t xml:space="preserve">TIGER BRANDS SNACKS   TREANTS      </t>
  </si>
  <si>
    <t xml:space="preserve">FESTO CPT                          </t>
  </si>
  <si>
    <t>PETER MULOCK</t>
  </si>
  <si>
    <t xml:space="preserve">FLSMIDTH SOUTH AFRICA (PTY)LTD     </t>
  </si>
  <si>
    <t xml:space="preserve">CEREBOS LTD                        </t>
  </si>
  <si>
    <t>PARCEL PARCEL PARCEL PARCEL PARCEL PARCEL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</si>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</sst>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50"/>
  <sheetViews>
    <sheetView tabSelected="1" topLeftCell="A271" workbookViewId="0">
      <selection activeCell="A1151" sqref="A1151:XFD1674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28515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" bestFit="1" customWidth="1"/>
    <col min="15" max="15" width="4.85546875" bestFit="1" customWidth="1"/>
    <col min="16" max="16" width="33.140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64.28515625" bestFit="1" customWidth="1"/>
    <col min="69" max="69" width="31.42578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0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s="4" customFormat="1" x14ac:dyDescent="0.25">
      <c r="A1" s="3" t="s">
        <v>1181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1182</v>
      </c>
      <c r="G1" s="3" t="s">
        <v>4</v>
      </c>
      <c r="H1" s="3" t="s">
        <v>5</v>
      </c>
      <c r="I1" s="3" t="s">
        <v>1183</v>
      </c>
      <c r="J1" s="3" t="s">
        <v>6</v>
      </c>
      <c r="K1" s="3" t="s">
        <v>7</v>
      </c>
      <c r="L1" s="3" t="s">
        <v>1184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1185</v>
      </c>
      <c r="BD1" s="3" t="s">
        <v>13</v>
      </c>
      <c r="BE1" s="3" t="s">
        <v>1186</v>
      </c>
      <c r="BF1" s="3" t="s">
        <v>13</v>
      </c>
      <c r="BG1" s="3" t="s">
        <v>32</v>
      </c>
      <c r="BH1" s="3" t="s">
        <v>1187</v>
      </c>
      <c r="BI1" s="3" t="s">
        <v>33</v>
      </c>
      <c r="BJ1" s="3" t="s">
        <v>34</v>
      </c>
      <c r="BK1" s="3" t="s">
        <v>1188</v>
      </c>
      <c r="BL1" s="3" t="s">
        <v>1189</v>
      </c>
      <c r="BM1" s="3" t="s">
        <v>1190</v>
      </c>
      <c r="BN1" s="3" t="s">
        <v>35</v>
      </c>
      <c r="BO1" s="3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1191</v>
      </c>
    </row>
    <row r="2" spans="1:92" x14ac:dyDescent="0.25">
      <c r="A2" t="s">
        <v>61</v>
      </c>
      <c r="B2" t="s">
        <v>62</v>
      </c>
      <c r="C2" t="s">
        <v>63</v>
      </c>
      <c r="E2" t="str">
        <f>"FES1162745614"</f>
        <v>FES1162745614</v>
      </c>
      <c r="F2" s="1">
        <v>43950</v>
      </c>
      <c r="G2">
        <v>202010</v>
      </c>
      <c r="H2" t="s">
        <v>64</v>
      </c>
      <c r="I2" t="s">
        <v>65</v>
      </c>
      <c r="J2" t="s">
        <v>66</v>
      </c>
      <c r="K2" t="s">
        <v>67</v>
      </c>
      <c r="L2" t="s">
        <v>64</v>
      </c>
      <c r="M2" t="s">
        <v>65</v>
      </c>
      <c r="N2" t="s">
        <v>68</v>
      </c>
      <c r="O2" t="s">
        <v>69</v>
      </c>
      <c r="P2" t="str">
        <f>"2170734757                    "</f>
        <v xml:space="preserve">2170734757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3.27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35.979999999999997</v>
      </c>
      <c r="BM2">
        <v>5.4</v>
      </c>
      <c r="BN2">
        <v>41.38</v>
      </c>
      <c r="BO2">
        <v>41.38</v>
      </c>
      <c r="BQ2" t="s">
        <v>70</v>
      </c>
      <c r="BR2" t="s">
        <v>71</v>
      </c>
      <c r="BS2" t="s">
        <v>72</v>
      </c>
      <c r="BY2">
        <v>1200</v>
      </c>
      <c r="CC2" t="s">
        <v>65</v>
      </c>
      <c r="CD2">
        <v>1645</v>
      </c>
      <c r="CE2" t="s">
        <v>73</v>
      </c>
      <c r="CI2">
        <v>1</v>
      </c>
      <c r="CJ2" t="s">
        <v>72</v>
      </c>
      <c r="CK2">
        <v>22</v>
      </c>
      <c r="CL2" t="s">
        <v>74</v>
      </c>
    </row>
    <row r="3" spans="1:92" x14ac:dyDescent="0.25">
      <c r="A3" t="s">
        <v>61</v>
      </c>
      <c r="B3" t="s">
        <v>62</v>
      </c>
      <c r="C3" t="s">
        <v>63</v>
      </c>
      <c r="E3" t="str">
        <f>"FES1162744407"</f>
        <v>FES1162744407</v>
      </c>
      <c r="F3" s="1">
        <v>43928</v>
      </c>
      <c r="G3">
        <v>202010</v>
      </c>
      <c r="H3" t="s">
        <v>64</v>
      </c>
      <c r="I3" t="s">
        <v>65</v>
      </c>
      <c r="J3" t="s">
        <v>66</v>
      </c>
      <c r="K3" t="s">
        <v>67</v>
      </c>
      <c r="L3" t="s">
        <v>75</v>
      </c>
      <c r="M3" t="s">
        <v>76</v>
      </c>
      <c r="N3" t="s">
        <v>77</v>
      </c>
      <c r="O3" t="s">
        <v>69</v>
      </c>
      <c r="P3" t="str">
        <f>"2170735654                    "</f>
        <v xml:space="preserve">2170735654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4.84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3.7</v>
      </c>
      <c r="BJ3">
        <v>0.9</v>
      </c>
      <c r="BK3">
        <v>4</v>
      </c>
      <c r="BL3">
        <v>53.23</v>
      </c>
      <c r="BM3">
        <v>7.98</v>
      </c>
      <c r="BN3">
        <v>61.21</v>
      </c>
      <c r="BO3">
        <v>61.21</v>
      </c>
      <c r="BQ3" t="s">
        <v>78</v>
      </c>
      <c r="BR3" t="s">
        <v>71</v>
      </c>
      <c r="BS3" s="1">
        <v>43929</v>
      </c>
      <c r="BT3" s="2">
        <v>0.41666666666666669</v>
      </c>
      <c r="BU3" t="s">
        <v>79</v>
      </c>
      <c r="BV3" t="s">
        <v>80</v>
      </c>
      <c r="BY3">
        <v>4484.3100000000004</v>
      </c>
      <c r="CC3" t="s">
        <v>76</v>
      </c>
      <c r="CD3">
        <v>1459</v>
      </c>
      <c r="CE3" t="s">
        <v>73</v>
      </c>
      <c r="CF3" s="1">
        <v>43930</v>
      </c>
      <c r="CI3">
        <v>1</v>
      </c>
      <c r="CJ3">
        <v>1</v>
      </c>
      <c r="CK3">
        <v>22</v>
      </c>
      <c r="CL3" t="s">
        <v>74</v>
      </c>
    </row>
    <row r="4" spans="1:92" x14ac:dyDescent="0.25">
      <c r="A4" t="s">
        <v>61</v>
      </c>
      <c r="B4" t="s">
        <v>62</v>
      </c>
      <c r="C4" t="s">
        <v>63</v>
      </c>
      <c r="E4" t="str">
        <f>"FES1162744967"</f>
        <v>FES1162744967</v>
      </c>
      <c r="F4" s="1">
        <v>43941</v>
      </c>
      <c r="G4">
        <v>202010</v>
      </c>
      <c r="H4" t="s">
        <v>64</v>
      </c>
      <c r="I4" t="s">
        <v>65</v>
      </c>
      <c r="J4" t="s">
        <v>66</v>
      </c>
      <c r="K4" t="s">
        <v>67</v>
      </c>
      <c r="L4" t="s">
        <v>81</v>
      </c>
      <c r="M4" t="s">
        <v>82</v>
      </c>
      <c r="N4" t="s">
        <v>83</v>
      </c>
      <c r="O4" t="s">
        <v>69</v>
      </c>
      <c r="P4" t="str">
        <f>"2170734668                    "</f>
        <v xml:space="preserve">2170734668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4.1900000000000004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46.06</v>
      </c>
      <c r="BM4">
        <v>6.91</v>
      </c>
      <c r="BN4">
        <v>52.97</v>
      </c>
      <c r="BO4">
        <v>52.97</v>
      </c>
      <c r="BQ4" t="s">
        <v>78</v>
      </c>
      <c r="BR4" t="s">
        <v>71</v>
      </c>
      <c r="BS4" s="1">
        <v>43943</v>
      </c>
      <c r="BT4" s="2">
        <v>0.43402777777777773</v>
      </c>
      <c r="BU4" t="s">
        <v>84</v>
      </c>
      <c r="BV4" t="s">
        <v>74</v>
      </c>
      <c r="BW4" t="s">
        <v>85</v>
      </c>
      <c r="BX4" t="s">
        <v>86</v>
      </c>
      <c r="BY4">
        <v>1200</v>
      </c>
      <c r="CC4" t="s">
        <v>82</v>
      </c>
      <c r="CD4">
        <v>9300</v>
      </c>
      <c r="CE4" t="s">
        <v>73</v>
      </c>
      <c r="CF4" s="1">
        <v>43944</v>
      </c>
      <c r="CI4">
        <v>1</v>
      </c>
      <c r="CJ4">
        <v>2</v>
      </c>
      <c r="CK4">
        <v>21</v>
      </c>
      <c r="CL4" t="s">
        <v>74</v>
      </c>
    </row>
    <row r="5" spans="1:92" x14ac:dyDescent="0.25">
      <c r="A5" t="s">
        <v>61</v>
      </c>
      <c r="B5" t="s">
        <v>62</v>
      </c>
      <c r="C5" t="s">
        <v>63</v>
      </c>
      <c r="E5" t="str">
        <f>"FES1162744399"</f>
        <v>FES1162744399</v>
      </c>
      <c r="F5" s="1">
        <v>43928</v>
      </c>
      <c r="G5">
        <v>202010</v>
      </c>
      <c r="H5" t="s">
        <v>64</v>
      </c>
      <c r="I5" t="s">
        <v>65</v>
      </c>
      <c r="J5" t="s">
        <v>66</v>
      </c>
      <c r="K5" t="s">
        <v>67</v>
      </c>
      <c r="L5" t="s">
        <v>87</v>
      </c>
      <c r="M5" t="s">
        <v>88</v>
      </c>
      <c r="N5" t="s">
        <v>89</v>
      </c>
      <c r="O5" t="s">
        <v>69</v>
      </c>
      <c r="P5" t="str">
        <f>"2170735696                    "</f>
        <v xml:space="preserve">2170735696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30.1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7.7</v>
      </c>
      <c r="BJ5">
        <v>3.3</v>
      </c>
      <c r="BK5">
        <v>8</v>
      </c>
      <c r="BL5">
        <v>331.06</v>
      </c>
      <c r="BM5">
        <v>49.66</v>
      </c>
      <c r="BN5">
        <v>380.72</v>
      </c>
      <c r="BO5">
        <v>380.72</v>
      </c>
      <c r="BQ5" t="s">
        <v>70</v>
      </c>
      <c r="BR5" t="s">
        <v>71</v>
      </c>
      <c r="BS5" s="1">
        <v>43930</v>
      </c>
      <c r="BT5" s="2">
        <v>0.54166666666666663</v>
      </c>
      <c r="BU5" t="s">
        <v>90</v>
      </c>
      <c r="BV5" t="s">
        <v>80</v>
      </c>
      <c r="BY5">
        <v>16287.18</v>
      </c>
      <c r="CC5" t="s">
        <v>88</v>
      </c>
      <c r="CD5">
        <v>5099</v>
      </c>
      <c r="CE5" t="s">
        <v>91</v>
      </c>
      <c r="CF5" s="1">
        <v>43938</v>
      </c>
      <c r="CI5">
        <v>3</v>
      </c>
      <c r="CJ5">
        <v>2</v>
      </c>
      <c r="CK5">
        <v>23</v>
      </c>
      <c r="CL5" t="s">
        <v>74</v>
      </c>
    </row>
    <row r="6" spans="1:92" x14ac:dyDescent="0.25">
      <c r="A6" t="s">
        <v>61</v>
      </c>
      <c r="B6" t="s">
        <v>62</v>
      </c>
      <c r="C6" t="s">
        <v>63</v>
      </c>
      <c r="E6" t="str">
        <f>"FES1162744535"</f>
        <v>FES1162744535</v>
      </c>
      <c r="F6" s="1">
        <v>43930</v>
      </c>
      <c r="G6">
        <v>202010</v>
      </c>
      <c r="H6" t="s">
        <v>64</v>
      </c>
      <c r="I6" t="s">
        <v>65</v>
      </c>
      <c r="J6" t="s">
        <v>66</v>
      </c>
      <c r="K6" t="s">
        <v>67</v>
      </c>
      <c r="L6" t="s">
        <v>92</v>
      </c>
      <c r="M6" t="s">
        <v>93</v>
      </c>
      <c r="N6" t="s">
        <v>94</v>
      </c>
      <c r="O6" t="s">
        <v>69</v>
      </c>
      <c r="P6" t="str">
        <f>"2170735886                    "</f>
        <v xml:space="preserve">2170735886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4.1900000000000004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46.06</v>
      </c>
      <c r="BM6">
        <v>6.91</v>
      </c>
      <c r="BN6">
        <v>52.97</v>
      </c>
      <c r="BO6">
        <v>52.97</v>
      </c>
      <c r="BQ6" t="s">
        <v>70</v>
      </c>
      <c r="BR6" t="s">
        <v>71</v>
      </c>
      <c r="BS6" s="1">
        <v>43935</v>
      </c>
      <c r="BT6" s="2">
        <v>0.53055555555555556</v>
      </c>
      <c r="BU6" t="s">
        <v>95</v>
      </c>
      <c r="BV6" t="s">
        <v>74</v>
      </c>
      <c r="BW6" t="s">
        <v>96</v>
      </c>
      <c r="BX6" t="s">
        <v>97</v>
      </c>
      <c r="BY6">
        <v>1200</v>
      </c>
      <c r="CA6" t="s">
        <v>98</v>
      </c>
      <c r="CC6" t="s">
        <v>93</v>
      </c>
      <c r="CD6">
        <v>7441</v>
      </c>
      <c r="CE6" t="s">
        <v>73</v>
      </c>
      <c r="CF6" s="1">
        <v>43936</v>
      </c>
      <c r="CI6">
        <v>1</v>
      </c>
      <c r="CJ6">
        <v>3</v>
      </c>
      <c r="CK6">
        <v>21</v>
      </c>
      <c r="CL6" t="s">
        <v>74</v>
      </c>
    </row>
    <row r="7" spans="1:92" x14ac:dyDescent="0.25">
      <c r="A7" t="s">
        <v>61</v>
      </c>
      <c r="B7" t="s">
        <v>62</v>
      </c>
      <c r="C7" t="s">
        <v>63</v>
      </c>
      <c r="E7" t="str">
        <f>"FES1162744062"</f>
        <v>FES1162744062</v>
      </c>
      <c r="F7" s="1">
        <v>43941</v>
      </c>
      <c r="G7">
        <v>202010</v>
      </c>
      <c r="H7" t="s">
        <v>64</v>
      </c>
      <c r="I7" t="s">
        <v>65</v>
      </c>
      <c r="J7" t="s">
        <v>66</v>
      </c>
      <c r="K7" t="s">
        <v>67</v>
      </c>
      <c r="L7" t="s">
        <v>99</v>
      </c>
      <c r="M7" t="s">
        <v>100</v>
      </c>
      <c r="N7" t="s">
        <v>101</v>
      </c>
      <c r="O7" t="s">
        <v>69</v>
      </c>
      <c r="P7" t="str">
        <f>"2170734570                    "</f>
        <v xml:space="preserve">2170734570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26.43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6.7</v>
      </c>
      <c r="BJ7">
        <v>3.4</v>
      </c>
      <c r="BK7">
        <v>7</v>
      </c>
      <c r="BL7">
        <v>290.75</v>
      </c>
      <c r="BM7">
        <v>43.61</v>
      </c>
      <c r="BN7">
        <v>334.36</v>
      </c>
      <c r="BO7">
        <v>334.36</v>
      </c>
      <c r="BQ7" t="s">
        <v>78</v>
      </c>
      <c r="BR7" t="s">
        <v>71</v>
      </c>
      <c r="BS7" s="1">
        <v>43943</v>
      </c>
      <c r="BT7" s="2">
        <v>0.79652777777777783</v>
      </c>
      <c r="BU7" t="s">
        <v>102</v>
      </c>
      <c r="BV7" t="s">
        <v>80</v>
      </c>
      <c r="BY7">
        <v>16815.330000000002</v>
      </c>
      <c r="CA7" t="s">
        <v>103</v>
      </c>
      <c r="CC7" t="s">
        <v>100</v>
      </c>
      <c r="CD7">
        <v>6849</v>
      </c>
      <c r="CE7" t="s">
        <v>91</v>
      </c>
      <c r="CF7" s="1">
        <v>43951</v>
      </c>
      <c r="CI7">
        <v>3</v>
      </c>
      <c r="CJ7">
        <v>2</v>
      </c>
      <c r="CK7">
        <v>23</v>
      </c>
      <c r="CL7" t="s">
        <v>74</v>
      </c>
    </row>
    <row r="8" spans="1:92" x14ac:dyDescent="0.25">
      <c r="A8" t="s">
        <v>61</v>
      </c>
      <c r="B8" t="s">
        <v>62</v>
      </c>
      <c r="C8" t="s">
        <v>63</v>
      </c>
      <c r="E8" t="str">
        <f>"FES1162745052"</f>
        <v>FES1162745052</v>
      </c>
      <c r="F8" s="1">
        <v>43942</v>
      </c>
      <c r="G8">
        <v>202010</v>
      </c>
      <c r="H8" t="s">
        <v>64</v>
      </c>
      <c r="I8" t="s">
        <v>65</v>
      </c>
      <c r="J8" t="s">
        <v>66</v>
      </c>
      <c r="K8" t="s">
        <v>67</v>
      </c>
      <c r="L8" t="s">
        <v>104</v>
      </c>
      <c r="M8" t="s">
        <v>105</v>
      </c>
      <c r="N8" t="s">
        <v>106</v>
      </c>
      <c r="O8" t="s">
        <v>69</v>
      </c>
      <c r="P8" t="str">
        <f>"2170736261                    "</f>
        <v xml:space="preserve">2170736261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5.89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0.6</v>
      </c>
      <c r="BJ8">
        <v>2</v>
      </c>
      <c r="BK8">
        <v>2</v>
      </c>
      <c r="BL8">
        <v>64.77</v>
      </c>
      <c r="BM8">
        <v>9.7200000000000006</v>
      </c>
      <c r="BN8">
        <v>74.489999999999995</v>
      </c>
      <c r="BO8">
        <v>74.489999999999995</v>
      </c>
      <c r="BQ8" t="s">
        <v>78</v>
      </c>
      <c r="BR8" t="s">
        <v>71</v>
      </c>
      <c r="BS8" s="1">
        <v>43943</v>
      </c>
      <c r="BT8" s="2">
        <v>0.375</v>
      </c>
      <c r="BU8" t="s">
        <v>107</v>
      </c>
      <c r="BV8" t="s">
        <v>80</v>
      </c>
      <c r="BY8">
        <v>10022.11</v>
      </c>
      <c r="CC8" t="s">
        <v>105</v>
      </c>
      <c r="CD8">
        <v>1759</v>
      </c>
      <c r="CE8" t="s">
        <v>73</v>
      </c>
      <c r="CF8" s="1">
        <v>43944</v>
      </c>
      <c r="CI8">
        <v>1</v>
      </c>
      <c r="CJ8">
        <v>1</v>
      </c>
      <c r="CK8">
        <v>24</v>
      </c>
      <c r="CL8" t="s">
        <v>74</v>
      </c>
    </row>
    <row r="9" spans="1:92" x14ac:dyDescent="0.25">
      <c r="A9" t="s">
        <v>61</v>
      </c>
      <c r="B9" t="s">
        <v>62</v>
      </c>
      <c r="C9" t="s">
        <v>63</v>
      </c>
      <c r="E9" t="str">
        <f>"FES1162744312"</f>
        <v>FES1162744312</v>
      </c>
      <c r="F9" s="1">
        <v>43927</v>
      </c>
      <c r="G9">
        <v>202010</v>
      </c>
      <c r="H9" t="s">
        <v>64</v>
      </c>
      <c r="I9" t="s">
        <v>65</v>
      </c>
      <c r="J9" t="s">
        <v>66</v>
      </c>
      <c r="K9" t="s">
        <v>67</v>
      </c>
      <c r="L9" t="s">
        <v>75</v>
      </c>
      <c r="M9" t="s">
        <v>76</v>
      </c>
      <c r="N9" t="s">
        <v>108</v>
      </c>
      <c r="O9" t="s">
        <v>69</v>
      </c>
      <c r="P9" t="str">
        <f>"2170735383                    "</f>
        <v xml:space="preserve">2170735383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8.3699999999999992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8.1</v>
      </c>
      <c r="BJ9">
        <v>3.9</v>
      </c>
      <c r="BK9">
        <v>8.5</v>
      </c>
      <c r="BL9">
        <v>92.04</v>
      </c>
      <c r="BM9">
        <v>13.81</v>
      </c>
      <c r="BN9">
        <v>105.85</v>
      </c>
      <c r="BO9">
        <v>105.85</v>
      </c>
      <c r="BQ9" t="s">
        <v>109</v>
      </c>
      <c r="BR9" t="s">
        <v>71</v>
      </c>
      <c r="BS9" s="1">
        <v>43928</v>
      </c>
      <c r="BT9" s="2">
        <v>0.4375</v>
      </c>
      <c r="BU9" t="s">
        <v>110</v>
      </c>
      <c r="BV9" t="s">
        <v>80</v>
      </c>
      <c r="BY9">
        <v>19307.97</v>
      </c>
      <c r="CC9" t="s">
        <v>76</v>
      </c>
      <c r="CD9">
        <v>1459</v>
      </c>
      <c r="CE9" t="s">
        <v>91</v>
      </c>
      <c r="CF9" s="1">
        <v>43929</v>
      </c>
      <c r="CI9">
        <v>1</v>
      </c>
      <c r="CJ9">
        <v>1</v>
      </c>
      <c r="CK9">
        <v>22</v>
      </c>
      <c r="CL9" t="s">
        <v>74</v>
      </c>
    </row>
    <row r="10" spans="1:92" x14ac:dyDescent="0.25">
      <c r="A10" t="s">
        <v>61</v>
      </c>
      <c r="B10" t="s">
        <v>62</v>
      </c>
      <c r="C10" t="s">
        <v>63</v>
      </c>
      <c r="E10" t="str">
        <f>"FES1162744195"</f>
        <v>FES1162744195</v>
      </c>
      <c r="F10" s="1">
        <v>43927</v>
      </c>
      <c r="G10">
        <v>202010</v>
      </c>
      <c r="H10" t="s">
        <v>64</v>
      </c>
      <c r="I10" t="s">
        <v>65</v>
      </c>
      <c r="J10" t="s">
        <v>66</v>
      </c>
      <c r="K10" t="s">
        <v>67</v>
      </c>
      <c r="L10" t="s">
        <v>111</v>
      </c>
      <c r="M10" t="s">
        <v>112</v>
      </c>
      <c r="N10" t="s">
        <v>113</v>
      </c>
      <c r="O10" t="s">
        <v>69</v>
      </c>
      <c r="P10" t="str">
        <f>"2170733436                    "</f>
        <v xml:space="preserve">2170733436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3.27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2</v>
      </c>
      <c r="BJ10">
        <v>0.9</v>
      </c>
      <c r="BK10">
        <v>2</v>
      </c>
      <c r="BL10">
        <v>35.979999999999997</v>
      </c>
      <c r="BM10">
        <v>5.4</v>
      </c>
      <c r="BN10">
        <v>41.38</v>
      </c>
      <c r="BO10">
        <v>41.38</v>
      </c>
      <c r="BQ10" t="s">
        <v>114</v>
      </c>
      <c r="BR10" t="s">
        <v>71</v>
      </c>
      <c r="BS10" s="1">
        <v>43928</v>
      </c>
      <c r="BT10" s="2">
        <v>0.41666666666666669</v>
      </c>
      <c r="BU10" t="s">
        <v>115</v>
      </c>
      <c r="BV10" t="s">
        <v>80</v>
      </c>
      <c r="BY10">
        <v>4500</v>
      </c>
      <c r="CC10" t="s">
        <v>112</v>
      </c>
      <c r="CD10">
        <v>1684</v>
      </c>
      <c r="CE10" t="s">
        <v>91</v>
      </c>
      <c r="CF10" s="1">
        <v>43929</v>
      </c>
      <c r="CI10">
        <v>1</v>
      </c>
      <c r="CJ10">
        <v>1</v>
      </c>
      <c r="CK10">
        <v>22</v>
      </c>
      <c r="CL10" t="s">
        <v>74</v>
      </c>
    </row>
    <row r="11" spans="1:92" x14ac:dyDescent="0.25">
      <c r="A11" t="s">
        <v>61</v>
      </c>
      <c r="B11" t="s">
        <v>62</v>
      </c>
      <c r="C11" t="s">
        <v>63</v>
      </c>
      <c r="E11" t="str">
        <f>"FES1162744296"</f>
        <v>FES1162744296</v>
      </c>
      <c r="F11" s="1">
        <v>43927</v>
      </c>
      <c r="G11">
        <v>202010</v>
      </c>
      <c r="H11" t="s">
        <v>64</v>
      </c>
      <c r="I11" t="s">
        <v>65</v>
      </c>
      <c r="J11" t="s">
        <v>66</v>
      </c>
      <c r="K11" t="s">
        <v>67</v>
      </c>
      <c r="L11" t="s">
        <v>116</v>
      </c>
      <c r="M11" t="s">
        <v>117</v>
      </c>
      <c r="N11" t="s">
        <v>118</v>
      </c>
      <c r="O11" t="s">
        <v>69</v>
      </c>
      <c r="P11" t="str">
        <f>"2170734544                    "</f>
        <v xml:space="preserve">2170734544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9.94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2.1</v>
      </c>
      <c r="BJ11">
        <v>1.6</v>
      </c>
      <c r="BK11">
        <v>2.5</v>
      </c>
      <c r="BL11">
        <v>109.38</v>
      </c>
      <c r="BM11">
        <v>16.41</v>
      </c>
      <c r="BN11">
        <v>125.79</v>
      </c>
      <c r="BO11">
        <v>125.79</v>
      </c>
      <c r="BQ11" t="s">
        <v>78</v>
      </c>
      <c r="BR11" t="s">
        <v>71</v>
      </c>
      <c r="BS11" s="1">
        <v>43928</v>
      </c>
      <c r="BT11" s="2">
        <v>0.41666666666666669</v>
      </c>
      <c r="BU11" t="s">
        <v>119</v>
      </c>
      <c r="BV11" t="s">
        <v>80</v>
      </c>
      <c r="BY11">
        <v>7770.87</v>
      </c>
      <c r="CC11" t="s">
        <v>117</v>
      </c>
      <c r="CD11">
        <v>7300</v>
      </c>
      <c r="CE11" t="s">
        <v>91</v>
      </c>
      <c r="CF11" s="1">
        <v>43929</v>
      </c>
      <c r="CI11">
        <v>1</v>
      </c>
      <c r="CJ11">
        <v>1</v>
      </c>
      <c r="CK11">
        <v>23</v>
      </c>
      <c r="CL11" t="s">
        <v>74</v>
      </c>
    </row>
    <row r="12" spans="1:92" x14ac:dyDescent="0.25">
      <c r="A12" t="s">
        <v>61</v>
      </c>
      <c r="B12" t="s">
        <v>62</v>
      </c>
      <c r="C12" t="s">
        <v>63</v>
      </c>
      <c r="E12" t="str">
        <f>"FES1162744272"</f>
        <v>FES1162744272</v>
      </c>
      <c r="F12" s="1">
        <v>43927</v>
      </c>
      <c r="G12">
        <v>202010</v>
      </c>
      <c r="H12" t="s">
        <v>64</v>
      </c>
      <c r="I12" t="s">
        <v>65</v>
      </c>
      <c r="J12" t="s">
        <v>66</v>
      </c>
      <c r="K12" t="s">
        <v>67</v>
      </c>
      <c r="L12" t="s">
        <v>120</v>
      </c>
      <c r="M12" t="s">
        <v>121</v>
      </c>
      <c r="N12" t="s">
        <v>122</v>
      </c>
      <c r="O12" t="s">
        <v>69</v>
      </c>
      <c r="P12" t="str">
        <f>"2170734758                    "</f>
        <v xml:space="preserve">2170734758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7.33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3.1</v>
      </c>
      <c r="BJ12">
        <v>1.6</v>
      </c>
      <c r="BK12">
        <v>3.5</v>
      </c>
      <c r="BL12">
        <v>80.58</v>
      </c>
      <c r="BM12">
        <v>12.09</v>
      </c>
      <c r="BN12">
        <v>92.67</v>
      </c>
      <c r="BO12">
        <v>92.67</v>
      </c>
      <c r="BQ12" t="s">
        <v>70</v>
      </c>
      <c r="BR12" t="s">
        <v>71</v>
      </c>
      <c r="BS12" s="1">
        <v>43929</v>
      </c>
      <c r="BT12" s="2">
        <v>0.41666666666666669</v>
      </c>
      <c r="BU12" t="s">
        <v>123</v>
      </c>
      <c r="BV12" t="s">
        <v>74</v>
      </c>
      <c r="BW12" t="s">
        <v>124</v>
      </c>
      <c r="BX12" t="s">
        <v>125</v>
      </c>
      <c r="BY12">
        <v>8101.44</v>
      </c>
      <c r="CC12" t="s">
        <v>121</v>
      </c>
      <c r="CD12">
        <v>4052</v>
      </c>
      <c r="CE12" t="s">
        <v>91</v>
      </c>
      <c r="CF12" s="1">
        <v>43935</v>
      </c>
      <c r="CI12">
        <v>1</v>
      </c>
      <c r="CJ12">
        <v>2</v>
      </c>
      <c r="CK12">
        <v>21</v>
      </c>
      <c r="CL12" t="s">
        <v>74</v>
      </c>
    </row>
    <row r="13" spans="1:92" x14ac:dyDescent="0.25">
      <c r="A13" t="s">
        <v>61</v>
      </c>
      <c r="B13" t="s">
        <v>62</v>
      </c>
      <c r="C13" t="s">
        <v>63</v>
      </c>
      <c r="E13" t="str">
        <f>"FES1162744276"</f>
        <v>FES1162744276</v>
      </c>
      <c r="F13" s="1">
        <v>43927</v>
      </c>
      <c r="G13">
        <v>202010</v>
      </c>
      <c r="H13" t="s">
        <v>64</v>
      </c>
      <c r="I13" t="s">
        <v>65</v>
      </c>
      <c r="J13" t="s">
        <v>66</v>
      </c>
      <c r="K13" t="s">
        <v>67</v>
      </c>
      <c r="L13" t="s">
        <v>120</v>
      </c>
      <c r="M13" t="s">
        <v>121</v>
      </c>
      <c r="N13" t="s">
        <v>126</v>
      </c>
      <c r="O13" t="s">
        <v>69</v>
      </c>
      <c r="P13" t="str">
        <f>"2170735600                    "</f>
        <v xml:space="preserve">2170735600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9.42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4.2</v>
      </c>
      <c r="BJ13">
        <v>3.2</v>
      </c>
      <c r="BK13">
        <v>4.5</v>
      </c>
      <c r="BL13">
        <v>103.59</v>
      </c>
      <c r="BM13">
        <v>15.54</v>
      </c>
      <c r="BN13">
        <v>119.13</v>
      </c>
      <c r="BO13">
        <v>119.13</v>
      </c>
      <c r="BQ13" t="s">
        <v>70</v>
      </c>
      <c r="BR13" t="s">
        <v>71</v>
      </c>
      <c r="BS13" s="1">
        <v>43929</v>
      </c>
      <c r="BT13" s="2">
        <v>0.51527777777777783</v>
      </c>
      <c r="BU13" t="s">
        <v>127</v>
      </c>
      <c r="BV13" t="s">
        <v>74</v>
      </c>
      <c r="BW13" t="s">
        <v>85</v>
      </c>
      <c r="BX13" t="s">
        <v>128</v>
      </c>
      <c r="BY13">
        <v>15934.46</v>
      </c>
      <c r="CA13" t="s">
        <v>129</v>
      </c>
      <c r="CC13" t="s">
        <v>121</v>
      </c>
      <c r="CD13">
        <v>4001</v>
      </c>
      <c r="CE13" t="s">
        <v>91</v>
      </c>
      <c r="CF13" s="1">
        <v>43935</v>
      </c>
      <c r="CI13">
        <v>1</v>
      </c>
      <c r="CJ13">
        <v>2</v>
      </c>
      <c r="CK13">
        <v>21</v>
      </c>
      <c r="CL13" t="s">
        <v>74</v>
      </c>
    </row>
    <row r="14" spans="1:92" x14ac:dyDescent="0.25">
      <c r="A14" t="s">
        <v>61</v>
      </c>
      <c r="B14" t="s">
        <v>62</v>
      </c>
      <c r="C14" t="s">
        <v>63</v>
      </c>
      <c r="E14" t="str">
        <f>"FES1162744047"</f>
        <v>FES1162744047</v>
      </c>
      <c r="F14" s="1">
        <v>43927</v>
      </c>
      <c r="G14">
        <v>202010</v>
      </c>
      <c r="H14" t="s">
        <v>64</v>
      </c>
      <c r="I14" t="s">
        <v>65</v>
      </c>
      <c r="J14" t="s">
        <v>66</v>
      </c>
      <c r="K14" t="s">
        <v>67</v>
      </c>
      <c r="L14" t="s">
        <v>120</v>
      </c>
      <c r="M14" t="s">
        <v>121</v>
      </c>
      <c r="N14" t="s">
        <v>130</v>
      </c>
      <c r="O14" t="s">
        <v>69</v>
      </c>
      <c r="P14" t="str">
        <f>"2170735380                    "</f>
        <v xml:space="preserve">2170735380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4.1900000000000004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46.06</v>
      </c>
      <c r="BM14">
        <v>6.91</v>
      </c>
      <c r="BN14">
        <v>52.97</v>
      </c>
      <c r="BO14">
        <v>52.97</v>
      </c>
      <c r="BQ14" t="s">
        <v>78</v>
      </c>
      <c r="BR14" t="s">
        <v>71</v>
      </c>
      <c r="BS14" s="1">
        <v>43943</v>
      </c>
      <c r="BT14" s="2">
        <v>0.54166666666666663</v>
      </c>
      <c r="BU14" t="s">
        <v>131</v>
      </c>
      <c r="BV14" t="s">
        <v>74</v>
      </c>
      <c r="BW14" t="s">
        <v>85</v>
      </c>
      <c r="BX14" t="s">
        <v>128</v>
      </c>
      <c r="BY14">
        <v>1200</v>
      </c>
      <c r="CC14" t="s">
        <v>121</v>
      </c>
      <c r="CD14">
        <v>4051</v>
      </c>
      <c r="CE14" t="s">
        <v>73</v>
      </c>
      <c r="CF14" s="1">
        <v>43944</v>
      </c>
      <c r="CI14">
        <v>1</v>
      </c>
      <c r="CJ14">
        <v>12</v>
      </c>
      <c r="CK14">
        <v>21</v>
      </c>
      <c r="CL14" t="s">
        <v>74</v>
      </c>
    </row>
    <row r="15" spans="1:92" x14ac:dyDescent="0.25">
      <c r="A15" t="s">
        <v>61</v>
      </c>
      <c r="B15" t="s">
        <v>62</v>
      </c>
      <c r="C15" t="s">
        <v>63</v>
      </c>
      <c r="E15" t="str">
        <f>"FES1162744101"</f>
        <v>FES1162744101</v>
      </c>
      <c r="F15" s="1">
        <v>43927</v>
      </c>
      <c r="G15">
        <v>202010</v>
      </c>
      <c r="H15" t="s">
        <v>64</v>
      </c>
      <c r="I15" t="s">
        <v>65</v>
      </c>
      <c r="J15" t="s">
        <v>66</v>
      </c>
      <c r="K15" t="s">
        <v>67</v>
      </c>
      <c r="L15" t="s">
        <v>120</v>
      </c>
      <c r="M15" t="s">
        <v>121</v>
      </c>
      <c r="N15" t="s">
        <v>130</v>
      </c>
      <c r="O15" t="s">
        <v>69</v>
      </c>
      <c r="P15" t="str">
        <f>"2170734827                    "</f>
        <v xml:space="preserve">2170734827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4.1900000000000004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46.06</v>
      </c>
      <c r="BM15">
        <v>6.91</v>
      </c>
      <c r="BN15">
        <v>52.97</v>
      </c>
      <c r="BO15">
        <v>52.97</v>
      </c>
      <c r="BQ15" t="s">
        <v>78</v>
      </c>
      <c r="BR15" t="s">
        <v>71</v>
      </c>
      <c r="BS15" s="1">
        <v>43936</v>
      </c>
      <c r="BT15" s="2">
        <v>0.60625000000000007</v>
      </c>
      <c r="BU15" t="s">
        <v>131</v>
      </c>
      <c r="BV15" t="s">
        <v>74</v>
      </c>
      <c r="BW15" t="s">
        <v>85</v>
      </c>
      <c r="BX15" t="s">
        <v>128</v>
      </c>
      <c r="BY15">
        <v>1200</v>
      </c>
      <c r="CA15" t="s">
        <v>132</v>
      </c>
      <c r="CC15" t="s">
        <v>121</v>
      </c>
      <c r="CD15">
        <v>4051</v>
      </c>
      <c r="CE15" t="s">
        <v>73</v>
      </c>
      <c r="CF15" s="1">
        <v>43937</v>
      </c>
      <c r="CI15">
        <v>1</v>
      </c>
      <c r="CJ15">
        <v>7</v>
      </c>
      <c r="CK15">
        <v>21</v>
      </c>
      <c r="CL15" t="s">
        <v>74</v>
      </c>
    </row>
    <row r="16" spans="1:92" x14ac:dyDescent="0.25">
      <c r="A16" t="s">
        <v>61</v>
      </c>
      <c r="B16" t="s">
        <v>62</v>
      </c>
      <c r="C16" t="s">
        <v>63</v>
      </c>
      <c r="E16" t="str">
        <f>"FES1162743986"</f>
        <v>FES1162743986</v>
      </c>
      <c r="F16" s="1">
        <v>43927</v>
      </c>
      <c r="G16">
        <v>202010</v>
      </c>
      <c r="H16" t="s">
        <v>64</v>
      </c>
      <c r="I16" t="s">
        <v>65</v>
      </c>
      <c r="J16" t="s">
        <v>66</v>
      </c>
      <c r="K16" t="s">
        <v>67</v>
      </c>
      <c r="L16" t="s">
        <v>133</v>
      </c>
      <c r="M16" t="s">
        <v>134</v>
      </c>
      <c r="N16" t="s">
        <v>135</v>
      </c>
      <c r="O16" t="s">
        <v>69</v>
      </c>
      <c r="P16" t="str">
        <f>"2170735347                    "</f>
        <v xml:space="preserve">2170735347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8.11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89.23</v>
      </c>
      <c r="BM16">
        <v>13.38</v>
      </c>
      <c r="BN16">
        <v>102.61</v>
      </c>
      <c r="BO16">
        <v>102.61</v>
      </c>
      <c r="BQ16" t="s">
        <v>70</v>
      </c>
      <c r="BR16" t="s">
        <v>71</v>
      </c>
      <c r="BS16" s="1">
        <v>43928</v>
      </c>
      <c r="BT16" s="2">
        <v>0.63194444444444442</v>
      </c>
      <c r="BU16" t="s">
        <v>136</v>
      </c>
      <c r="BV16" t="s">
        <v>80</v>
      </c>
      <c r="BY16">
        <v>1200</v>
      </c>
      <c r="CA16" t="s">
        <v>137</v>
      </c>
      <c r="CC16" t="s">
        <v>134</v>
      </c>
      <c r="CD16">
        <v>4450</v>
      </c>
      <c r="CE16" t="s">
        <v>73</v>
      </c>
      <c r="CF16" s="1">
        <v>43935</v>
      </c>
      <c r="CI16">
        <v>1</v>
      </c>
      <c r="CJ16">
        <v>1</v>
      </c>
      <c r="CK16">
        <v>23</v>
      </c>
      <c r="CL16" t="s">
        <v>74</v>
      </c>
    </row>
    <row r="17" spans="1:90" x14ac:dyDescent="0.25">
      <c r="A17" t="s">
        <v>61</v>
      </c>
      <c r="B17" t="s">
        <v>62</v>
      </c>
      <c r="C17" t="s">
        <v>63</v>
      </c>
      <c r="E17" t="str">
        <f>"FES1162744278"</f>
        <v>FES1162744278</v>
      </c>
      <c r="F17" s="1">
        <v>43927</v>
      </c>
      <c r="G17">
        <v>202010</v>
      </c>
      <c r="H17" t="s">
        <v>64</v>
      </c>
      <c r="I17" t="s">
        <v>65</v>
      </c>
      <c r="J17" t="s">
        <v>66</v>
      </c>
      <c r="K17" t="s">
        <v>67</v>
      </c>
      <c r="L17" t="s">
        <v>120</v>
      </c>
      <c r="M17" t="s">
        <v>121</v>
      </c>
      <c r="N17" t="s">
        <v>138</v>
      </c>
      <c r="O17" t="s">
        <v>69</v>
      </c>
      <c r="P17" t="str">
        <f>"2170735607                    "</f>
        <v xml:space="preserve">2170735607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4.1900000000000004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46.06</v>
      </c>
      <c r="BM17">
        <v>6.91</v>
      </c>
      <c r="BN17">
        <v>52.97</v>
      </c>
      <c r="BO17">
        <v>52.97</v>
      </c>
      <c r="BQ17" t="s">
        <v>78</v>
      </c>
      <c r="BR17" t="s">
        <v>71</v>
      </c>
      <c r="BS17" s="1">
        <v>43928</v>
      </c>
      <c r="BT17" s="2">
        <v>0.48680555555555555</v>
      </c>
      <c r="BU17" t="s">
        <v>139</v>
      </c>
      <c r="BV17" t="s">
        <v>74</v>
      </c>
      <c r="BW17" t="s">
        <v>85</v>
      </c>
      <c r="BX17" t="s">
        <v>128</v>
      </c>
      <c r="BY17">
        <v>1200</v>
      </c>
      <c r="CA17" t="s">
        <v>140</v>
      </c>
      <c r="CC17" t="s">
        <v>121</v>
      </c>
      <c r="CD17">
        <v>4001</v>
      </c>
      <c r="CE17" t="s">
        <v>73</v>
      </c>
      <c r="CF17" s="1">
        <v>43928</v>
      </c>
      <c r="CI17">
        <v>1</v>
      </c>
      <c r="CJ17">
        <v>1</v>
      </c>
      <c r="CK17">
        <v>21</v>
      </c>
      <c r="CL17" t="s">
        <v>74</v>
      </c>
    </row>
    <row r="18" spans="1:90" x14ac:dyDescent="0.25">
      <c r="A18" t="s">
        <v>61</v>
      </c>
      <c r="B18" t="s">
        <v>62</v>
      </c>
      <c r="C18" t="s">
        <v>63</v>
      </c>
      <c r="E18" t="str">
        <f>"FES1162744169"</f>
        <v>FES1162744169</v>
      </c>
      <c r="F18" s="1">
        <v>43927</v>
      </c>
      <c r="G18">
        <v>202010</v>
      </c>
      <c r="H18" t="s">
        <v>64</v>
      </c>
      <c r="I18" t="s">
        <v>65</v>
      </c>
      <c r="J18" t="s">
        <v>66</v>
      </c>
      <c r="K18" t="s">
        <v>67</v>
      </c>
      <c r="L18" t="s">
        <v>92</v>
      </c>
      <c r="M18" t="s">
        <v>93</v>
      </c>
      <c r="N18" t="s">
        <v>141</v>
      </c>
      <c r="O18" t="s">
        <v>69</v>
      </c>
      <c r="P18" t="str">
        <f>"2170731383                    "</f>
        <v xml:space="preserve">2170731383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4.1900000000000004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1.2</v>
      </c>
      <c r="BJ18">
        <v>0.9</v>
      </c>
      <c r="BK18">
        <v>1.5</v>
      </c>
      <c r="BL18">
        <v>46.06</v>
      </c>
      <c r="BM18">
        <v>6.91</v>
      </c>
      <c r="BN18">
        <v>52.97</v>
      </c>
      <c r="BO18">
        <v>52.97</v>
      </c>
      <c r="BQ18" t="s">
        <v>78</v>
      </c>
      <c r="BR18" t="s">
        <v>71</v>
      </c>
      <c r="BS18" s="1">
        <v>43928</v>
      </c>
      <c r="BT18" s="2">
        <v>0.34166666666666662</v>
      </c>
      <c r="BU18" t="s">
        <v>142</v>
      </c>
      <c r="BV18" t="s">
        <v>80</v>
      </c>
      <c r="BY18">
        <v>4473.72</v>
      </c>
      <c r="CA18" t="s">
        <v>143</v>
      </c>
      <c r="CC18" t="s">
        <v>93</v>
      </c>
      <c r="CD18">
        <v>7493</v>
      </c>
      <c r="CE18" t="s">
        <v>91</v>
      </c>
      <c r="CF18" s="1">
        <v>43928</v>
      </c>
      <c r="CI18">
        <v>1</v>
      </c>
      <c r="CJ18">
        <v>1</v>
      </c>
      <c r="CK18">
        <v>21</v>
      </c>
      <c r="CL18" t="s">
        <v>74</v>
      </c>
    </row>
    <row r="19" spans="1:90" x14ac:dyDescent="0.25">
      <c r="A19" t="s">
        <v>61</v>
      </c>
      <c r="B19" t="s">
        <v>62</v>
      </c>
      <c r="C19" t="s">
        <v>63</v>
      </c>
      <c r="E19" t="str">
        <f>"FES1162744327"</f>
        <v>FES1162744327</v>
      </c>
      <c r="F19" s="1">
        <v>43927</v>
      </c>
      <c r="G19">
        <v>202010</v>
      </c>
      <c r="H19" t="s">
        <v>64</v>
      </c>
      <c r="I19" t="s">
        <v>65</v>
      </c>
      <c r="J19" t="s">
        <v>66</v>
      </c>
      <c r="K19" t="s">
        <v>67</v>
      </c>
      <c r="L19" t="s">
        <v>92</v>
      </c>
      <c r="M19" t="s">
        <v>93</v>
      </c>
      <c r="N19" t="s">
        <v>144</v>
      </c>
      <c r="O19" t="s">
        <v>69</v>
      </c>
      <c r="P19" t="str">
        <f>"2170733245                    "</f>
        <v xml:space="preserve">2170733245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4.1900000000000004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46.06</v>
      </c>
      <c r="BM19">
        <v>6.91</v>
      </c>
      <c r="BN19">
        <v>52.97</v>
      </c>
      <c r="BO19">
        <v>52.97</v>
      </c>
      <c r="BQ19" t="s">
        <v>78</v>
      </c>
      <c r="BR19" t="s">
        <v>71</v>
      </c>
      <c r="BS19" s="1">
        <v>43928</v>
      </c>
      <c r="BT19" s="2">
        <v>0.41666666666666669</v>
      </c>
      <c r="BU19" t="s">
        <v>145</v>
      </c>
      <c r="BV19" t="s">
        <v>80</v>
      </c>
      <c r="BY19">
        <v>1200</v>
      </c>
      <c r="CC19" t="s">
        <v>93</v>
      </c>
      <c r="CD19">
        <v>7530</v>
      </c>
      <c r="CE19" t="s">
        <v>73</v>
      </c>
      <c r="CF19" s="1">
        <v>43929</v>
      </c>
      <c r="CI19">
        <v>1</v>
      </c>
      <c r="CJ19">
        <v>1</v>
      </c>
      <c r="CK19">
        <v>21</v>
      </c>
      <c r="CL19" t="s">
        <v>74</v>
      </c>
    </row>
    <row r="20" spans="1:90" x14ac:dyDescent="0.25">
      <c r="A20" t="s">
        <v>61</v>
      </c>
      <c r="B20" t="s">
        <v>62</v>
      </c>
      <c r="C20" t="s">
        <v>63</v>
      </c>
      <c r="E20" t="str">
        <f>"FES1162744239"</f>
        <v>FES1162744239</v>
      </c>
      <c r="F20" s="1">
        <v>43927</v>
      </c>
      <c r="G20">
        <v>202010</v>
      </c>
      <c r="H20" t="s">
        <v>64</v>
      </c>
      <c r="I20" t="s">
        <v>65</v>
      </c>
      <c r="J20" t="s">
        <v>66</v>
      </c>
      <c r="K20" t="s">
        <v>67</v>
      </c>
      <c r="L20" t="s">
        <v>120</v>
      </c>
      <c r="M20" t="s">
        <v>121</v>
      </c>
      <c r="N20" t="s">
        <v>122</v>
      </c>
      <c r="O20" t="s">
        <v>69</v>
      </c>
      <c r="P20" t="str">
        <f>"2170735065                    "</f>
        <v xml:space="preserve">2170735065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4.1900000000000004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46.06</v>
      </c>
      <c r="BM20">
        <v>6.91</v>
      </c>
      <c r="BN20">
        <v>52.97</v>
      </c>
      <c r="BO20">
        <v>52.97</v>
      </c>
      <c r="BQ20" t="s">
        <v>70</v>
      </c>
      <c r="BR20" t="s">
        <v>71</v>
      </c>
      <c r="BS20" s="1">
        <v>43929</v>
      </c>
      <c r="BT20" s="2">
        <v>0.41666666666666669</v>
      </c>
      <c r="BU20" t="s">
        <v>123</v>
      </c>
      <c r="BV20" t="s">
        <v>74</v>
      </c>
      <c r="BW20" t="s">
        <v>124</v>
      </c>
      <c r="BX20" t="s">
        <v>125</v>
      </c>
      <c r="BY20">
        <v>1200</v>
      </c>
      <c r="CC20" t="s">
        <v>121</v>
      </c>
      <c r="CD20">
        <v>4052</v>
      </c>
      <c r="CE20" t="s">
        <v>73</v>
      </c>
      <c r="CF20" s="1">
        <v>43935</v>
      </c>
      <c r="CI20">
        <v>1</v>
      </c>
      <c r="CJ20">
        <v>2</v>
      </c>
      <c r="CK20">
        <v>21</v>
      </c>
      <c r="CL20" t="s">
        <v>74</v>
      </c>
    </row>
    <row r="21" spans="1:90" x14ac:dyDescent="0.25">
      <c r="A21" t="s">
        <v>61</v>
      </c>
      <c r="B21" t="s">
        <v>62</v>
      </c>
      <c r="C21" t="s">
        <v>63</v>
      </c>
      <c r="E21" t="str">
        <f>"FES1162744284"</f>
        <v>FES1162744284</v>
      </c>
      <c r="F21" s="1">
        <v>43927</v>
      </c>
      <c r="G21">
        <v>202010</v>
      </c>
      <c r="H21" t="s">
        <v>64</v>
      </c>
      <c r="I21" t="s">
        <v>65</v>
      </c>
      <c r="J21" t="s">
        <v>66</v>
      </c>
      <c r="K21" t="s">
        <v>67</v>
      </c>
      <c r="L21" t="s">
        <v>146</v>
      </c>
      <c r="M21" t="s">
        <v>147</v>
      </c>
      <c r="N21" t="s">
        <v>148</v>
      </c>
      <c r="O21" t="s">
        <v>69</v>
      </c>
      <c r="P21" t="str">
        <f>"2170735576                    "</f>
        <v xml:space="preserve">2170735576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4.1900000000000004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46.06</v>
      </c>
      <c r="BM21">
        <v>6.91</v>
      </c>
      <c r="BN21">
        <v>52.97</v>
      </c>
      <c r="BO21">
        <v>52.97</v>
      </c>
      <c r="BQ21" t="s">
        <v>78</v>
      </c>
      <c r="BR21" t="s">
        <v>71</v>
      </c>
      <c r="BS21" s="1">
        <v>43928</v>
      </c>
      <c r="BT21" s="2">
        <v>0.40347222222222223</v>
      </c>
      <c r="BU21" t="s">
        <v>149</v>
      </c>
      <c r="BV21" t="s">
        <v>80</v>
      </c>
      <c r="BY21">
        <v>1200</v>
      </c>
      <c r="CA21" t="s">
        <v>150</v>
      </c>
      <c r="CC21" t="s">
        <v>147</v>
      </c>
      <c r="CD21">
        <v>6014</v>
      </c>
      <c r="CE21" t="s">
        <v>73</v>
      </c>
      <c r="CF21" s="1">
        <v>43928</v>
      </c>
      <c r="CI21">
        <v>1</v>
      </c>
      <c r="CJ21">
        <v>1</v>
      </c>
      <c r="CK21">
        <v>21</v>
      </c>
      <c r="CL21" t="s">
        <v>74</v>
      </c>
    </row>
    <row r="22" spans="1:90" x14ac:dyDescent="0.25">
      <c r="A22" t="s">
        <v>61</v>
      </c>
      <c r="B22" t="s">
        <v>62</v>
      </c>
      <c r="C22" t="s">
        <v>63</v>
      </c>
      <c r="E22" t="str">
        <f>"FES1162744311"</f>
        <v>FES1162744311</v>
      </c>
      <c r="F22" s="1">
        <v>43928</v>
      </c>
      <c r="G22">
        <v>202010</v>
      </c>
      <c r="H22" t="s">
        <v>64</v>
      </c>
      <c r="I22" t="s">
        <v>65</v>
      </c>
      <c r="J22" t="s">
        <v>66</v>
      </c>
      <c r="K22" t="s">
        <v>67</v>
      </c>
      <c r="L22" t="s">
        <v>151</v>
      </c>
      <c r="M22" t="s">
        <v>152</v>
      </c>
      <c r="N22" t="s">
        <v>153</v>
      </c>
      <c r="O22" t="s">
        <v>69</v>
      </c>
      <c r="P22" t="str">
        <f>"2170735000                    "</f>
        <v xml:space="preserve">2170735000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18.829999999999998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9</v>
      </c>
      <c r="BJ22">
        <v>7.9</v>
      </c>
      <c r="BK22">
        <v>9</v>
      </c>
      <c r="BL22">
        <v>207.14</v>
      </c>
      <c r="BM22">
        <v>31.07</v>
      </c>
      <c r="BN22">
        <v>238.21</v>
      </c>
      <c r="BO22">
        <v>238.21</v>
      </c>
      <c r="BQ22" t="s">
        <v>78</v>
      </c>
      <c r="BR22" t="s">
        <v>71</v>
      </c>
      <c r="BS22" s="1">
        <v>43942</v>
      </c>
      <c r="BT22" s="2">
        <v>0.41666666666666669</v>
      </c>
      <c r="BU22" t="s">
        <v>154</v>
      </c>
      <c r="BV22" t="s">
        <v>74</v>
      </c>
      <c r="BY22">
        <v>39639.120000000003</v>
      </c>
      <c r="CC22" t="s">
        <v>152</v>
      </c>
      <c r="CD22">
        <v>3699</v>
      </c>
      <c r="CE22" t="s">
        <v>91</v>
      </c>
      <c r="CF22" s="1">
        <v>43944</v>
      </c>
      <c r="CI22">
        <v>1</v>
      </c>
      <c r="CJ22">
        <v>10</v>
      </c>
      <c r="CK22">
        <v>21</v>
      </c>
      <c r="CL22" t="s">
        <v>74</v>
      </c>
    </row>
    <row r="23" spans="1:90" x14ac:dyDescent="0.25">
      <c r="A23" t="s">
        <v>61</v>
      </c>
      <c r="B23" t="s">
        <v>62</v>
      </c>
      <c r="C23" t="s">
        <v>63</v>
      </c>
      <c r="E23" t="str">
        <f>"FES1162744637"</f>
        <v>FES1162744637</v>
      </c>
      <c r="F23" s="1">
        <v>43930</v>
      </c>
      <c r="G23">
        <v>202010</v>
      </c>
      <c r="H23" t="s">
        <v>64</v>
      </c>
      <c r="I23" t="s">
        <v>65</v>
      </c>
      <c r="J23" t="s">
        <v>66</v>
      </c>
      <c r="K23" t="s">
        <v>67</v>
      </c>
      <c r="L23" t="s">
        <v>75</v>
      </c>
      <c r="M23" t="s">
        <v>76</v>
      </c>
      <c r="N23" t="s">
        <v>155</v>
      </c>
      <c r="O23" t="s">
        <v>69</v>
      </c>
      <c r="P23" t="str">
        <f>"2170735306                    "</f>
        <v xml:space="preserve">2170735306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3.27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1.7</v>
      </c>
      <c r="BJ23">
        <v>0.9</v>
      </c>
      <c r="BK23">
        <v>2</v>
      </c>
      <c r="BL23">
        <v>35.979999999999997</v>
      </c>
      <c r="BM23">
        <v>5.4</v>
      </c>
      <c r="BN23">
        <v>41.38</v>
      </c>
      <c r="BO23">
        <v>41.38</v>
      </c>
      <c r="BQ23" t="s">
        <v>78</v>
      </c>
      <c r="BR23" t="s">
        <v>71</v>
      </c>
      <c r="BS23" s="1">
        <v>43935</v>
      </c>
      <c r="BT23" s="2">
        <v>0.35416666666666669</v>
      </c>
      <c r="BU23" t="s">
        <v>156</v>
      </c>
      <c r="BV23" t="s">
        <v>80</v>
      </c>
      <c r="BY23">
        <v>4360.7</v>
      </c>
      <c r="CA23" t="s">
        <v>157</v>
      </c>
      <c r="CC23" t="s">
        <v>76</v>
      </c>
      <c r="CD23">
        <v>1459</v>
      </c>
      <c r="CE23" t="s">
        <v>91</v>
      </c>
      <c r="CF23" s="1">
        <v>43936</v>
      </c>
      <c r="CI23">
        <v>1</v>
      </c>
      <c r="CJ23">
        <v>3</v>
      </c>
      <c r="CK23">
        <v>22</v>
      </c>
      <c r="CL23" t="s">
        <v>74</v>
      </c>
    </row>
    <row r="24" spans="1:90" x14ac:dyDescent="0.25">
      <c r="A24" t="s">
        <v>61</v>
      </c>
      <c r="B24" t="s">
        <v>62</v>
      </c>
      <c r="C24" t="s">
        <v>63</v>
      </c>
      <c r="E24" t="str">
        <f>"FES1162744830"</f>
        <v>FES1162744830</v>
      </c>
      <c r="F24" s="1">
        <v>43936</v>
      </c>
      <c r="G24">
        <v>202010</v>
      </c>
      <c r="H24" t="s">
        <v>64</v>
      </c>
      <c r="I24" t="s">
        <v>65</v>
      </c>
      <c r="J24" t="s">
        <v>66</v>
      </c>
      <c r="K24" t="s">
        <v>67</v>
      </c>
      <c r="L24" t="s">
        <v>158</v>
      </c>
      <c r="M24" t="s">
        <v>159</v>
      </c>
      <c r="N24" t="s">
        <v>160</v>
      </c>
      <c r="O24" t="s">
        <v>69</v>
      </c>
      <c r="P24" t="str">
        <f>"2170736062                    "</f>
        <v xml:space="preserve">2170736062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8.3699999999999992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3.8</v>
      </c>
      <c r="BJ24">
        <v>3.5</v>
      </c>
      <c r="BK24">
        <v>4</v>
      </c>
      <c r="BL24">
        <v>92.08</v>
      </c>
      <c r="BM24">
        <v>13.81</v>
      </c>
      <c r="BN24">
        <v>105.89</v>
      </c>
      <c r="BO24">
        <v>105.89</v>
      </c>
      <c r="BQ24" t="s">
        <v>70</v>
      </c>
      <c r="BR24" t="s">
        <v>71</v>
      </c>
      <c r="BS24" s="1">
        <v>43939</v>
      </c>
      <c r="BT24" s="2">
        <v>0.41666666666666669</v>
      </c>
      <c r="BU24" t="s">
        <v>161</v>
      </c>
      <c r="BV24" t="s">
        <v>74</v>
      </c>
      <c r="BY24">
        <v>17483.52</v>
      </c>
      <c r="CC24" t="s">
        <v>159</v>
      </c>
      <c r="CD24">
        <v>3290</v>
      </c>
      <c r="CE24" t="s">
        <v>91</v>
      </c>
      <c r="CF24" s="1">
        <v>43941</v>
      </c>
      <c r="CI24">
        <v>1</v>
      </c>
      <c r="CJ24">
        <v>2</v>
      </c>
      <c r="CK24">
        <v>21</v>
      </c>
      <c r="CL24" t="s">
        <v>74</v>
      </c>
    </row>
    <row r="25" spans="1:90" x14ac:dyDescent="0.25">
      <c r="A25" t="s">
        <v>61</v>
      </c>
      <c r="B25" t="s">
        <v>62</v>
      </c>
      <c r="C25" t="s">
        <v>63</v>
      </c>
      <c r="E25" t="str">
        <f>"FES1162744042"</f>
        <v>FES1162744042</v>
      </c>
      <c r="F25" s="1">
        <v>43923</v>
      </c>
      <c r="G25">
        <v>202010</v>
      </c>
      <c r="H25" t="s">
        <v>64</v>
      </c>
      <c r="I25" t="s">
        <v>65</v>
      </c>
      <c r="J25" t="s">
        <v>66</v>
      </c>
      <c r="K25" t="s">
        <v>67</v>
      </c>
      <c r="L25" t="s">
        <v>92</v>
      </c>
      <c r="M25" t="s">
        <v>93</v>
      </c>
      <c r="N25" t="s">
        <v>162</v>
      </c>
      <c r="O25" t="s">
        <v>69</v>
      </c>
      <c r="P25" t="str">
        <f>"2170735360                    "</f>
        <v xml:space="preserve">2170735360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14.65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7</v>
      </c>
      <c r="BJ25">
        <v>2.2000000000000002</v>
      </c>
      <c r="BK25">
        <v>7</v>
      </c>
      <c r="BL25">
        <v>161.12</v>
      </c>
      <c r="BM25">
        <v>24.17</v>
      </c>
      <c r="BN25">
        <v>185.29</v>
      </c>
      <c r="BO25">
        <v>185.29</v>
      </c>
      <c r="BQ25" t="s">
        <v>70</v>
      </c>
      <c r="BR25" t="s">
        <v>71</v>
      </c>
      <c r="BS25" s="1">
        <v>43924</v>
      </c>
      <c r="BT25" s="2">
        <v>0.3972222222222222</v>
      </c>
      <c r="BU25" t="s">
        <v>163</v>
      </c>
      <c r="BV25" t="s">
        <v>80</v>
      </c>
      <c r="BY25">
        <v>10909.82</v>
      </c>
      <c r="BZ25" t="s">
        <v>23</v>
      </c>
      <c r="CA25" t="s">
        <v>164</v>
      </c>
      <c r="CC25" t="s">
        <v>93</v>
      </c>
      <c r="CD25">
        <v>7405</v>
      </c>
      <c r="CE25" t="s">
        <v>91</v>
      </c>
      <c r="CF25" s="1">
        <v>43924</v>
      </c>
      <c r="CI25">
        <v>1</v>
      </c>
      <c r="CJ25">
        <v>1</v>
      </c>
      <c r="CK25">
        <v>21</v>
      </c>
      <c r="CL25" t="s">
        <v>74</v>
      </c>
    </row>
    <row r="26" spans="1:90" x14ac:dyDescent="0.25">
      <c r="A26" t="s">
        <v>61</v>
      </c>
      <c r="B26" t="s">
        <v>62</v>
      </c>
      <c r="C26" t="s">
        <v>63</v>
      </c>
      <c r="E26" t="str">
        <f>"FES1162743970"</f>
        <v>FES1162743970</v>
      </c>
      <c r="F26" s="1">
        <v>43923</v>
      </c>
      <c r="G26">
        <v>202010</v>
      </c>
      <c r="H26" t="s">
        <v>64</v>
      </c>
      <c r="I26" t="s">
        <v>65</v>
      </c>
      <c r="J26" t="s">
        <v>66</v>
      </c>
      <c r="K26" t="s">
        <v>67</v>
      </c>
      <c r="L26" t="s">
        <v>92</v>
      </c>
      <c r="M26" t="s">
        <v>93</v>
      </c>
      <c r="N26" t="s">
        <v>165</v>
      </c>
      <c r="O26" t="s">
        <v>69</v>
      </c>
      <c r="P26" t="str">
        <f>"2170734355                    "</f>
        <v xml:space="preserve">2170734355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5.23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2.2000000000000002</v>
      </c>
      <c r="BJ26">
        <v>2</v>
      </c>
      <c r="BK26">
        <v>2.5</v>
      </c>
      <c r="BL26">
        <v>57.56</v>
      </c>
      <c r="BM26">
        <v>8.6300000000000008</v>
      </c>
      <c r="BN26">
        <v>66.19</v>
      </c>
      <c r="BO26">
        <v>66.19</v>
      </c>
      <c r="BQ26" t="s">
        <v>70</v>
      </c>
      <c r="BR26" t="s">
        <v>71</v>
      </c>
      <c r="BS26" s="1">
        <v>43924</v>
      </c>
      <c r="BT26" s="2">
        <v>0.30069444444444443</v>
      </c>
      <c r="BU26" t="s">
        <v>166</v>
      </c>
      <c r="BV26" t="s">
        <v>80</v>
      </c>
      <c r="BY26">
        <v>10000.58</v>
      </c>
      <c r="BZ26" t="s">
        <v>23</v>
      </c>
      <c r="CA26" t="s">
        <v>167</v>
      </c>
      <c r="CC26" t="s">
        <v>93</v>
      </c>
      <c r="CD26">
        <v>7530</v>
      </c>
      <c r="CE26" t="s">
        <v>73</v>
      </c>
      <c r="CF26" s="1">
        <v>43924</v>
      </c>
      <c r="CI26">
        <v>1</v>
      </c>
      <c r="CJ26">
        <v>1</v>
      </c>
      <c r="CK26">
        <v>21</v>
      </c>
      <c r="CL26" t="s">
        <v>74</v>
      </c>
    </row>
    <row r="27" spans="1:90" x14ac:dyDescent="0.25">
      <c r="A27" t="s">
        <v>61</v>
      </c>
      <c r="B27" t="s">
        <v>62</v>
      </c>
      <c r="C27" t="s">
        <v>63</v>
      </c>
      <c r="E27" t="str">
        <f>"FES1162744858"</f>
        <v>FES1162744858</v>
      </c>
      <c r="F27" s="1">
        <v>43937</v>
      </c>
      <c r="G27">
        <v>202010</v>
      </c>
      <c r="H27" t="s">
        <v>64</v>
      </c>
      <c r="I27" t="s">
        <v>65</v>
      </c>
      <c r="J27" t="s">
        <v>66</v>
      </c>
      <c r="K27" t="s">
        <v>67</v>
      </c>
      <c r="L27" t="s">
        <v>168</v>
      </c>
      <c r="M27" t="s">
        <v>169</v>
      </c>
      <c r="N27" t="s">
        <v>170</v>
      </c>
      <c r="O27" t="s">
        <v>69</v>
      </c>
      <c r="P27" t="str">
        <f>"2170736093                    "</f>
        <v xml:space="preserve">2170736093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4.1900000000000004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46.06</v>
      </c>
      <c r="BM27">
        <v>6.91</v>
      </c>
      <c r="BN27">
        <v>52.97</v>
      </c>
      <c r="BO27">
        <v>52.97</v>
      </c>
      <c r="BQ27" t="s">
        <v>78</v>
      </c>
      <c r="BR27" t="s">
        <v>71</v>
      </c>
      <c r="BS27" s="1">
        <v>43938</v>
      </c>
      <c r="BT27" s="2">
        <v>0.63958333333333328</v>
      </c>
      <c r="BU27" t="s">
        <v>171</v>
      </c>
      <c r="BV27" t="s">
        <v>74</v>
      </c>
      <c r="BW27" t="s">
        <v>85</v>
      </c>
      <c r="BX27" t="s">
        <v>128</v>
      </c>
      <c r="BY27">
        <v>1200</v>
      </c>
      <c r="CA27" t="s">
        <v>172</v>
      </c>
      <c r="CC27" t="s">
        <v>169</v>
      </c>
      <c r="CD27">
        <v>4026</v>
      </c>
      <c r="CE27" t="s">
        <v>73</v>
      </c>
      <c r="CF27" s="1">
        <v>43941</v>
      </c>
      <c r="CI27">
        <v>1</v>
      </c>
      <c r="CJ27">
        <v>1</v>
      </c>
      <c r="CK27">
        <v>21</v>
      </c>
      <c r="CL27" t="s">
        <v>74</v>
      </c>
    </row>
    <row r="28" spans="1:90" x14ac:dyDescent="0.25">
      <c r="A28" t="s">
        <v>61</v>
      </c>
      <c r="B28" t="s">
        <v>62</v>
      </c>
      <c r="C28" t="s">
        <v>63</v>
      </c>
      <c r="E28" t="str">
        <f>"FES1162745705"</f>
        <v>FES1162745705</v>
      </c>
      <c r="F28" s="1">
        <v>43950</v>
      </c>
      <c r="G28">
        <v>202010</v>
      </c>
      <c r="H28" t="s">
        <v>64</v>
      </c>
      <c r="I28" t="s">
        <v>65</v>
      </c>
      <c r="J28" t="s">
        <v>66</v>
      </c>
      <c r="K28" t="s">
        <v>67</v>
      </c>
      <c r="L28" t="s">
        <v>146</v>
      </c>
      <c r="M28" t="s">
        <v>147</v>
      </c>
      <c r="N28" t="s">
        <v>173</v>
      </c>
      <c r="O28" t="s">
        <v>69</v>
      </c>
      <c r="P28" t="str">
        <f>"2170736665                    "</f>
        <v xml:space="preserve">2170736665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4.1900000000000004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46.06</v>
      </c>
      <c r="BM28">
        <v>6.91</v>
      </c>
      <c r="BN28">
        <v>52.97</v>
      </c>
      <c r="BO28">
        <v>52.97</v>
      </c>
      <c r="BQ28" t="s">
        <v>70</v>
      </c>
      <c r="BR28" t="s">
        <v>71</v>
      </c>
      <c r="BS28" t="s">
        <v>72</v>
      </c>
      <c r="BY28">
        <v>1200</v>
      </c>
      <c r="CC28" t="s">
        <v>147</v>
      </c>
      <c r="CD28">
        <v>6001</v>
      </c>
      <c r="CE28" t="s">
        <v>73</v>
      </c>
      <c r="CI28">
        <v>1</v>
      </c>
      <c r="CJ28" t="s">
        <v>72</v>
      </c>
      <c r="CK28">
        <v>21</v>
      </c>
      <c r="CL28" t="s">
        <v>74</v>
      </c>
    </row>
    <row r="29" spans="1:90" x14ac:dyDescent="0.25">
      <c r="A29" t="s">
        <v>61</v>
      </c>
      <c r="B29" t="s">
        <v>62</v>
      </c>
      <c r="C29" t="s">
        <v>63</v>
      </c>
      <c r="E29" t="str">
        <f>"FES1162744545"</f>
        <v>FES1162744545</v>
      </c>
      <c r="F29" s="1">
        <v>43930</v>
      </c>
      <c r="G29">
        <v>202010</v>
      </c>
      <c r="H29" t="s">
        <v>64</v>
      </c>
      <c r="I29" t="s">
        <v>65</v>
      </c>
      <c r="J29" t="s">
        <v>66</v>
      </c>
      <c r="K29" t="s">
        <v>67</v>
      </c>
      <c r="L29" t="s">
        <v>92</v>
      </c>
      <c r="M29" t="s">
        <v>93</v>
      </c>
      <c r="N29" t="s">
        <v>94</v>
      </c>
      <c r="O29" t="s">
        <v>69</v>
      </c>
      <c r="P29" t="str">
        <f>"2170735892                    "</f>
        <v xml:space="preserve">2170735892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7.33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3.1</v>
      </c>
      <c r="BJ29">
        <v>1.3</v>
      </c>
      <c r="BK29">
        <v>3.5</v>
      </c>
      <c r="BL29">
        <v>80.58</v>
      </c>
      <c r="BM29">
        <v>12.09</v>
      </c>
      <c r="BN29">
        <v>92.67</v>
      </c>
      <c r="BO29">
        <v>92.67</v>
      </c>
      <c r="BQ29" t="s">
        <v>70</v>
      </c>
      <c r="BR29" t="s">
        <v>71</v>
      </c>
      <c r="BS29" s="1">
        <v>43935</v>
      </c>
      <c r="BT29" s="2">
        <v>0.54513888888888895</v>
      </c>
      <c r="BU29" t="s">
        <v>95</v>
      </c>
      <c r="BV29" t="s">
        <v>74</v>
      </c>
      <c r="BW29" t="s">
        <v>96</v>
      </c>
      <c r="BX29" t="s">
        <v>97</v>
      </c>
      <c r="BY29">
        <v>6732.44</v>
      </c>
      <c r="CA29" t="s">
        <v>98</v>
      </c>
      <c r="CC29" t="s">
        <v>93</v>
      </c>
      <c r="CD29">
        <v>7441</v>
      </c>
      <c r="CE29" t="s">
        <v>91</v>
      </c>
      <c r="CF29" s="1">
        <v>43936</v>
      </c>
      <c r="CI29">
        <v>1</v>
      </c>
      <c r="CJ29">
        <v>3</v>
      </c>
      <c r="CK29">
        <v>21</v>
      </c>
      <c r="CL29" t="s">
        <v>74</v>
      </c>
    </row>
    <row r="30" spans="1:90" x14ac:dyDescent="0.25">
      <c r="A30" t="s">
        <v>61</v>
      </c>
      <c r="B30" t="s">
        <v>62</v>
      </c>
      <c r="C30" t="s">
        <v>63</v>
      </c>
      <c r="E30" t="str">
        <f>"FES1162744198"</f>
        <v>FES1162744198</v>
      </c>
      <c r="F30" s="1">
        <v>43924</v>
      </c>
      <c r="G30">
        <v>202010</v>
      </c>
      <c r="H30" t="s">
        <v>64</v>
      </c>
      <c r="I30" t="s">
        <v>65</v>
      </c>
      <c r="J30" t="s">
        <v>66</v>
      </c>
      <c r="K30" t="s">
        <v>67</v>
      </c>
      <c r="L30" t="s">
        <v>92</v>
      </c>
      <c r="M30" t="s">
        <v>93</v>
      </c>
      <c r="N30" t="s">
        <v>174</v>
      </c>
      <c r="O30" t="s">
        <v>69</v>
      </c>
      <c r="P30" t="str">
        <f>"2170733480                    "</f>
        <v xml:space="preserve">2170733480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5.23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2.2000000000000002</v>
      </c>
      <c r="BK30">
        <v>2.5</v>
      </c>
      <c r="BL30">
        <v>57.56</v>
      </c>
      <c r="BM30">
        <v>8.6300000000000008</v>
      </c>
      <c r="BN30">
        <v>66.19</v>
      </c>
      <c r="BO30">
        <v>66.19</v>
      </c>
      <c r="BQ30" t="s">
        <v>70</v>
      </c>
      <c r="BR30" t="s">
        <v>71</v>
      </c>
      <c r="BS30" s="1">
        <v>43927</v>
      </c>
      <c r="BT30" s="2">
        <v>0.45208333333333334</v>
      </c>
      <c r="BU30" t="s">
        <v>175</v>
      </c>
      <c r="BV30" t="s">
        <v>74</v>
      </c>
      <c r="BW30" t="s">
        <v>96</v>
      </c>
      <c r="BX30" t="s">
        <v>97</v>
      </c>
      <c r="BY30">
        <v>10857.29</v>
      </c>
      <c r="BZ30" t="s">
        <v>23</v>
      </c>
      <c r="CA30" t="s">
        <v>176</v>
      </c>
      <c r="CC30" t="s">
        <v>93</v>
      </c>
      <c r="CD30">
        <v>7764</v>
      </c>
      <c r="CE30" t="s">
        <v>73</v>
      </c>
      <c r="CF30" s="1">
        <v>43927</v>
      </c>
      <c r="CI30">
        <v>1</v>
      </c>
      <c r="CJ30">
        <v>1</v>
      </c>
      <c r="CK30">
        <v>21</v>
      </c>
      <c r="CL30" t="s">
        <v>74</v>
      </c>
    </row>
    <row r="31" spans="1:90" x14ac:dyDescent="0.25">
      <c r="A31" t="s">
        <v>61</v>
      </c>
      <c r="B31" t="s">
        <v>62</v>
      </c>
      <c r="C31" t="s">
        <v>63</v>
      </c>
      <c r="E31" t="str">
        <f>"FES1162744245"</f>
        <v>FES1162744245</v>
      </c>
      <c r="F31" s="1">
        <v>43927</v>
      </c>
      <c r="G31">
        <v>202010</v>
      </c>
      <c r="H31" t="s">
        <v>64</v>
      </c>
      <c r="I31" t="s">
        <v>65</v>
      </c>
      <c r="J31" t="s">
        <v>66</v>
      </c>
      <c r="K31" t="s">
        <v>67</v>
      </c>
      <c r="L31" t="s">
        <v>177</v>
      </c>
      <c r="M31" t="s">
        <v>178</v>
      </c>
      <c r="N31" t="s">
        <v>179</v>
      </c>
      <c r="O31" t="s">
        <v>69</v>
      </c>
      <c r="P31" t="str">
        <f>"2170735406                    "</f>
        <v xml:space="preserve">2170735406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4.1900000000000004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46.06</v>
      </c>
      <c r="BM31">
        <v>6.91</v>
      </c>
      <c r="BN31">
        <v>52.97</v>
      </c>
      <c r="BO31">
        <v>52.97</v>
      </c>
      <c r="BQ31" t="s">
        <v>70</v>
      </c>
      <c r="BR31" t="s">
        <v>71</v>
      </c>
      <c r="BS31" s="1">
        <v>43929</v>
      </c>
      <c r="BT31" s="2">
        <v>0.41666666666666669</v>
      </c>
      <c r="BU31" t="s">
        <v>180</v>
      </c>
      <c r="BV31" t="s">
        <v>74</v>
      </c>
      <c r="BW31" t="s">
        <v>124</v>
      </c>
      <c r="BX31" t="s">
        <v>125</v>
      </c>
      <c r="BY31">
        <v>1200</v>
      </c>
      <c r="CC31" t="s">
        <v>178</v>
      </c>
      <c r="CD31">
        <v>4302</v>
      </c>
      <c r="CE31" t="s">
        <v>73</v>
      </c>
      <c r="CF31" s="1">
        <v>43935</v>
      </c>
      <c r="CI31">
        <v>1</v>
      </c>
      <c r="CJ31">
        <v>2</v>
      </c>
      <c r="CK31">
        <v>21</v>
      </c>
      <c r="CL31" t="s">
        <v>74</v>
      </c>
    </row>
    <row r="32" spans="1:90" x14ac:dyDescent="0.25">
      <c r="A32" t="s">
        <v>61</v>
      </c>
      <c r="B32" t="s">
        <v>62</v>
      </c>
      <c r="C32" t="s">
        <v>63</v>
      </c>
      <c r="E32" t="str">
        <f>"RFES1162743839"</f>
        <v>RFES1162743839</v>
      </c>
      <c r="F32" s="1">
        <v>43922</v>
      </c>
      <c r="G32">
        <v>202010</v>
      </c>
      <c r="H32" t="s">
        <v>75</v>
      </c>
      <c r="I32" t="s">
        <v>76</v>
      </c>
      <c r="J32" t="s">
        <v>181</v>
      </c>
      <c r="K32" t="s">
        <v>67</v>
      </c>
      <c r="L32" t="s">
        <v>64</v>
      </c>
      <c r="M32" t="s">
        <v>65</v>
      </c>
      <c r="N32" t="s">
        <v>66</v>
      </c>
      <c r="O32" t="s">
        <v>69</v>
      </c>
      <c r="P32" t="str">
        <f>"2170733506                    "</f>
        <v xml:space="preserve">2170733506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4.0599999999999996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3</v>
      </c>
      <c r="BJ32">
        <v>1.1000000000000001</v>
      </c>
      <c r="BK32">
        <v>3</v>
      </c>
      <c r="BL32">
        <v>44.61</v>
      </c>
      <c r="BM32">
        <v>6.69</v>
      </c>
      <c r="BN32">
        <v>51.3</v>
      </c>
      <c r="BO32">
        <v>51.3</v>
      </c>
      <c r="BQ32" t="s">
        <v>71</v>
      </c>
      <c r="BS32" s="1">
        <v>43923</v>
      </c>
      <c r="BT32" s="2">
        <v>0.35416666666666669</v>
      </c>
      <c r="BU32" t="s">
        <v>182</v>
      </c>
      <c r="BV32" t="s">
        <v>80</v>
      </c>
      <c r="BY32">
        <v>5621.62</v>
      </c>
      <c r="BZ32" t="s">
        <v>23</v>
      </c>
      <c r="CA32" t="s">
        <v>183</v>
      </c>
      <c r="CC32" t="s">
        <v>65</v>
      </c>
      <c r="CD32">
        <v>1601</v>
      </c>
      <c r="CE32" t="s">
        <v>73</v>
      </c>
      <c r="CF32" s="1">
        <v>43924</v>
      </c>
      <c r="CI32">
        <v>1</v>
      </c>
      <c r="CJ32">
        <v>1</v>
      </c>
      <c r="CK32">
        <v>22</v>
      </c>
      <c r="CL32" t="s">
        <v>74</v>
      </c>
    </row>
    <row r="33" spans="1:90" x14ac:dyDescent="0.25">
      <c r="A33" t="s">
        <v>61</v>
      </c>
      <c r="B33" t="s">
        <v>62</v>
      </c>
      <c r="C33" t="s">
        <v>63</v>
      </c>
      <c r="E33" t="str">
        <f>"FES1162744221"</f>
        <v>FES1162744221</v>
      </c>
      <c r="F33" s="1">
        <v>43927</v>
      </c>
      <c r="G33">
        <v>202010</v>
      </c>
      <c r="H33" t="s">
        <v>64</v>
      </c>
      <c r="I33" t="s">
        <v>65</v>
      </c>
      <c r="J33" t="s">
        <v>66</v>
      </c>
      <c r="K33" t="s">
        <v>67</v>
      </c>
      <c r="L33" t="s">
        <v>184</v>
      </c>
      <c r="M33" t="s">
        <v>185</v>
      </c>
      <c r="N33" t="s">
        <v>186</v>
      </c>
      <c r="O33" t="s">
        <v>69</v>
      </c>
      <c r="P33" t="str">
        <f>"2170733975                    "</f>
        <v xml:space="preserve">2170733975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8.11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89.23</v>
      </c>
      <c r="BM33">
        <v>13.38</v>
      </c>
      <c r="BN33">
        <v>102.61</v>
      </c>
      <c r="BO33">
        <v>102.61</v>
      </c>
      <c r="BQ33" t="s">
        <v>70</v>
      </c>
      <c r="BR33" t="s">
        <v>71</v>
      </c>
      <c r="BS33" s="1">
        <v>43928</v>
      </c>
      <c r="BT33" s="2">
        <v>0.4145833333333333</v>
      </c>
      <c r="BU33" t="s">
        <v>187</v>
      </c>
      <c r="BV33" t="s">
        <v>80</v>
      </c>
      <c r="BY33">
        <v>1200</v>
      </c>
      <c r="CA33" t="s">
        <v>188</v>
      </c>
      <c r="CC33" t="s">
        <v>185</v>
      </c>
      <c r="CD33">
        <v>7130</v>
      </c>
      <c r="CE33" t="s">
        <v>73</v>
      </c>
      <c r="CF33" s="1">
        <v>43928</v>
      </c>
      <c r="CI33">
        <v>1</v>
      </c>
      <c r="CJ33">
        <v>1</v>
      </c>
      <c r="CK33">
        <v>23</v>
      </c>
      <c r="CL33" t="s">
        <v>74</v>
      </c>
    </row>
    <row r="34" spans="1:90" x14ac:dyDescent="0.25">
      <c r="A34" t="s">
        <v>61</v>
      </c>
      <c r="B34" t="s">
        <v>62</v>
      </c>
      <c r="C34" t="s">
        <v>63</v>
      </c>
      <c r="E34" t="str">
        <f>"FES1162744261"</f>
        <v>FES1162744261</v>
      </c>
      <c r="F34" s="1">
        <v>43927</v>
      </c>
      <c r="G34">
        <v>202010</v>
      </c>
      <c r="H34" t="s">
        <v>64</v>
      </c>
      <c r="I34" t="s">
        <v>65</v>
      </c>
      <c r="J34" t="s">
        <v>66</v>
      </c>
      <c r="K34" t="s">
        <v>67</v>
      </c>
      <c r="L34" t="s">
        <v>92</v>
      </c>
      <c r="M34" t="s">
        <v>93</v>
      </c>
      <c r="N34" t="s">
        <v>94</v>
      </c>
      <c r="O34" t="s">
        <v>69</v>
      </c>
      <c r="P34" t="str">
        <f>"2170735587                    "</f>
        <v xml:space="preserve">2170735587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4.1900000000000004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46.06</v>
      </c>
      <c r="BM34">
        <v>6.91</v>
      </c>
      <c r="BN34">
        <v>52.97</v>
      </c>
      <c r="BO34">
        <v>52.97</v>
      </c>
      <c r="BQ34" t="s">
        <v>70</v>
      </c>
      <c r="BR34" t="s">
        <v>71</v>
      </c>
      <c r="BS34" s="1">
        <v>43928</v>
      </c>
      <c r="BT34" s="2">
        <v>0.51527777777777783</v>
      </c>
      <c r="BU34" t="s">
        <v>189</v>
      </c>
      <c r="BV34" t="s">
        <v>74</v>
      </c>
      <c r="BW34" t="s">
        <v>96</v>
      </c>
      <c r="BX34" t="s">
        <v>97</v>
      </c>
      <c r="BY34">
        <v>1200</v>
      </c>
      <c r="CA34" t="s">
        <v>190</v>
      </c>
      <c r="CC34" t="s">
        <v>93</v>
      </c>
      <c r="CD34">
        <v>7441</v>
      </c>
      <c r="CE34" t="s">
        <v>73</v>
      </c>
      <c r="CF34" s="1">
        <v>43928</v>
      </c>
      <c r="CI34">
        <v>1</v>
      </c>
      <c r="CJ34">
        <v>1</v>
      </c>
      <c r="CK34">
        <v>21</v>
      </c>
      <c r="CL34" t="s">
        <v>74</v>
      </c>
    </row>
    <row r="35" spans="1:90" x14ac:dyDescent="0.25">
      <c r="A35" t="s">
        <v>61</v>
      </c>
      <c r="B35" t="s">
        <v>62</v>
      </c>
      <c r="C35" t="s">
        <v>63</v>
      </c>
      <c r="E35" t="str">
        <f>"FES1162744157"</f>
        <v>FES1162744157</v>
      </c>
      <c r="F35" s="1">
        <v>43929</v>
      </c>
      <c r="G35">
        <v>202010</v>
      </c>
      <c r="H35" t="s">
        <v>64</v>
      </c>
      <c r="I35" t="s">
        <v>65</v>
      </c>
      <c r="J35" t="s">
        <v>66</v>
      </c>
      <c r="K35" t="s">
        <v>67</v>
      </c>
      <c r="L35" t="s">
        <v>92</v>
      </c>
      <c r="M35" t="s">
        <v>93</v>
      </c>
      <c r="N35" t="s">
        <v>165</v>
      </c>
      <c r="O35" t="s">
        <v>69</v>
      </c>
      <c r="P35" t="str">
        <f>"2170734355                    "</f>
        <v xml:space="preserve">2170734355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7.33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3.4</v>
      </c>
      <c r="BJ35">
        <v>0.9</v>
      </c>
      <c r="BK35">
        <v>3.5</v>
      </c>
      <c r="BL35">
        <v>80.58</v>
      </c>
      <c r="BM35">
        <v>12.09</v>
      </c>
      <c r="BN35">
        <v>92.67</v>
      </c>
      <c r="BO35">
        <v>92.67</v>
      </c>
      <c r="BQ35" t="s">
        <v>70</v>
      </c>
      <c r="BR35" t="s">
        <v>71</v>
      </c>
      <c r="BS35" s="1">
        <v>43930</v>
      </c>
      <c r="BT35" s="2">
        <v>0.30486111111111108</v>
      </c>
      <c r="BU35" t="s">
        <v>166</v>
      </c>
      <c r="BV35" t="s">
        <v>80</v>
      </c>
      <c r="BY35">
        <v>4708.96</v>
      </c>
      <c r="CA35" t="s">
        <v>167</v>
      </c>
      <c r="CC35" t="s">
        <v>93</v>
      </c>
      <c r="CD35">
        <v>7530</v>
      </c>
      <c r="CE35" t="s">
        <v>91</v>
      </c>
      <c r="CF35" s="1">
        <v>43935</v>
      </c>
      <c r="CI35">
        <v>1</v>
      </c>
      <c r="CJ35">
        <v>1</v>
      </c>
      <c r="CK35">
        <v>21</v>
      </c>
      <c r="CL35" t="s">
        <v>74</v>
      </c>
    </row>
    <row r="36" spans="1:90" x14ac:dyDescent="0.25">
      <c r="A36" t="s">
        <v>61</v>
      </c>
      <c r="B36" t="s">
        <v>62</v>
      </c>
      <c r="C36" t="s">
        <v>63</v>
      </c>
      <c r="E36" t="str">
        <f>"FES1162744555"</f>
        <v>FES1162744555</v>
      </c>
      <c r="F36" s="1">
        <v>43930</v>
      </c>
      <c r="G36">
        <v>202010</v>
      </c>
      <c r="H36" t="s">
        <v>64</v>
      </c>
      <c r="I36" t="s">
        <v>65</v>
      </c>
      <c r="J36" t="s">
        <v>66</v>
      </c>
      <c r="K36" t="s">
        <v>67</v>
      </c>
      <c r="L36" t="s">
        <v>64</v>
      </c>
      <c r="M36" t="s">
        <v>65</v>
      </c>
      <c r="N36" t="s">
        <v>191</v>
      </c>
      <c r="O36" t="s">
        <v>69</v>
      </c>
      <c r="P36" t="str">
        <f>"2170734746                    "</f>
        <v xml:space="preserve">2170734746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4.84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1.2</v>
      </c>
      <c r="BJ36">
        <v>3.6</v>
      </c>
      <c r="BK36">
        <v>4</v>
      </c>
      <c r="BL36">
        <v>53.23</v>
      </c>
      <c r="BM36">
        <v>7.98</v>
      </c>
      <c r="BN36">
        <v>61.21</v>
      </c>
      <c r="BO36">
        <v>61.21</v>
      </c>
      <c r="BQ36" t="s">
        <v>70</v>
      </c>
      <c r="BR36" t="s">
        <v>71</v>
      </c>
      <c r="BS36" s="1">
        <v>43935</v>
      </c>
      <c r="BT36" s="2">
        <v>0.4375</v>
      </c>
      <c r="BU36" t="s">
        <v>192</v>
      </c>
      <c r="BV36" t="s">
        <v>80</v>
      </c>
      <c r="BY36">
        <v>17846.240000000002</v>
      </c>
      <c r="CA36" t="s">
        <v>193</v>
      </c>
      <c r="CC36" t="s">
        <v>65</v>
      </c>
      <c r="CD36">
        <v>1601</v>
      </c>
      <c r="CE36" t="s">
        <v>91</v>
      </c>
      <c r="CF36" s="1">
        <v>43936</v>
      </c>
      <c r="CI36">
        <v>1</v>
      </c>
      <c r="CJ36">
        <v>3</v>
      </c>
      <c r="CK36">
        <v>22</v>
      </c>
      <c r="CL36" t="s">
        <v>74</v>
      </c>
    </row>
    <row r="37" spans="1:90" x14ac:dyDescent="0.25">
      <c r="A37" t="s">
        <v>61</v>
      </c>
      <c r="B37" t="s">
        <v>62</v>
      </c>
      <c r="C37" t="s">
        <v>63</v>
      </c>
      <c r="E37" t="str">
        <f>"FES1162744100"</f>
        <v>FES1162744100</v>
      </c>
      <c r="F37" s="1">
        <v>43924</v>
      </c>
      <c r="G37">
        <v>202010</v>
      </c>
      <c r="H37" t="s">
        <v>64</v>
      </c>
      <c r="I37" t="s">
        <v>65</v>
      </c>
      <c r="J37" t="s">
        <v>66</v>
      </c>
      <c r="K37" t="s">
        <v>67</v>
      </c>
      <c r="L37" t="s">
        <v>194</v>
      </c>
      <c r="M37" t="s">
        <v>195</v>
      </c>
      <c r="N37" t="s">
        <v>196</v>
      </c>
      <c r="O37" t="s">
        <v>69</v>
      </c>
      <c r="P37" t="str">
        <f>"2170735495                    "</f>
        <v xml:space="preserve">2170735495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19.100000000000001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5</v>
      </c>
      <c r="BJ37">
        <v>4.0999999999999996</v>
      </c>
      <c r="BK37">
        <v>5</v>
      </c>
      <c r="BL37">
        <v>210.14</v>
      </c>
      <c r="BM37">
        <v>31.52</v>
      </c>
      <c r="BN37">
        <v>241.66</v>
      </c>
      <c r="BO37">
        <v>241.66</v>
      </c>
      <c r="BQ37" t="s">
        <v>70</v>
      </c>
      <c r="BR37" t="s">
        <v>71</v>
      </c>
      <c r="BS37" s="1">
        <v>43927</v>
      </c>
      <c r="BT37" s="2">
        <v>0.39583333333333331</v>
      </c>
      <c r="BU37" t="s">
        <v>197</v>
      </c>
      <c r="BV37" t="s">
        <v>80</v>
      </c>
      <c r="BY37">
        <v>20400</v>
      </c>
      <c r="BZ37" t="s">
        <v>23</v>
      </c>
      <c r="CA37" t="s">
        <v>198</v>
      </c>
      <c r="CC37" t="s">
        <v>195</v>
      </c>
      <c r="CD37">
        <v>9880</v>
      </c>
      <c r="CE37" t="s">
        <v>91</v>
      </c>
      <c r="CF37" s="1">
        <v>43927</v>
      </c>
      <c r="CI37">
        <v>1</v>
      </c>
      <c r="CJ37">
        <v>1</v>
      </c>
      <c r="CK37">
        <v>23</v>
      </c>
      <c r="CL37" t="s">
        <v>74</v>
      </c>
    </row>
    <row r="38" spans="1:90" x14ac:dyDescent="0.25">
      <c r="A38" t="s">
        <v>61</v>
      </c>
      <c r="B38" t="s">
        <v>62</v>
      </c>
      <c r="C38" t="s">
        <v>63</v>
      </c>
      <c r="E38" t="str">
        <f>"FES1162744580"</f>
        <v>FES1162744580</v>
      </c>
      <c r="F38" s="1">
        <v>43930</v>
      </c>
      <c r="G38">
        <v>202010</v>
      </c>
      <c r="H38" t="s">
        <v>64</v>
      </c>
      <c r="I38" t="s">
        <v>65</v>
      </c>
      <c r="J38" t="s">
        <v>66</v>
      </c>
      <c r="K38" t="s">
        <v>67</v>
      </c>
      <c r="L38" t="s">
        <v>64</v>
      </c>
      <c r="M38" t="s">
        <v>65</v>
      </c>
      <c r="N38" t="s">
        <v>191</v>
      </c>
      <c r="O38" t="s">
        <v>69</v>
      </c>
      <c r="P38" t="str">
        <f>"2170735173                    "</f>
        <v xml:space="preserve">2170735173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3.27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35.979999999999997</v>
      </c>
      <c r="BM38">
        <v>5.4</v>
      </c>
      <c r="BN38">
        <v>41.38</v>
      </c>
      <c r="BO38">
        <v>41.38</v>
      </c>
      <c r="BQ38" t="s">
        <v>70</v>
      </c>
      <c r="BR38" t="s">
        <v>71</v>
      </c>
      <c r="BS38" s="1">
        <v>43935</v>
      </c>
      <c r="BT38" s="2">
        <v>0.31944444444444448</v>
      </c>
      <c r="BU38" t="s">
        <v>192</v>
      </c>
      <c r="BV38" t="s">
        <v>80</v>
      </c>
      <c r="BY38">
        <v>1200</v>
      </c>
      <c r="CA38" t="s">
        <v>193</v>
      </c>
      <c r="CC38" t="s">
        <v>65</v>
      </c>
      <c r="CD38">
        <v>1601</v>
      </c>
      <c r="CE38" t="s">
        <v>73</v>
      </c>
      <c r="CF38" s="1">
        <v>43936</v>
      </c>
      <c r="CI38">
        <v>1</v>
      </c>
      <c r="CJ38">
        <v>3</v>
      </c>
      <c r="CK38">
        <v>22</v>
      </c>
      <c r="CL38" t="s">
        <v>74</v>
      </c>
    </row>
    <row r="39" spans="1:90" x14ac:dyDescent="0.25">
      <c r="A39" t="s">
        <v>61</v>
      </c>
      <c r="B39" t="s">
        <v>62</v>
      </c>
      <c r="C39" t="s">
        <v>63</v>
      </c>
      <c r="E39" t="str">
        <f>"FES1162744226"</f>
        <v>FES1162744226</v>
      </c>
      <c r="F39" s="1">
        <v>43927</v>
      </c>
      <c r="G39">
        <v>202010</v>
      </c>
      <c r="H39" t="s">
        <v>64</v>
      </c>
      <c r="I39" t="s">
        <v>65</v>
      </c>
      <c r="J39" t="s">
        <v>66</v>
      </c>
      <c r="K39" t="s">
        <v>67</v>
      </c>
      <c r="L39" t="s">
        <v>199</v>
      </c>
      <c r="M39" t="s">
        <v>200</v>
      </c>
      <c r="N39" t="s">
        <v>201</v>
      </c>
      <c r="O39" t="s">
        <v>69</v>
      </c>
      <c r="P39" t="str">
        <f>"2170734253                    "</f>
        <v xml:space="preserve">2170734253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3.27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1.1000000000000001</v>
      </c>
      <c r="BJ39">
        <v>0.9</v>
      </c>
      <c r="BK39">
        <v>1.5</v>
      </c>
      <c r="BL39">
        <v>35.979999999999997</v>
      </c>
      <c r="BM39">
        <v>5.4</v>
      </c>
      <c r="BN39">
        <v>41.38</v>
      </c>
      <c r="BO39">
        <v>41.38</v>
      </c>
      <c r="BQ39" t="s">
        <v>78</v>
      </c>
      <c r="BR39" t="s">
        <v>71</v>
      </c>
      <c r="BS39" s="1">
        <v>43929</v>
      </c>
      <c r="BT39" s="2">
        <v>0.41666666666666669</v>
      </c>
      <c r="BU39" t="s">
        <v>202</v>
      </c>
      <c r="BV39" t="s">
        <v>74</v>
      </c>
      <c r="BW39" t="s">
        <v>85</v>
      </c>
      <c r="BX39" t="s">
        <v>203</v>
      </c>
      <c r="BY39">
        <v>4265.49</v>
      </c>
      <c r="CC39" t="s">
        <v>200</v>
      </c>
      <c r="CD39">
        <v>1559</v>
      </c>
      <c r="CE39" t="s">
        <v>91</v>
      </c>
      <c r="CF39" s="1">
        <v>43930</v>
      </c>
      <c r="CI39">
        <v>1</v>
      </c>
      <c r="CJ39">
        <v>2</v>
      </c>
      <c r="CK39">
        <v>22</v>
      </c>
      <c r="CL39" t="s">
        <v>74</v>
      </c>
    </row>
    <row r="40" spans="1:90" x14ac:dyDescent="0.25">
      <c r="A40" t="s">
        <v>61</v>
      </c>
      <c r="B40" t="s">
        <v>62</v>
      </c>
      <c r="C40" t="s">
        <v>63</v>
      </c>
      <c r="E40" t="str">
        <f>"FES1162744847"</f>
        <v>FES1162744847</v>
      </c>
      <c r="F40" s="1">
        <v>43936</v>
      </c>
      <c r="G40">
        <v>202010</v>
      </c>
      <c r="H40" t="s">
        <v>64</v>
      </c>
      <c r="I40" t="s">
        <v>65</v>
      </c>
      <c r="J40" t="s">
        <v>66</v>
      </c>
      <c r="K40" t="s">
        <v>67</v>
      </c>
      <c r="L40" t="s">
        <v>92</v>
      </c>
      <c r="M40" t="s">
        <v>93</v>
      </c>
      <c r="N40" t="s">
        <v>204</v>
      </c>
      <c r="O40" t="s">
        <v>69</v>
      </c>
      <c r="P40" t="str">
        <f>"2170736084                    "</f>
        <v xml:space="preserve">2170736084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4.1900000000000004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1.1000000000000001</v>
      </c>
      <c r="BJ40">
        <v>1.9</v>
      </c>
      <c r="BK40">
        <v>2</v>
      </c>
      <c r="BL40">
        <v>46.06</v>
      </c>
      <c r="BM40">
        <v>6.91</v>
      </c>
      <c r="BN40">
        <v>52.97</v>
      </c>
      <c r="BO40">
        <v>52.97</v>
      </c>
      <c r="BQ40" t="s">
        <v>78</v>
      </c>
      <c r="BR40" t="s">
        <v>71</v>
      </c>
      <c r="BS40" s="1">
        <v>43937</v>
      </c>
      <c r="BT40" s="2">
        <v>0.40763888888888888</v>
      </c>
      <c r="BU40" t="s">
        <v>205</v>
      </c>
      <c r="BV40" t="s">
        <v>80</v>
      </c>
      <c r="BY40">
        <v>9366.25</v>
      </c>
      <c r="CA40" t="s">
        <v>167</v>
      </c>
      <c r="CC40" t="s">
        <v>93</v>
      </c>
      <c r="CD40">
        <v>7530</v>
      </c>
      <c r="CE40" t="s">
        <v>91</v>
      </c>
      <c r="CF40" s="1">
        <v>43938</v>
      </c>
      <c r="CI40">
        <v>1</v>
      </c>
      <c r="CJ40">
        <v>1</v>
      </c>
      <c r="CK40">
        <v>21</v>
      </c>
      <c r="CL40" t="s">
        <v>74</v>
      </c>
    </row>
    <row r="41" spans="1:90" x14ac:dyDescent="0.25">
      <c r="A41" t="s">
        <v>61</v>
      </c>
      <c r="B41" t="s">
        <v>62</v>
      </c>
      <c r="C41" t="s">
        <v>63</v>
      </c>
      <c r="E41" t="str">
        <f>"FES1162744793"</f>
        <v>FES1162744793</v>
      </c>
      <c r="F41" s="1">
        <v>43936</v>
      </c>
      <c r="G41">
        <v>202010</v>
      </c>
      <c r="H41" t="s">
        <v>64</v>
      </c>
      <c r="I41" t="s">
        <v>65</v>
      </c>
      <c r="J41" t="s">
        <v>66</v>
      </c>
      <c r="K41" t="s">
        <v>67</v>
      </c>
      <c r="L41" t="s">
        <v>120</v>
      </c>
      <c r="M41" t="s">
        <v>121</v>
      </c>
      <c r="N41" t="s">
        <v>206</v>
      </c>
      <c r="O41" t="s">
        <v>69</v>
      </c>
      <c r="P41" t="str">
        <f>"2170735315                    "</f>
        <v xml:space="preserve">2170735315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4.1900000000000004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46.06</v>
      </c>
      <c r="BM41">
        <v>6.91</v>
      </c>
      <c r="BN41">
        <v>52.97</v>
      </c>
      <c r="BO41">
        <v>52.97</v>
      </c>
      <c r="BQ41" t="s">
        <v>70</v>
      </c>
      <c r="BR41" t="s">
        <v>71</v>
      </c>
      <c r="BS41" s="1">
        <v>43939</v>
      </c>
      <c r="BT41" s="2">
        <v>0.41666666666666669</v>
      </c>
      <c r="BU41" t="s">
        <v>207</v>
      </c>
      <c r="BV41" t="s">
        <v>74</v>
      </c>
      <c r="BY41">
        <v>1200</v>
      </c>
      <c r="CC41" t="s">
        <v>121</v>
      </c>
      <c r="CD41">
        <v>4000</v>
      </c>
      <c r="CE41" t="s">
        <v>73</v>
      </c>
      <c r="CF41" s="1">
        <v>43941</v>
      </c>
      <c r="CI41">
        <v>1</v>
      </c>
      <c r="CJ41">
        <v>2</v>
      </c>
      <c r="CK41">
        <v>21</v>
      </c>
      <c r="CL41" t="s">
        <v>74</v>
      </c>
    </row>
    <row r="42" spans="1:90" x14ac:dyDescent="0.25">
      <c r="A42" t="s">
        <v>61</v>
      </c>
      <c r="B42" t="s">
        <v>62</v>
      </c>
      <c r="C42" t="s">
        <v>63</v>
      </c>
      <c r="E42" t="str">
        <f>"FES1162744792"</f>
        <v>FES1162744792</v>
      </c>
      <c r="F42" s="1">
        <v>43936</v>
      </c>
      <c r="G42">
        <v>202010</v>
      </c>
      <c r="H42" t="s">
        <v>64</v>
      </c>
      <c r="I42" t="s">
        <v>65</v>
      </c>
      <c r="J42" t="s">
        <v>66</v>
      </c>
      <c r="K42" t="s">
        <v>67</v>
      </c>
      <c r="L42" t="s">
        <v>151</v>
      </c>
      <c r="M42" t="s">
        <v>152</v>
      </c>
      <c r="N42" t="s">
        <v>208</v>
      </c>
      <c r="O42" t="s">
        <v>69</v>
      </c>
      <c r="P42" t="str">
        <f>"2170732885                    "</f>
        <v xml:space="preserve">2170732885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4.1900000000000004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46.06</v>
      </c>
      <c r="BM42">
        <v>6.91</v>
      </c>
      <c r="BN42">
        <v>52.97</v>
      </c>
      <c r="BO42">
        <v>52.97</v>
      </c>
      <c r="BQ42" t="s">
        <v>78</v>
      </c>
      <c r="BR42" t="s">
        <v>71</v>
      </c>
      <c r="BS42" s="1">
        <v>43937</v>
      </c>
      <c r="BT42" s="2">
        <v>0.5</v>
      </c>
      <c r="BU42" t="s">
        <v>209</v>
      </c>
      <c r="BV42" t="s">
        <v>74</v>
      </c>
      <c r="BY42">
        <v>1200</v>
      </c>
      <c r="CC42" t="s">
        <v>152</v>
      </c>
      <c r="CD42">
        <v>3201</v>
      </c>
      <c r="CE42" t="s">
        <v>73</v>
      </c>
      <c r="CF42" s="1">
        <v>43941</v>
      </c>
      <c r="CI42">
        <v>1</v>
      </c>
      <c r="CJ42">
        <v>1</v>
      </c>
      <c r="CK42">
        <v>21</v>
      </c>
      <c r="CL42" t="s">
        <v>74</v>
      </c>
    </row>
    <row r="43" spans="1:90" x14ac:dyDescent="0.25">
      <c r="A43" t="s">
        <v>61</v>
      </c>
      <c r="B43" t="s">
        <v>62</v>
      </c>
      <c r="C43" t="s">
        <v>63</v>
      </c>
      <c r="E43" t="str">
        <f>"FES1162744786"</f>
        <v>FES1162744786</v>
      </c>
      <c r="F43" s="1">
        <v>43936</v>
      </c>
      <c r="G43">
        <v>202010</v>
      </c>
      <c r="H43" t="s">
        <v>64</v>
      </c>
      <c r="I43" t="s">
        <v>65</v>
      </c>
      <c r="J43" t="s">
        <v>66</v>
      </c>
      <c r="K43" t="s">
        <v>67</v>
      </c>
      <c r="L43" t="s">
        <v>120</v>
      </c>
      <c r="M43" t="s">
        <v>121</v>
      </c>
      <c r="N43" t="s">
        <v>210</v>
      </c>
      <c r="O43" t="s">
        <v>69</v>
      </c>
      <c r="P43" t="str">
        <f>"2170734873                    "</f>
        <v xml:space="preserve">2170734873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4.1900000000000004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46.06</v>
      </c>
      <c r="BM43">
        <v>6.91</v>
      </c>
      <c r="BN43">
        <v>52.97</v>
      </c>
      <c r="BO43">
        <v>52.97</v>
      </c>
      <c r="BQ43" t="s">
        <v>78</v>
      </c>
      <c r="BR43" t="s">
        <v>71</v>
      </c>
      <c r="BS43" s="1">
        <v>43938</v>
      </c>
      <c r="BT43" s="2">
        <v>0.47916666666666669</v>
      </c>
      <c r="BU43" t="s">
        <v>211</v>
      </c>
      <c r="BV43" t="s">
        <v>74</v>
      </c>
      <c r="BW43" t="s">
        <v>85</v>
      </c>
      <c r="BX43" t="s">
        <v>128</v>
      </c>
      <c r="BY43">
        <v>1200</v>
      </c>
      <c r="CC43" t="s">
        <v>121</v>
      </c>
      <c r="CD43">
        <v>4001</v>
      </c>
      <c r="CE43" t="s">
        <v>73</v>
      </c>
      <c r="CF43" s="1">
        <v>43941</v>
      </c>
      <c r="CI43">
        <v>1</v>
      </c>
      <c r="CJ43">
        <v>2</v>
      </c>
      <c r="CK43">
        <v>21</v>
      </c>
      <c r="CL43" t="s">
        <v>74</v>
      </c>
    </row>
    <row r="44" spans="1:90" x14ac:dyDescent="0.25">
      <c r="A44" t="s">
        <v>61</v>
      </c>
      <c r="B44" t="s">
        <v>62</v>
      </c>
      <c r="C44" t="s">
        <v>63</v>
      </c>
      <c r="E44" t="str">
        <f>"FES1162744256"</f>
        <v>FES1162744256</v>
      </c>
      <c r="F44" s="1">
        <v>43927</v>
      </c>
      <c r="G44">
        <v>202010</v>
      </c>
      <c r="H44" t="s">
        <v>64</v>
      </c>
      <c r="I44" t="s">
        <v>65</v>
      </c>
      <c r="J44" t="s">
        <v>66</v>
      </c>
      <c r="K44" t="s">
        <v>67</v>
      </c>
      <c r="L44" t="s">
        <v>212</v>
      </c>
      <c r="M44" t="s">
        <v>213</v>
      </c>
      <c r="N44" t="s">
        <v>214</v>
      </c>
      <c r="O44" t="s">
        <v>69</v>
      </c>
      <c r="P44" t="str">
        <f>"2170731718                    "</f>
        <v xml:space="preserve">2170731718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8.3699999999999992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3.9</v>
      </c>
      <c r="BJ44">
        <v>3.8</v>
      </c>
      <c r="BK44">
        <v>4</v>
      </c>
      <c r="BL44">
        <v>92.08</v>
      </c>
      <c r="BM44">
        <v>13.81</v>
      </c>
      <c r="BN44">
        <v>105.89</v>
      </c>
      <c r="BO44">
        <v>105.89</v>
      </c>
      <c r="BQ44" t="s">
        <v>70</v>
      </c>
      <c r="BR44" t="s">
        <v>71</v>
      </c>
      <c r="BS44" s="1">
        <v>43928</v>
      </c>
      <c r="BT44" s="2">
        <v>0.46527777777777773</v>
      </c>
      <c r="BU44" t="s">
        <v>215</v>
      </c>
      <c r="BV44" t="s">
        <v>80</v>
      </c>
      <c r="BY44">
        <v>19125.43</v>
      </c>
      <c r="CA44" t="s">
        <v>216</v>
      </c>
      <c r="CC44" t="s">
        <v>213</v>
      </c>
      <c r="CD44">
        <v>3610</v>
      </c>
      <c r="CE44" t="s">
        <v>91</v>
      </c>
      <c r="CF44" s="1">
        <v>43935</v>
      </c>
      <c r="CI44">
        <v>1</v>
      </c>
      <c r="CJ44">
        <v>1</v>
      </c>
      <c r="CK44">
        <v>21</v>
      </c>
      <c r="CL44" t="s">
        <v>74</v>
      </c>
    </row>
    <row r="45" spans="1:90" x14ac:dyDescent="0.25">
      <c r="A45" t="s">
        <v>61</v>
      </c>
      <c r="B45" t="s">
        <v>62</v>
      </c>
      <c r="C45" t="s">
        <v>63</v>
      </c>
      <c r="E45" t="str">
        <f>"FES1162744086"</f>
        <v>FES1162744086</v>
      </c>
      <c r="F45" s="1">
        <v>43927</v>
      </c>
      <c r="G45">
        <v>202010</v>
      </c>
      <c r="H45" t="s">
        <v>64</v>
      </c>
      <c r="I45" t="s">
        <v>65</v>
      </c>
      <c r="J45" t="s">
        <v>66</v>
      </c>
      <c r="K45" t="s">
        <v>67</v>
      </c>
      <c r="L45" t="s">
        <v>64</v>
      </c>
      <c r="M45" t="s">
        <v>65</v>
      </c>
      <c r="N45" t="s">
        <v>217</v>
      </c>
      <c r="O45" t="s">
        <v>69</v>
      </c>
      <c r="P45" t="str">
        <f>"2170735350                    "</f>
        <v xml:space="preserve">2170735350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3.27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35.979999999999997</v>
      </c>
      <c r="BM45">
        <v>5.4</v>
      </c>
      <c r="BN45">
        <v>41.38</v>
      </c>
      <c r="BO45">
        <v>41.38</v>
      </c>
      <c r="BQ45" t="s">
        <v>70</v>
      </c>
      <c r="BR45" t="s">
        <v>71</v>
      </c>
      <c r="BS45" s="1">
        <v>43928</v>
      </c>
      <c r="BT45" s="2">
        <v>0.42708333333333331</v>
      </c>
      <c r="BU45" t="s">
        <v>218</v>
      </c>
      <c r="BV45" t="s">
        <v>80</v>
      </c>
      <c r="BY45">
        <v>1200</v>
      </c>
      <c r="CA45" t="s">
        <v>193</v>
      </c>
      <c r="CC45" t="s">
        <v>65</v>
      </c>
      <c r="CD45">
        <v>1601</v>
      </c>
      <c r="CE45" t="s">
        <v>73</v>
      </c>
      <c r="CF45" s="1">
        <v>43929</v>
      </c>
      <c r="CI45">
        <v>1</v>
      </c>
      <c r="CJ45">
        <v>1</v>
      </c>
      <c r="CK45">
        <v>22</v>
      </c>
      <c r="CL45" t="s">
        <v>74</v>
      </c>
    </row>
    <row r="46" spans="1:90" x14ac:dyDescent="0.25">
      <c r="A46" t="s">
        <v>61</v>
      </c>
      <c r="B46" t="s">
        <v>62</v>
      </c>
      <c r="C46" t="s">
        <v>63</v>
      </c>
      <c r="E46" t="str">
        <f>"FES1162744294"</f>
        <v>FES1162744294</v>
      </c>
      <c r="F46" s="1">
        <v>43927</v>
      </c>
      <c r="G46">
        <v>202010</v>
      </c>
      <c r="H46" t="s">
        <v>64</v>
      </c>
      <c r="I46" t="s">
        <v>65</v>
      </c>
      <c r="J46" t="s">
        <v>66</v>
      </c>
      <c r="K46" t="s">
        <v>67</v>
      </c>
      <c r="L46" t="s">
        <v>64</v>
      </c>
      <c r="M46" t="s">
        <v>65</v>
      </c>
      <c r="N46" t="s">
        <v>217</v>
      </c>
      <c r="O46" t="s">
        <v>69</v>
      </c>
      <c r="P46" t="str">
        <f>"2170735030                    "</f>
        <v xml:space="preserve">2170735030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3.27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35.979999999999997</v>
      </c>
      <c r="BM46">
        <v>5.4</v>
      </c>
      <c r="BN46">
        <v>41.38</v>
      </c>
      <c r="BO46">
        <v>41.38</v>
      </c>
      <c r="BQ46" t="s">
        <v>70</v>
      </c>
      <c r="BR46" t="s">
        <v>71</v>
      </c>
      <c r="BS46" s="1">
        <v>43928</v>
      </c>
      <c r="BT46" s="2">
        <v>0.42708333333333331</v>
      </c>
      <c r="BU46" t="s">
        <v>218</v>
      </c>
      <c r="BV46" t="s">
        <v>80</v>
      </c>
      <c r="BY46">
        <v>1200</v>
      </c>
      <c r="CA46" t="s">
        <v>193</v>
      </c>
      <c r="CC46" t="s">
        <v>65</v>
      </c>
      <c r="CD46">
        <v>1601</v>
      </c>
      <c r="CE46" t="s">
        <v>73</v>
      </c>
      <c r="CF46" s="1">
        <v>43929</v>
      </c>
      <c r="CI46">
        <v>1</v>
      </c>
      <c r="CJ46">
        <v>1</v>
      </c>
      <c r="CK46">
        <v>22</v>
      </c>
      <c r="CL46" t="s">
        <v>74</v>
      </c>
    </row>
    <row r="47" spans="1:90" x14ac:dyDescent="0.25">
      <c r="A47" t="s">
        <v>61</v>
      </c>
      <c r="B47" t="s">
        <v>62</v>
      </c>
      <c r="C47" t="s">
        <v>63</v>
      </c>
      <c r="E47" t="str">
        <f>"FES1162744286"</f>
        <v>FES1162744286</v>
      </c>
      <c r="F47" s="1">
        <v>43927</v>
      </c>
      <c r="G47">
        <v>202010</v>
      </c>
      <c r="H47" t="s">
        <v>64</v>
      </c>
      <c r="I47" t="s">
        <v>65</v>
      </c>
      <c r="J47" t="s">
        <v>66</v>
      </c>
      <c r="K47" t="s">
        <v>67</v>
      </c>
      <c r="L47" t="s">
        <v>64</v>
      </c>
      <c r="M47" t="s">
        <v>65</v>
      </c>
      <c r="N47" t="s">
        <v>219</v>
      </c>
      <c r="O47" t="s">
        <v>69</v>
      </c>
      <c r="P47" t="str">
        <f>"2170735623                    "</f>
        <v xml:space="preserve">2170735623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12.29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13.1</v>
      </c>
      <c r="BJ47">
        <v>4.3</v>
      </c>
      <c r="BK47">
        <v>13.5</v>
      </c>
      <c r="BL47">
        <v>135.16</v>
      </c>
      <c r="BM47">
        <v>20.27</v>
      </c>
      <c r="BN47">
        <v>155.43</v>
      </c>
      <c r="BO47">
        <v>155.43</v>
      </c>
      <c r="BQ47" t="s">
        <v>78</v>
      </c>
      <c r="BR47" t="s">
        <v>71</v>
      </c>
      <c r="BS47" s="1">
        <v>43928</v>
      </c>
      <c r="BT47" s="2">
        <v>0.41666666666666669</v>
      </c>
      <c r="BU47" t="s">
        <v>220</v>
      </c>
      <c r="BV47" t="s">
        <v>80</v>
      </c>
      <c r="BY47">
        <v>21581.79</v>
      </c>
      <c r="CA47" t="s">
        <v>193</v>
      </c>
      <c r="CC47" t="s">
        <v>65</v>
      </c>
      <c r="CD47">
        <v>1601</v>
      </c>
      <c r="CE47" t="s">
        <v>91</v>
      </c>
      <c r="CF47" s="1">
        <v>43929</v>
      </c>
      <c r="CI47">
        <v>1</v>
      </c>
      <c r="CJ47">
        <v>1</v>
      </c>
      <c r="CK47">
        <v>22</v>
      </c>
      <c r="CL47" t="s">
        <v>74</v>
      </c>
    </row>
    <row r="48" spans="1:90" x14ac:dyDescent="0.25">
      <c r="A48" t="s">
        <v>61</v>
      </c>
      <c r="B48" t="s">
        <v>62</v>
      </c>
      <c r="C48" t="s">
        <v>63</v>
      </c>
      <c r="E48" t="str">
        <f>"FES1162743996"</f>
        <v>FES1162743996</v>
      </c>
      <c r="F48" s="1">
        <v>43927</v>
      </c>
      <c r="G48">
        <v>202010</v>
      </c>
      <c r="H48" t="s">
        <v>64</v>
      </c>
      <c r="I48" t="s">
        <v>65</v>
      </c>
      <c r="J48" t="s">
        <v>66</v>
      </c>
      <c r="K48" t="s">
        <v>67</v>
      </c>
      <c r="L48" t="s">
        <v>221</v>
      </c>
      <c r="M48" t="s">
        <v>222</v>
      </c>
      <c r="N48" t="s">
        <v>223</v>
      </c>
      <c r="O48" t="s">
        <v>69</v>
      </c>
      <c r="P48" t="str">
        <f>"2170735362                    "</f>
        <v xml:space="preserve">2170735362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7.32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2.2999999999999998</v>
      </c>
      <c r="BJ48">
        <v>0.6</v>
      </c>
      <c r="BK48">
        <v>2.5</v>
      </c>
      <c r="BL48">
        <v>80.540000000000006</v>
      </c>
      <c r="BM48">
        <v>12.08</v>
      </c>
      <c r="BN48">
        <v>92.62</v>
      </c>
      <c r="BO48">
        <v>92.62</v>
      </c>
      <c r="BQ48" t="s">
        <v>78</v>
      </c>
      <c r="BR48" t="s">
        <v>71</v>
      </c>
      <c r="BS48" s="1">
        <v>43928</v>
      </c>
      <c r="BT48" s="2">
        <v>0.41666666666666669</v>
      </c>
      <c r="BU48" t="s">
        <v>224</v>
      </c>
      <c r="BV48" t="s">
        <v>80</v>
      </c>
      <c r="BY48">
        <v>3077.71</v>
      </c>
      <c r="CC48" t="s">
        <v>222</v>
      </c>
      <c r="CD48">
        <v>2410</v>
      </c>
      <c r="CE48" t="s">
        <v>91</v>
      </c>
      <c r="CF48" s="1">
        <v>43936</v>
      </c>
      <c r="CI48">
        <v>1</v>
      </c>
      <c r="CJ48">
        <v>1</v>
      </c>
      <c r="CK48">
        <v>24</v>
      </c>
      <c r="CL48" t="s">
        <v>74</v>
      </c>
    </row>
    <row r="49" spans="1:90" x14ac:dyDescent="0.25">
      <c r="A49" t="s">
        <v>61</v>
      </c>
      <c r="B49" t="s">
        <v>62</v>
      </c>
      <c r="C49" t="s">
        <v>63</v>
      </c>
      <c r="E49" t="str">
        <f>"FES1162744266"</f>
        <v>FES1162744266</v>
      </c>
      <c r="F49" s="1">
        <v>43927</v>
      </c>
      <c r="G49">
        <v>202010</v>
      </c>
      <c r="H49" t="s">
        <v>64</v>
      </c>
      <c r="I49" t="s">
        <v>65</v>
      </c>
      <c r="J49" t="s">
        <v>66</v>
      </c>
      <c r="K49" t="s">
        <v>67</v>
      </c>
      <c r="L49" t="s">
        <v>225</v>
      </c>
      <c r="M49" t="s">
        <v>226</v>
      </c>
      <c r="N49" t="s">
        <v>227</v>
      </c>
      <c r="O49" t="s">
        <v>69</v>
      </c>
      <c r="P49" t="str">
        <f>"2170727956                    "</f>
        <v xml:space="preserve">2170727956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8.11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89.23</v>
      </c>
      <c r="BM49">
        <v>13.38</v>
      </c>
      <c r="BN49">
        <v>102.61</v>
      </c>
      <c r="BO49">
        <v>102.61</v>
      </c>
      <c r="BQ49" t="s">
        <v>78</v>
      </c>
      <c r="BR49" t="s">
        <v>71</v>
      </c>
      <c r="BS49" s="1">
        <v>43928</v>
      </c>
      <c r="BT49" s="2">
        <v>0.4375</v>
      </c>
      <c r="BU49" t="s">
        <v>228</v>
      </c>
      <c r="BV49" t="s">
        <v>80</v>
      </c>
      <c r="BY49">
        <v>1200</v>
      </c>
      <c r="CC49" t="s">
        <v>226</v>
      </c>
      <c r="CD49">
        <v>1947</v>
      </c>
      <c r="CE49" t="s">
        <v>73</v>
      </c>
      <c r="CF49" s="1">
        <v>43929</v>
      </c>
      <c r="CI49">
        <v>1</v>
      </c>
      <c r="CJ49">
        <v>1</v>
      </c>
      <c r="CK49">
        <v>23</v>
      </c>
      <c r="CL49" t="s">
        <v>74</v>
      </c>
    </row>
    <row r="50" spans="1:90" x14ac:dyDescent="0.25">
      <c r="A50" t="s">
        <v>61</v>
      </c>
      <c r="B50" t="s">
        <v>62</v>
      </c>
      <c r="C50" t="s">
        <v>63</v>
      </c>
      <c r="E50" t="str">
        <f>"FES1162744840"</f>
        <v>FES1162744840</v>
      </c>
      <c r="F50" s="1">
        <v>43936</v>
      </c>
      <c r="G50">
        <v>202010</v>
      </c>
      <c r="H50" t="s">
        <v>64</v>
      </c>
      <c r="I50" t="s">
        <v>65</v>
      </c>
      <c r="J50" t="s">
        <v>66</v>
      </c>
      <c r="K50" t="s">
        <v>67</v>
      </c>
      <c r="L50" t="s">
        <v>146</v>
      </c>
      <c r="M50" t="s">
        <v>147</v>
      </c>
      <c r="N50" t="s">
        <v>229</v>
      </c>
      <c r="O50" t="s">
        <v>230</v>
      </c>
      <c r="P50" t="str">
        <f>"2170736072                    "</f>
        <v xml:space="preserve">2170736072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11.51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23</v>
      </c>
      <c r="BJ50">
        <v>8.3000000000000007</v>
      </c>
      <c r="BK50">
        <v>23</v>
      </c>
      <c r="BL50">
        <v>131.58000000000001</v>
      </c>
      <c r="BM50">
        <v>19.739999999999998</v>
      </c>
      <c r="BN50">
        <v>151.32</v>
      </c>
      <c r="BO50">
        <v>151.32</v>
      </c>
      <c r="BP50" t="s">
        <v>231</v>
      </c>
      <c r="BQ50" t="s">
        <v>232</v>
      </c>
      <c r="BR50" t="s">
        <v>71</v>
      </c>
      <c r="BS50" s="1">
        <v>43938</v>
      </c>
      <c r="BT50" s="2">
        <v>0.54166666666666663</v>
      </c>
      <c r="BU50" t="s">
        <v>233</v>
      </c>
      <c r="BV50" t="s">
        <v>80</v>
      </c>
      <c r="BY50">
        <v>41536.85</v>
      </c>
      <c r="CC50" t="s">
        <v>147</v>
      </c>
      <c r="CD50">
        <v>6012</v>
      </c>
      <c r="CE50" t="s">
        <v>91</v>
      </c>
      <c r="CF50" s="1">
        <v>43943</v>
      </c>
      <c r="CI50">
        <v>2</v>
      </c>
      <c r="CJ50">
        <v>2</v>
      </c>
      <c r="CK50" t="s">
        <v>234</v>
      </c>
      <c r="CL50" t="s">
        <v>74</v>
      </c>
    </row>
    <row r="51" spans="1:90" x14ac:dyDescent="0.25">
      <c r="A51" t="s">
        <v>61</v>
      </c>
      <c r="B51" t="s">
        <v>62</v>
      </c>
      <c r="C51" t="s">
        <v>63</v>
      </c>
      <c r="E51" t="str">
        <f>"FES1162744024"</f>
        <v>FES1162744024</v>
      </c>
      <c r="F51" s="1">
        <v>43924</v>
      </c>
      <c r="G51">
        <v>202010</v>
      </c>
      <c r="H51" t="s">
        <v>64</v>
      </c>
      <c r="I51" t="s">
        <v>65</v>
      </c>
      <c r="J51" t="s">
        <v>66</v>
      </c>
      <c r="K51" t="s">
        <v>67</v>
      </c>
      <c r="L51" t="s">
        <v>177</v>
      </c>
      <c r="M51" t="s">
        <v>178</v>
      </c>
      <c r="N51" t="s">
        <v>179</v>
      </c>
      <c r="O51" t="s">
        <v>69</v>
      </c>
      <c r="P51" t="str">
        <f>"2170735411                    "</f>
        <v xml:space="preserve">2170735411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4.1900000000000004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1.4</v>
      </c>
      <c r="BJ51">
        <v>1</v>
      </c>
      <c r="BK51">
        <v>1.5</v>
      </c>
      <c r="BL51">
        <v>46.06</v>
      </c>
      <c r="BM51">
        <v>6.91</v>
      </c>
      <c r="BN51">
        <v>52.97</v>
      </c>
      <c r="BO51">
        <v>52.97</v>
      </c>
      <c r="BQ51" t="s">
        <v>70</v>
      </c>
      <c r="BR51" t="s">
        <v>71</v>
      </c>
      <c r="BS51" s="1">
        <v>43927</v>
      </c>
      <c r="BT51" s="2">
        <v>0.45833333333333331</v>
      </c>
      <c r="BU51" t="s">
        <v>235</v>
      </c>
      <c r="BV51" t="s">
        <v>80</v>
      </c>
      <c r="BY51">
        <v>4783.6000000000004</v>
      </c>
      <c r="BZ51" t="s">
        <v>23</v>
      </c>
      <c r="CC51" t="s">
        <v>178</v>
      </c>
      <c r="CD51">
        <v>4302</v>
      </c>
      <c r="CE51" t="s">
        <v>91</v>
      </c>
      <c r="CF51" s="1">
        <v>43929</v>
      </c>
      <c r="CI51">
        <v>1</v>
      </c>
      <c r="CJ51">
        <v>1</v>
      </c>
      <c r="CK51">
        <v>21</v>
      </c>
      <c r="CL51" t="s">
        <v>74</v>
      </c>
    </row>
    <row r="52" spans="1:90" x14ac:dyDescent="0.25">
      <c r="A52" t="s">
        <v>61</v>
      </c>
      <c r="B52" t="s">
        <v>62</v>
      </c>
      <c r="C52" t="s">
        <v>63</v>
      </c>
      <c r="E52" t="str">
        <f>"RFES1162743914"</f>
        <v>RFES1162743914</v>
      </c>
      <c r="F52" s="1">
        <v>43922</v>
      </c>
      <c r="G52">
        <v>202010</v>
      </c>
      <c r="H52" t="s">
        <v>92</v>
      </c>
      <c r="I52" t="s">
        <v>93</v>
      </c>
      <c r="J52" t="s">
        <v>236</v>
      </c>
      <c r="K52" t="s">
        <v>67</v>
      </c>
      <c r="L52" t="s">
        <v>64</v>
      </c>
      <c r="M52" t="s">
        <v>65</v>
      </c>
      <c r="N52" t="s">
        <v>66</v>
      </c>
      <c r="O52" t="s">
        <v>69</v>
      </c>
      <c r="P52" t="str">
        <f>"2170735267                    "</f>
        <v xml:space="preserve">2170735267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4.1900000000000004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</v>
      </c>
      <c r="BJ52">
        <v>1.3</v>
      </c>
      <c r="BK52">
        <v>1.5</v>
      </c>
      <c r="BL52">
        <v>46.06</v>
      </c>
      <c r="BM52">
        <v>6.91</v>
      </c>
      <c r="BN52">
        <v>52.97</v>
      </c>
      <c r="BO52">
        <v>52.97</v>
      </c>
      <c r="BQ52" t="s">
        <v>71</v>
      </c>
      <c r="BR52" t="s">
        <v>70</v>
      </c>
      <c r="BS52" s="1">
        <v>43924</v>
      </c>
      <c r="BT52" s="2">
        <v>0.36736111111111108</v>
      </c>
      <c r="BU52" t="s">
        <v>237</v>
      </c>
      <c r="BV52" t="s">
        <v>74</v>
      </c>
      <c r="BW52" t="s">
        <v>85</v>
      </c>
      <c r="BX52" t="s">
        <v>203</v>
      </c>
      <c r="BY52">
        <v>6373.77</v>
      </c>
      <c r="BZ52" t="s">
        <v>23</v>
      </c>
      <c r="CC52" t="s">
        <v>65</v>
      </c>
      <c r="CD52">
        <v>1601</v>
      </c>
      <c r="CE52" t="s">
        <v>73</v>
      </c>
      <c r="CF52" s="1">
        <v>43924</v>
      </c>
      <c r="CI52">
        <v>1</v>
      </c>
      <c r="CJ52">
        <v>2</v>
      </c>
      <c r="CK52">
        <v>21</v>
      </c>
      <c r="CL52" t="s">
        <v>74</v>
      </c>
    </row>
    <row r="53" spans="1:90" x14ac:dyDescent="0.25">
      <c r="A53" t="s">
        <v>61</v>
      </c>
      <c r="B53" t="s">
        <v>62</v>
      </c>
      <c r="C53" t="s">
        <v>63</v>
      </c>
      <c r="E53" t="str">
        <f>"FES1162744082"</f>
        <v>FES1162744082</v>
      </c>
      <c r="F53" s="1">
        <v>43924</v>
      </c>
      <c r="G53">
        <v>202010</v>
      </c>
      <c r="H53" t="s">
        <v>64</v>
      </c>
      <c r="I53" t="s">
        <v>65</v>
      </c>
      <c r="J53" t="s">
        <v>66</v>
      </c>
      <c r="K53" t="s">
        <v>67</v>
      </c>
      <c r="L53" t="s">
        <v>238</v>
      </c>
      <c r="M53" t="s">
        <v>239</v>
      </c>
      <c r="N53" t="s">
        <v>240</v>
      </c>
      <c r="O53" t="s">
        <v>69</v>
      </c>
      <c r="P53" t="str">
        <f>"2170735494                    "</f>
        <v xml:space="preserve">2170735494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4.1900000000000004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1.1000000000000001</v>
      </c>
      <c r="BK53">
        <v>1.5</v>
      </c>
      <c r="BL53">
        <v>46.06</v>
      </c>
      <c r="BM53">
        <v>6.91</v>
      </c>
      <c r="BN53">
        <v>52.97</v>
      </c>
      <c r="BO53">
        <v>52.97</v>
      </c>
      <c r="BQ53" t="s">
        <v>70</v>
      </c>
      <c r="BR53" t="s">
        <v>71</v>
      </c>
      <c r="BS53" s="1">
        <v>43927</v>
      </c>
      <c r="BT53" s="2">
        <v>0.40347222222222223</v>
      </c>
      <c r="BU53" t="s">
        <v>241</v>
      </c>
      <c r="BV53" t="s">
        <v>80</v>
      </c>
      <c r="BY53">
        <v>5307.75</v>
      </c>
      <c r="BZ53" t="s">
        <v>23</v>
      </c>
      <c r="CA53" t="s">
        <v>242</v>
      </c>
      <c r="CC53" t="s">
        <v>239</v>
      </c>
      <c r="CD53">
        <v>5200</v>
      </c>
      <c r="CE53" t="s">
        <v>73</v>
      </c>
      <c r="CF53" s="1">
        <v>43927</v>
      </c>
      <c r="CI53">
        <v>1</v>
      </c>
      <c r="CJ53">
        <v>1</v>
      </c>
      <c r="CK53">
        <v>21</v>
      </c>
      <c r="CL53" t="s">
        <v>74</v>
      </c>
    </row>
    <row r="54" spans="1:90" x14ac:dyDescent="0.25">
      <c r="A54" t="s">
        <v>61</v>
      </c>
      <c r="B54" t="s">
        <v>62</v>
      </c>
      <c r="C54" t="s">
        <v>63</v>
      </c>
      <c r="E54" t="str">
        <f>"RFES1162743836"</f>
        <v>RFES1162743836</v>
      </c>
      <c r="F54" s="1">
        <v>43922</v>
      </c>
      <c r="G54">
        <v>202010</v>
      </c>
      <c r="H54" t="s">
        <v>75</v>
      </c>
      <c r="I54" t="s">
        <v>76</v>
      </c>
      <c r="J54" t="s">
        <v>181</v>
      </c>
      <c r="K54" t="s">
        <v>67</v>
      </c>
      <c r="L54" t="s">
        <v>64</v>
      </c>
      <c r="M54" t="s">
        <v>65</v>
      </c>
      <c r="N54" t="s">
        <v>66</v>
      </c>
      <c r="O54" t="s">
        <v>69</v>
      </c>
      <c r="P54" t="str">
        <f>"2170733117                    "</f>
        <v xml:space="preserve">2170733117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3.27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1.6</v>
      </c>
      <c r="BK54">
        <v>2</v>
      </c>
      <c r="BL54">
        <v>35.979999999999997</v>
      </c>
      <c r="BM54">
        <v>5.4</v>
      </c>
      <c r="BN54">
        <v>41.38</v>
      </c>
      <c r="BO54">
        <v>41.38</v>
      </c>
      <c r="BQ54" t="s">
        <v>71</v>
      </c>
      <c r="BS54" s="1">
        <v>43923</v>
      </c>
      <c r="BT54" s="2">
        <v>0.35416666666666669</v>
      </c>
      <c r="BU54" t="s">
        <v>243</v>
      </c>
      <c r="BV54" t="s">
        <v>80</v>
      </c>
      <c r="BY54">
        <v>7835.1</v>
      </c>
      <c r="BZ54" t="s">
        <v>23</v>
      </c>
      <c r="CC54" t="s">
        <v>65</v>
      </c>
      <c r="CD54">
        <v>1601</v>
      </c>
      <c r="CE54" t="s">
        <v>73</v>
      </c>
      <c r="CF54" s="1">
        <v>43924</v>
      </c>
      <c r="CI54">
        <v>1</v>
      </c>
      <c r="CJ54">
        <v>1</v>
      </c>
      <c r="CK54">
        <v>22</v>
      </c>
      <c r="CL54" t="s">
        <v>74</v>
      </c>
    </row>
    <row r="55" spans="1:90" x14ac:dyDescent="0.25">
      <c r="A55" t="s">
        <v>61</v>
      </c>
      <c r="B55" t="s">
        <v>62</v>
      </c>
      <c r="C55" t="s">
        <v>63</v>
      </c>
      <c r="E55" t="str">
        <f>"FES1162744958"</f>
        <v>FES1162744958</v>
      </c>
      <c r="F55" s="1">
        <v>43941</v>
      </c>
      <c r="G55">
        <v>202010</v>
      </c>
      <c r="H55" t="s">
        <v>64</v>
      </c>
      <c r="I55" t="s">
        <v>65</v>
      </c>
      <c r="J55" t="s">
        <v>66</v>
      </c>
      <c r="K55" t="s">
        <v>67</v>
      </c>
      <c r="L55" t="s">
        <v>184</v>
      </c>
      <c r="M55" t="s">
        <v>185</v>
      </c>
      <c r="N55" t="s">
        <v>186</v>
      </c>
      <c r="O55" t="s">
        <v>69</v>
      </c>
      <c r="P55" t="str">
        <f>"2170734416                    "</f>
        <v xml:space="preserve">2170734416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13.61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3.4</v>
      </c>
      <c r="BJ55">
        <v>3.3</v>
      </c>
      <c r="BK55">
        <v>3.5</v>
      </c>
      <c r="BL55">
        <v>149.69</v>
      </c>
      <c r="BM55">
        <v>22.45</v>
      </c>
      <c r="BN55">
        <v>172.14</v>
      </c>
      <c r="BO55">
        <v>172.14</v>
      </c>
      <c r="BQ55" t="s">
        <v>70</v>
      </c>
      <c r="BR55" t="s">
        <v>71</v>
      </c>
      <c r="BS55" s="1">
        <v>43942</v>
      </c>
      <c r="BT55" s="2">
        <v>0.42777777777777781</v>
      </c>
      <c r="BU55" t="s">
        <v>244</v>
      </c>
      <c r="BV55" t="s">
        <v>80</v>
      </c>
      <c r="BY55">
        <v>16689.89</v>
      </c>
      <c r="CA55" t="s">
        <v>245</v>
      </c>
      <c r="CC55" t="s">
        <v>185</v>
      </c>
      <c r="CD55">
        <v>7130</v>
      </c>
      <c r="CE55" t="s">
        <v>91</v>
      </c>
      <c r="CF55" s="1">
        <v>43943</v>
      </c>
      <c r="CI55">
        <v>1</v>
      </c>
      <c r="CJ55">
        <v>1</v>
      </c>
      <c r="CK55">
        <v>23</v>
      </c>
      <c r="CL55" t="s">
        <v>74</v>
      </c>
    </row>
    <row r="56" spans="1:90" x14ac:dyDescent="0.25">
      <c r="A56" t="s">
        <v>61</v>
      </c>
      <c r="B56" t="s">
        <v>62</v>
      </c>
      <c r="C56" t="s">
        <v>63</v>
      </c>
      <c r="E56" t="str">
        <f>"FES1162744565"</f>
        <v>FES1162744565</v>
      </c>
      <c r="F56" s="1">
        <v>43930</v>
      </c>
      <c r="G56">
        <v>202010</v>
      </c>
      <c r="H56" t="s">
        <v>64</v>
      </c>
      <c r="I56" t="s">
        <v>65</v>
      </c>
      <c r="J56" t="s">
        <v>66</v>
      </c>
      <c r="K56" t="s">
        <v>67</v>
      </c>
      <c r="L56" t="s">
        <v>158</v>
      </c>
      <c r="M56" t="s">
        <v>159</v>
      </c>
      <c r="N56" t="s">
        <v>160</v>
      </c>
      <c r="O56" t="s">
        <v>69</v>
      </c>
      <c r="P56" t="str">
        <f>"2170734907                    "</f>
        <v xml:space="preserve">2170734907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4.1900000000000004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46.06</v>
      </c>
      <c r="BM56">
        <v>6.91</v>
      </c>
      <c r="BN56">
        <v>52.97</v>
      </c>
      <c r="BO56">
        <v>52.97</v>
      </c>
      <c r="BQ56" t="s">
        <v>70</v>
      </c>
      <c r="BR56" t="s">
        <v>71</v>
      </c>
      <c r="BS56" s="1">
        <v>43935</v>
      </c>
      <c r="BT56" s="2">
        <v>0.41666666666666669</v>
      </c>
      <c r="BU56" t="s">
        <v>246</v>
      </c>
      <c r="BV56" t="s">
        <v>80</v>
      </c>
      <c r="BY56">
        <v>1200</v>
      </c>
      <c r="CC56" t="s">
        <v>159</v>
      </c>
      <c r="CD56">
        <v>3290</v>
      </c>
      <c r="CE56" t="s">
        <v>73</v>
      </c>
      <c r="CF56" s="1">
        <v>43937</v>
      </c>
      <c r="CI56">
        <v>1</v>
      </c>
      <c r="CJ56">
        <v>3</v>
      </c>
      <c r="CK56">
        <v>21</v>
      </c>
      <c r="CL56" t="s">
        <v>74</v>
      </c>
    </row>
    <row r="57" spans="1:90" x14ac:dyDescent="0.25">
      <c r="A57" t="s">
        <v>61</v>
      </c>
      <c r="B57" t="s">
        <v>62</v>
      </c>
      <c r="C57" t="s">
        <v>63</v>
      </c>
      <c r="E57" t="str">
        <f>"FES1162744534"</f>
        <v>FES1162744534</v>
      </c>
      <c r="F57" s="1">
        <v>43930</v>
      </c>
      <c r="G57">
        <v>202010</v>
      </c>
      <c r="H57" t="s">
        <v>64</v>
      </c>
      <c r="I57" t="s">
        <v>65</v>
      </c>
      <c r="J57" t="s">
        <v>66</v>
      </c>
      <c r="K57" t="s">
        <v>67</v>
      </c>
      <c r="L57" t="s">
        <v>92</v>
      </c>
      <c r="M57" t="s">
        <v>93</v>
      </c>
      <c r="N57" t="s">
        <v>94</v>
      </c>
      <c r="O57" t="s">
        <v>69</v>
      </c>
      <c r="P57" t="str">
        <f>"2170735883                    "</f>
        <v xml:space="preserve">2170735883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4.1900000000000004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46.06</v>
      </c>
      <c r="BM57">
        <v>6.91</v>
      </c>
      <c r="BN57">
        <v>52.97</v>
      </c>
      <c r="BO57">
        <v>52.97</v>
      </c>
      <c r="BQ57" t="s">
        <v>70</v>
      </c>
      <c r="BR57" t="s">
        <v>71</v>
      </c>
      <c r="BS57" s="1">
        <v>43935</v>
      </c>
      <c r="BT57" s="2">
        <v>0.53055555555555556</v>
      </c>
      <c r="BU57" t="s">
        <v>95</v>
      </c>
      <c r="BV57" t="s">
        <v>74</v>
      </c>
      <c r="BW57" t="s">
        <v>96</v>
      </c>
      <c r="BX57" t="s">
        <v>97</v>
      </c>
      <c r="BY57">
        <v>1200</v>
      </c>
      <c r="CA57" t="s">
        <v>98</v>
      </c>
      <c r="CC57" t="s">
        <v>93</v>
      </c>
      <c r="CD57">
        <v>7441</v>
      </c>
      <c r="CE57" t="s">
        <v>73</v>
      </c>
      <c r="CF57" s="1">
        <v>43936</v>
      </c>
      <c r="CI57">
        <v>1</v>
      </c>
      <c r="CJ57">
        <v>3</v>
      </c>
      <c r="CK57">
        <v>21</v>
      </c>
      <c r="CL57" t="s">
        <v>74</v>
      </c>
    </row>
    <row r="58" spans="1:90" x14ac:dyDescent="0.25">
      <c r="A58" t="s">
        <v>61</v>
      </c>
      <c r="B58" t="s">
        <v>62</v>
      </c>
      <c r="C58" t="s">
        <v>63</v>
      </c>
      <c r="E58" t="str">
        <f>"FES1162744514"</f>
        <v>FES1162744514</v>
      </c>
      <c r="F58" s="1">
        <v>43930</v>
      </c>
      <c r="G58">
        <v>202010</v>
      </c>
      <c r="H58" t="s">
        <v>64</v>
      </c>
      <c r="I58" t="s">
        <v>65</v>
      </c>
      <c r="J58" t="s">
        <v>66</v>
      </c>
      <c r="K58" t="s">
        <v>67</v>
      </c>
      <c r="L58" t="s">
        <v>120</v>
      </c>
      <c r="M58" t="s">
        <v>121</v>
      </c>
      <c r="N58" t="s">
        <v>247</v>
      </c>
      <c r="O58" t="s">
        <v>69</v>
      </c>
      <c r="P58" t="str">
        <f>"2170735702                    "</f>
        <v xml:space="preserve">2170735702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4.1900000000000004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46.06</v>
      </c>
      <c r="BM58">
        <v>6.91</v>
      </c>
      <c r="BN58">
        <v>52.97</v>
      </c>
      <c r="BO58">
        <v>52.97</v>
      </c>
      <c r="BQ58" t="s">
        <v>248</v>
      </c>
      <c r="BR58" t="s">
        <v>71</v>
      </c>
      <c r="BS58" s="1">
        <v>43935</v>
      </c>
      <c r="BT58" s="2">
        <v>0.64027777777777783</v>
      </c>
      <c r="BU58" t="s">
        <v>249</v>
      </c>
      <c r="BV58" t="s">
        <v>74</v>
      </c>
      <c r="BW58" t="s">
        <v>85</v>
      </c>
      <c r="BX58" t="s">
        <v>128</v>
      </c>
      <c r="BY58">
        <v>1200</v>
      </c>
      <c r="CA58" t="s">
        <v>250</v>
      </c>
      <c r="CC58" t="s">
        <v>121</v>
      </c>
      <c r="CD58">
        <v>4001</v>
      </c>
      <c r="CE58" t="s">
        <v>73</v>
      </c>
      <c r="CF58" s="1">
        <v>43936</v>
      </c>
      <c r="CI58">
        <v>1</v>
      </c>
      <c r="CJ58">
        <v>3</v>
      </c>
      <c r="CK58">
        <v>21</v>
      </c>
      <c r="CL58" t="s">
        <v>74</v>
      </c>
    </row>
    <row r="59" spans="1:90" x14ac:dyDescent="0.25">
      <c r="A59" t="s">
        <v>61</v>
      </c>
      <c r="B59" t="s">
        <v>62</v>
      </c>
      <c r="C59" t="s">
        <v>63</v>
      </c>
      <c r="E59" t="str">
        <f>"FES1162744776"</f>
        <v>FES1162744776</v>
      </c>
      <c r="F59" s="1">
        <v>43936</v>
      </c>
      <c r="G59">
        <v>202010</v>
      </c>
      <c r="H59" t="s">
        <v>64</v>
      </c>
      <c r="I59" t="s">
        <v>65</v>
      </c>
      <c r="J59" t="s">
        <v>66</v>
      </c>
      <c r="K59" t="s">
        <v>67</v>
      </c>
      <c r="L59" t="s">
        <v>104</v>
      </c>
      <c r="M59" t="s">
        <v>105</v>
      </c>
      <c r="N59" t="s">
        <v>251</v>
      </c>
      <c r="O59" t="s">
        <v>69</v>
      </c>
      <c r="P59" t="str">
        <f>"2170735311                    "</f>
        <v xml:space="preserve">2170735311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18.79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6.5</v>
      </c>
      <c r="BJ59">
        <v>3.2</v>
      </c>
      <c r="BK59">
        <v>6.5</v>
      </c>
      <c r="BL59">
        <v>206.73</v>
      </c>
      <c r="BM59">
        <v>31.01</v>
      </c>
      <c r="BN59">
        <v>237.74</v>
      </c>
      <c r="BO59">
        <v>237.74</v>
      </c>
      <c r="BQ59" t="s">
        <v>70</v>
      </c>
      <c r="BR59" t="s">
        <v>71</v>
      </c>
      <c r="BS59" s="1">
        <v>43937</v>
      </c>
      <c r="BT59" s="2">
        <v>0.41666666666666669</v>
      </c>
      <c r="BU59" t="s">
        <v>252</v>
      </c>
      <c r="BV59" t="s">
        <v>80</v>
      </c>
      <c r="BY59">
        <v>16058.95</v>
      </c>
      <c r="CC59" t="s">
        <v>105</v>
      </c>
      <c r="CD59">
        <v>1759</v>
      </c>
      <c r="CE59" t="s">
        <v>91</v>
      </c>
      <c r="CF59" s="1">
        <v>43938</v>
      </c>
      <c r="CI59">
        <v>1</v>
      </c>
      <c r="CJ59">
        <v>1</v>
      </c>
      <c r="CK59">
        <v>24</v>
      </c>
      <c r="CL59" t="s">
        <v>74</v>
      </c>
    </row>
    <row r="60" spans="1:90" x14ac:dyDescent="0.25">
      <c r="A60" t="s">
        <v>61</v>
      </c>
      <c r="B60" t="s">
        <v>62</v>
      </c>
      <c r="C60" t="s">
        <v>63</v>
      </c>
      <c r="E60" t="str">
        <f>"FES1162744363"</f>
        <v>FES1162744363</v>
      </c>
      <c r="F60" s="1">
        <v>43928</v>
      </c>
      <c r="G60">
        <v>202010</v>
      </c>
      <c r="H60" t="s">
        <v>64</v>
      </c>
      <c r="I60" t="s">
        <v>65</v>
      </c>
      <c r="J60" t="s">
        <v>66</v>
      </c>
      <c r="K60" t="s">
        <v>67</v>
      </c>
      <c r="L60" t="s">
        <v>194</v>
      </c>
      <c r="M60" t="s">
        <v>195</v>
      </c>
      <c r="N60" t="s">
        <v>196</v>
      </c>
      <c r="O60" t="s">
        <v>69</v>
      </c>
      <c r="P60" t="str">
        <f>"2170729581                    "</f>
        <v xml:space="preserve">2170729581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9.94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2.2000000000000002</v>
      </c>
      <c r="BJ60">
        <v>1.7</v>
      </c>
      <c r="BK60">
        <v>2.5</v>
      </c>
      <c r="BL60">
        <v>109.38</v>
      </c>
      <c r="BM60">
        <v>16.41</v>
      </c>
      <c r="BN60">
        <v>125.79</v>
      </c>
      <c r="BO60">
        <v>125.79</v>
      </c>
      <c r="BQ60" t="s">
        <v>70</v>
      </c>
      <c r="BR60" t="s">
        <v>71</v>
      </c>
      <c r="BS60" s="1">
        <v>43929</v>
      </c>
      <c r="BT60" s="2">
        <v>0.39583333333333331</v>
      </c>
      <c r="BU60" t="s">
        <v>253</v>
      </c>
      <c r="BV60" t="s">
        <v>80</v>
      </c>
      <c r="BY60">
        <v>8353.7999999999993</v>
      </c>
      <c r="CA60" t="s">
        <v>198</v>
      </c>
      <c r="CC60" t="s">
        <v>195</v>
      </c>
      <c r="CD60">
        <v>9880</v>
      </c>
      <c r="CE60" t="s">
        <v>91</v>
      </c>
      <c r="CF60" s="1">
        <v>43936</v>
      </c>
      <c r="CI60">
        <v>1</v>
      </c>
      <c r="CJ60">
        <v>1</v>
      </c>
      <c r="CK60">
        <v>23</v>
      </c>
      <c r="CL60" t="s">
        <v>74</v>
      </c>
    </row>
    <row r="61" spans="1:90" x14ac:dyDescent="0.25">
      <c r="A61" t="s">
        <v>61</v>
      </c>
      <c r="B61" t="s">
        <v>62</v>
      </c>
      <c r="C61" t="s">
        <v>63</v>
      </c>
      <c r="E61" t="str">
        <f>"FES1162743982"</f>
        <v>FES1162743982</v>
      </c>
      <c r="F61" s="1">
        <v>43927</v>
      </c>
      <c r="G61">
        <v>202010</v>
      </c>
      <c r="H61" t="s">
        <v>64</v>
      </c>
      <c r="I61" t="s">
        <v>65</v>
      </c>
      <c r="J61" t="s">
        <v>66</v>
      </c>
      <c r="K61" t="s">
        <v>67</v>
      </c>
      <c r="L61" t="s">
        <v>254</v>
      </c>
      <c r="M61" t="s">
        <v>255</v>
      </c>
      <c r="N61" t="s">
        <v>256</v>
      </c>
      <c r="O61" t="s">
        <v>69</v>
      </c>
      <c r="P61" t="str">
        <f>"2170735338                    "</f>
        <v xml:space="preserve">2170735338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4.1900000000000004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46.06</v>
      </c>
      <c r="BM61">
        <v>6.91</v>
      </c>
      <c r="BN61">
        <v>52.97</v>
      </c>
      <c r="BO61">
        <v>52.97</v>
      </c>
      <c r="BQ61" t="s">
        <v>70</v>
      </c>
      <c r="BR61" t="s">
        <v>71</v>
      </c>
      <c r="BS61" s="1">
        <v>43935</v>
      </c>
      <c r="BT61" s="2">
        <v>0.4375</v>
      </c>
      <c r="BU61" t="s">
        <v>257</v>
      </c>
      <c r="BV61" t="s">
        <v>74</v>
      </c>
      <c r="BW61" t="s">
        <v>258</v>
      </c>
      <c r="BX61" t="s">
        <v>259</v>
      </c>
      <c r="BY61">
        <v>1200</v>
      </c>
      <c r="CA61" t="s">
        <v>260</v>
      </c>
      <c r="CC61" t="s">
        <v>255</v>
      </c>
      <c r="CD61">
        <v>200</v>
      </c>
      <c r="CE61" t="s">
        <v>73</v>
      </c>
      <c r="CI61">
        <v>1</v>
      </c>
      <c r="CJ61">
        <v>6</v>
      </c>
      <c r="CK61">
        <v>21</v>
      </c>
      <c r="CL61" t="s">
        <v>74</v>
      </c>
    </row>
    <row r="62" spans="1:90" x14ac:dyDescent="0.25">
      <c r="A62" t="s">
        <v>61</v>
      </c>
      <c r="B62" t="s">
        <v>62</v>
      </c>
      <c r="C62" t="s">
        <v>63</v>
      </c>
      <c r="E62" t="str">
        <f>"FES1162744208"</f>
        <v>FES1162744208</v>
      </c>
      <c r="F62" s="1">
        <v>43927</v>
      </c>
      <c r="G62">
        <v>202010</v>
      </c>
      <c r="H62" t="s">
        <v>64</v>
      </c>
      <c r="I62" t="s">
        <v>65</v>
      </c>
      <c r="J62" t="s">
        <v>66</v>
      </c>
      <c r="K62" t="s">
        <v>67</v>
      </c>
      <c r="L62" t="s">
        <v>151</v>
      </c>
      <c r="M62" t="s">
        <v>152</v>
      </c>
      <c r="N62" t="s">
        <v>153</v>
      </c>
      <c r="O62" t="s">
        <v>69</v>
      </c>
      <c r="P62" t="str">
        <f>"2170733776                    "</f>
        <v xml:space="preserve">2170733776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4.1900000000000004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46.06</v>
      </c>
      <c r="BM62">
        <v>6.91</v>
      </c>
      <c r="BN62">
        <v>52.97</v>
      </c>
      <c r="BO62">
        <v>52.97</v>
      </c>
      <c r="BQ62" t="s">
        <v>78</v>
      </c>
      <c r="BR62" t="s">
        <v>71</v>
      </c>
      <c r="BS62" s="1">
        <v>43941</v>
      </c>
      <c r="BT62" s="2">
        <v>0.5</v>
      </c>
      <c r="BU62" t="s">
        <v>261</v>
      </c>
      <c r="BV62" t="s">
        <v>74</v>
      </c>
      <c r="BY62">
        <v>1200</v>
      </c>
      <c r="CC62" t="s">
        <v>152</v>
      </c>
      <c r="CD62">
        <v>3699</v>
      </c>
      <c r="CE62" t="s">
        <v>73</v>
      </c>
      <c r="CF62" s="1">
        <v>43943</v>
      </c>
      <c r="CI62">
        <v>1</v>
      </c>
      <c r="CJ62">
        <v>10</v>
      </c>
      <c r="CK62">
        <v>21</v>
      </c>
      <c r="CL62" t="s">
        <v>74</v>
      </c>
    </row>
    <row r="63" spans="1:90" x14ac:dyDescent="0.25">
      <c r="A63" t="s">
        <v>61</v>
      </c>
      <c r="B63" t="s">
        <v>62</v>
      </c>
      <c r="C63" t="s">
        <v>63</v>
      </c>
      <c r="E63" t="str">
        <f>"FES1162744066"</f>
        <v>FES1162744066</v>
      </c>
      <c r="F63" s="1">
        <v>43924</v>
      </c>
      <c r="G63">
        <v>202010</v>
      </c>
      <c r="H63" t="s">
        <v>64</v>
      </c>
      <c r="I63" t="s">
        <v>65</v>
      </c>
      <c r="J63" t="s">
        <v>66</v>
      </c>
      <c r="K63" t="s">
        <v>67</v>
      </c>
      <c r="L63" t="s">
        <v>262</v>
      </c>
      <c r="M63" t="s">
        <v>262</v>
      </c>
      <c r="N63" t="s">
        <v>263</v>
      </c>
      <c r="O63" t="s">
        <v>69</v>
      </c>
      <c r="P63" t="str">
        <f>"2170734846                    "</f>
        <v xml:space="preserve">2170734846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50.25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13.4</v>
      </c>
      <c r="BJ63">
        <v>8.3000000000000007</v>
      </c>
      <c r="BK63">
        <v>13.5</v>
      </c>
      <c r="BL63">
        <v>552.73</v>
      </c>
      <c r="BM63">
        <v>82.91</v>
      </c>
      <c r="BN63">
        <v>635.64</v>
      </c>
      <c r="BO63">
        <v>635.64</v>
      </c>
      <c r="BQ63" t="s">
        <v>78</v>
      </c>
      <c r="BR63" t="s">
        <v>71</v>
      </c>
      <c r="BS63" s="1">
        <v>43937</v>
      </c>
      <c r="BT63" s="2">
        <v>0.4861111111111111</v>
      </c>
      <c r="BU63" t="s">
        <v>264</v>
      </c>
      <c r="BV63" t="s">
        <v>74</v>
      </c>
      <c r="BW63" t="s">
        <v>265</v>
      </c>
      <c r="BX63" t="s">
        <v>97</v>
      </c>
      <c r="BY63">
        <v>41336.720000000001</v>
      </c>
      <c r="CA63" t="s">
        <v>266</v>
      </c>
      <c r="CC63" t="s">
        <v>262</v>
      </c>
      <c r="CD63">
        <v>7646</v>
      </c>
      <c r="CE63" t="s">
        <v>91</v>
      </c>
      <c r="CF63" s="1">
        <v>43938</v>
      </c>
      <c r="CI63">
        <v>1</v>
      </c>
      <c r="CJ63">
        <v>9</v>
      </c>
      <c r="CK63">
        <v>23</v>
      </c>
      <c r="CL63" t="s">
        <v>74</v>
      </c>
    </row>
    <row r="64" spans="1:90" x14ac:dyDescent="0.25">
      <c r="A64" t="s">
        <v>61</v>
      </c>
      <c r="B64" t="s">
        <v>62</v>
      </c>
      <c r="C64" t="s">
        <v>63</v>
      </c>
      <c r="E64" t="str">
        <f>"FES1162744018"</f>
        <v>FES1162744018</v>
      </c>
      <c r="F64" s="1">
        <v>43923</v>
      </c>
      <c r="G64">
        <v>202010</v>
      </c>
      <c r="H64" t="s">
        <v>64</v>
      </c>
      <c r="I64" t="s">
        <v>65</v>
      </c>
      <c r="J64" t="s">
        <v>66</v>
      </c>
      <c r="K64" t="s">
        <v>67</v>
      </c>
      <c r="L64" t="s">
        <v>120</v>
      </c>
      <c r="M64" t="s">
        <v>121</v>
      </c>
      <c r="N64" t="s">
        <v>267</v>
      </c>
      <c r="O64" t="s">
        <v>69</v>
      </c>
      <c r="P64" t="str">
        <f>"2170734330                    "</f>
        <v xml:space="preserve">2170734330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4.1900000000000004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46.06</v>
      </c>
      <c r="BM64">
        <v>6.91</v>
      </c>
      <c r="BN64">
        <v>52.97</v>
      </c>
      <c r="BO64">
        <v>52.97</v>
      </c>
      <c r="BQ64" t="s">
        <v>268</v>
      </c>
      <c r="BR64" t="s">
        <v>71</v>
      </c>
      <c r="BS64" s="1">
        <v>43929</v>
      </c>
      <c r="BT64" s="2">
        <v>0.41666666666666669</v>
      </c>
      <c r="BU64" t="s">
        <v>269</v>
      </c>
      <c r="BV64" t="s">
        <v>74</v>
      </c>
      <c r="BW64" t="s">
        <v>124</v>
      </c>
      <c r="BX64" t="s">
        <v>125</v>
      </c>
      <c r="BY64">
        <v>1200</v>
      </c>
      <c r="CC64" t="s">
        <v>121</v>
      </c>
      <c r="CD64">
        <v>4064</v>
      </c>
      <c r="CE64" t="s">
        <v>73</v>
      </c>
      <c r="CF64" s="1">
        <v>43935</v>
      </c>
      <c r="CI64">
        <v>1</v>
      </c>
      <c r="CJ64">
        <v>4</v>
      </c>
      <c r="CK64">
        <v>21</v>
      </c>
      <c r="CL64" t="s">
        <v>74</v>
      </c>
    </row>
    <row r="65" spans="1:90" x14ac:dyDescent="0.25">
      <c r="A65" t="s">
        <v>61</v>
      </c>
      <c r="B65" t="s">
        <v>62</v>
      </c>
      <c r="C65" t="s">
        <v>63</v>
      </c>
      <c r="E65" t="str">
        <f>"FES1162744229"</f>
        <v>FES1162744229</v>
      </c>
      <c r="F65" s="1">
        <v>43927</v>
      </c>
      <c r="G65">
        <v>202010</v>
      </c>
      <c r="H65" t="s">
        <v>64</v>
      </c>
      <c r="I65" t="s">
        <v>65</v>
      </c>
      <c r="J65" t="s">
        <v>66</v>
      </c>
      <c r="K65" t="s">
        <v>67</v>
      </c>
      <c r="L65" t="s">
        <v>64</v>
      </c>
      <c r="M65" t="s">
        <v>65</v>
      </c>
      <c r="N65" t="s">
        <v>219</v>
      </c>
      <c r="O65" t="s">
        <v>69</v>
      </c>
      <c r="P65" t="str">
        <f>"2170734511                    "</f>
        <v xml:space="preserve">2170734511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3.27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35.979999999999997</v>
      </c>
      <c r="BM65">
        <v>5.4</v>
      </c>
      <c r="BN65">
        <v>41.38</v>
      </c>
      <c r="BO65">
        <v>41.38</v>
      </c>
      <c r="BQ65" t="s">
        <v>78</v>
      </c>
      <c r="BR65" t="s">
        <v>71</v>
      </c>
      <c r="BS65" s="1">
        <v>43928</v>
      </c>
      <c r="BT65" s="2">
        <v>0.41666666666666669</v>
      </c>
      <c r="BU65" t="s">
        <v>220</v>
      </c>
      <c r="BV65" t="s">
        <v>80</v>
      </c>
      <c r="BY65">
        <v>1200</v>
      </c>
      <c r="CA65" t="s">
        <v>193</v>
      </c>
      <c r="CC65" t="s">
        <v>65</v>
      </c>
      <c r="CD65">
        <v>1601</v>
      </c>
      <c r="CE65" t="s">
        <v>73</v>
      </c>
      <c r="CF65" s="1">
        <v>43929</v>
      </c>
      <c r="CI65">
        <v>1</v>
      </c>
      <c r="CJ65">
        <v>1</v>
      </c>
      <c r="CK65">
        <v>22</v>
      </c>
      <c r="CL65" t="s">
        <v>74</v>
      </c>
    </row>
    <row r="66" spans="1:90" x14ac:dyDescent="0.25">
      <c r="A66" t="s">
        <v>61</v>
      </c>
      <c r="B66" t="s">
        <v>62</v>
      </c>
      <c r="C66" t="s">
        <v>63</v>
      </c>
      <c r="E66" t="str">
        <f>"RFES1162743109"</f>
        <v>RFES1162743109</v>
      </c>
      <c r="F66" s="1">
        <v>43922</v>
      </c>
      <c r="G66">
        <v>202010</v>
      </c>
      <c r="H66" t="s">
        <v>270</v>
      </c>
      <c r="I66" t="s">
        <v>271</v>
      </c>
      <c r="J66" t="s">
        <v>272</v>
      </c>
      <c r="K66" t="s">
        <v>67</v>
      </c>
      <c r="L66" t="s">
        <v>64</v>
      </c>
      <c r="M66" t="s">
        <v>65</v>
      </c>
      <c r="N66" t="s">
        <v>66</v>
      </c>
      <c r="O66" t="s">
        <v>69</v>
      </c>
      <c r="P66" t="str">
        <f>"2170734493                    "</f>
        <v xml:space="preserve">2170734493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3.27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1.6</v>
      </c>
      <c r="BK66">
        <v>2</v>
      </c>
      <c r="BL66">
        <v>35.979999999999997</v>
      </c>
      <c r="BM66">
        <v>5.4</v>
      </c>
      <c r="BN66">
        <v>41.38</v>
      </c>
      <c r="BO66">
        <v>41.38</v>
      </c>
      <c r="BQ66" t="s">
        <v>71</v>
      </c>
      <c r="BR66" t="s">
        <v>70</v>
      </c>
      <c r="BS66" s="1">
        <v>43923</v>
      </c>
      <c r="BT66" s="2">
        <v>0.34722222222222227</v>
      </c>
      <c r="BU66" t="s">
        <v>243</v>
      </c>
      <c r="BV66" t="s">
        <v>80</v>
      </c>
      <c r="BY66">
        <v>7972.68</v>
      </c>
      <c r="BZ66" t="s">
        <v>23</v>
      </c>
      <c r="CC66" t="s">
        <v>65</v>
      </c>
      <c r="CD66">
        <v>1601</v>
      </c>
      <c r="CE66" t="s">
        <v>73</v>
      </c>
      <c r="CF66" s="1">
        <v>43924</v>
      </c>
      <c r="CI66">
        <v>1</v>
      </c>
      <c r="CJ66">
        <v>1</v>
      </c>
      <c r="CK66">
        <v>22</v>
      </c>
      <c r="CL66" t="s">
        <v>74</v>
      </c>
    </row>
    <row r="67" spans="1:90" x14ac:dyDescent="0.25">
      <c r="A67" t="s">
        <v>61</v>
      </c>
      <c r="B67" t="s">
        <v>62</v>
      </c>
      <c r="C67" t="s">
        <v>63</v>
      </c>
      <c r="E67" t="str">
        <f>"FES1162743923"</f>
        <v>FES1162743923</v>
      </c>
      <c r="F67" s="1">
        <v>43923</v>
      </c>
      <c r="G67">
        <v>202010</v>
      </c>
      <c r="H67" t="s">
        <v>64</v>
      </c>
      <c r="I67" t="s">
        <v>65</v>
      </c>
      <c r="J67" t="s">
        <v>66</v>
      </c>
      <c r="K67" t="s">
        <v>67</v>
      </c>
      <c r="L67" t="s">
        <v>273</v>
      </c>
      <c r="M67" t="s">
        <v>274</v>
      </c>
      <c r="N67" t="s">
        <v>275</v>
      </c>
      <c r="O67" t="s">
        <v>69</v>
      </c>
      <c r="P67" t="str">
        <f>"2170735275                    "</f>
        <v xml:space="preserve">2170735275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9.94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2.5</v>
      </c>
      <c r="BJ67">
        <v>0.8</v>
      </c>
      <c r="BK67">
        <v>2.5</v>
      </c>
      <c r="BL67">
        <v>109.38</v>
      </c>
      <c r="BM67">
        <v>16.41</v>
      </c>
      <c r="BN67">
        <v>125.79</v>
      </c>
      <c r="BO67">
        <v>125.79</v>
      </c>
      <c r="BQ67" t="s">
        <v>78</v>
      </c>
      <c r="BR67" t="s">
        <v>71</v>
      </c>
      <c r="BS67" s="1">
        <v>43924</v>
      </c>
      <c r="BT67" s="2">
        <v>0.55625000000000002</v>
      </c>
      <c r="BU67" t="s">
        <v>276</v>
      </c>
      <c r="BV67" t="s">
        <v>80</v>
      </c>
      <c r="BY67">
        <v>4063.63</v>
      </c>
      <c r="BZ67" t="s">
        <v>23</v>
      </c>
      <c r="CA67" t="s">
        <v>277</v>
      </c>
      <c r="CC67" t="s">
        <v>274</v>
      </c>
      <c r="CD67">
        <v>9445</v>
      </c>
      <c r="CE67" t="s">
        <v>91</v>
      </c>
      <c r="CF67" s="1">
        <v>43924</v>
      </c>
      <c r="CI67">
        <v>3</v>
      </c>
      <c r="CJ67">
        <v>1</v>
      </c>
      <c r="CK67">
        <v>23</v>
      </c>
      <c r="CL67" t="s">
        <v>74</v>
      </c>
    </row>
    <row r="68" spans="1:90" x14ac:dyDescent="0.25">
      <c r="A68" t="s">
        <v>61</v>
      </c>
      <c r="B68" t="s">
        <v>62</v>
      </c>
      <c r="C68" t="s">
        <v>63</v>
      </c>
      <c r="E68" t="str">
        <f>"FES1162744222"</f>
        <v>FES1162744222</v>
      </c>
      <c r="F68" s="1">
        <v>43927</v>
      </c>
      <c r="G68">
        <v>202010</v>
      </c>
      <c r="H68" t="s">
        <v>64</v>
      </c>
      <c r="I68" t="s">
        <v>65</v>
      </c>
      <c r="J68" t="s">
        <v>66</v>
      </c>
      <c r="K68" t="s">
        <v>67</v>
      </c>
      <c r="L68" t="s">
        <v>225</v>
      </c>
      <c r="M68" t="s">
        <v>226</v>
      </c>
      <c r="N68" t="s">
        <v>227</v>
      </c>
      <c r="O68" t="s">
        <v>69</v>
      </c>
      <c r="P68" t="str">
        <f>"2170733982                    "</f>
        <v xml:space="preserve">2170733982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8.11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89.23</v>
      </c>
      <c r="BM68">
        <v>13.38</v>
      </c>
      <c r="BN68">
        <v>102.61</v>
      </c>
      <c r="BO68">
        <v>102.61</v>
      </c>
      <c r="BQ68" t="s">
        <v>78</v>
      </c>
      <c r="BR68" t="s">
        <v>71</v>
      </c>
      <c r="BS68" s="1">
        <v>43928</v>
      </c>
      <c r="BT68" s="2">
        <v>0.4375</v>
      </c>
      <c r="BU68" t="s">
        <v>228</v>
      </c>
      <c r="BV68" t="s">
        <v>80</v>
      </c>
      <c r="BY68">
        <v>1200</v>
      </c>
      <c r="CC68" t="s">
        <v>226</v>
      </c>
      <c r="CD68">
        <v>1947</v>
      </c>
      <c r="CE68" t="s">
        <v>73</v>
      </c>
      <c r="CF68" s="1">
        <v>43929</v>
      </c>
      <c r="CI68">
        <v>1</v>
      </c>
      <c r="CJ68">
        <v>1</v>
      </c>
      <c r="CK68">
        <v>23</v>
      </c>
      <c r="CL68" t="s">
        <v>74</v>
      </c>
    </row>
    <row r="69" spans="1:90" x14ac:dyDescent="0.25">
      <c r="A69" t="s">
        <v>61</v>
      </c>
      <c r="B69" t="s">
        <v>62</v>
      </c>
      <c r="C69" t="s">
        <v>63</v>
      </c>
      <c r="E69" t="str">
        <f>"FES1162744073"</f>
        <v>FES1162744073</v>
      </c>
      <c r="F69" s="1">
        <v>43927</v>
      </c>
      <c r="G69">
        <v>202010</v>
      </c>
      <c r="H69" t="s">
        <v>64</v>
      </c>
      <c r="I69" t="s">
        <v>65</v>
      </c>
      <c r="J69" t="s">
        <v>66</v>
      </c>
      <c r="K69" t="s">
        <v>67</v>
      </c>
      <c r="L69" t="s">
        <v>120</v>
      </c>
      <c r="M69" t="s">
        <v>121</v>
      </c>
      <c r="N69" t="s">
        <v>278</v>
      </c>
      <c r="O69" t="s">
        <v>69</v>
      </c>
      <c r="P69" t="str">
        <f>"2170735286                    "</f>
        <v xml:space="preserve">2170735286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4.1900000000000004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46.06</v>
      </c>
      <c r="BM69">
        <v>6.91</v>
      </c>
      <c r="BN69">
        <v>52.97</v>
      </c>
      <c r="BO69">
        <v>52.97</v>
      </c>
      <c r="BQ69" t="s">
        <v>70</v>
      </c>
      <c r="BR69" t="s">
        <v>71</v>
      </c>
      <c r="BS69" s="1">
        <v>43929</v>
      </c>
      <c r="BT69" s="2">
        <v>0.41666666666666669</v>
      </c>
      <c r="BU69" t="s">
        <v>279</v>
      </c>
      <c r="BV69" t="s">
        <v>74</v>
      </c>
      <c r="BW69" t="s">
        <v>124</v>
      </c>
      <c r="BX69" t="s">
        <v>125</v>
      </c>
      <c r="BY69">
        <v>1200</v>
      </c>
      <c r="CC69" t="s">
        <v>121</v>
      </c>
      <c r="CD69">
        <v>4001</v>
      </c>
      <c r="CE69" t="s">
        <v>73</v>
      </c>
      <c r="CF69" s="1">
        <v>43935</v>
      </c>
      <c r="CI69">
        <v>1</v>
      </c>
      <c r="CJ69">
        <v>2</v>
      </c>
      <c r="CK69">
        <v>21</v>
      </c>
      <c r="CL69" t="s">
        <v>74</v>
      </c>
    </row>
    <row r="70" spans="1:90" x14ac:dyDescent="0.25">
      <c r="A70" t="s">
        <v>61</v>
      </c>
      <c r="B70" t="s">
        <v>62</v>
      </c>
      <c r="C70" t="s">
        <v>63</v>
      </c>
      <c r="E70" t="str">
        <f>"FES1162744070"</f>
        <v>FES1162744070</v>
      </c>
      <c r="F70" s="1">
        <v>43924</v>
      </c>
      <c r="G70">
        <v>202010</v>
      </c>
      <c r="H70" t="s">
        <v>64</v>
      </c>
      <c r="I70" t="s">
        <v>65</v>
      </c>
      <c r="J70" t="s">
        <v>66</v>
      </c>
      <c r="K70" t="s">
        <v>67</v>
      </c>
      <c r="L70" t="s">
        <v>151</v>
      </c>
      <c r="M70" t="s">
        <v>152</v>
      </c>
      <c r="N70" t="s">
        <v>280</v>
      </c>
      <c r="O70" t="s">
        <v>69</v>
      </c>
      <c r="P70" t="str">
        <f>"2170735093                    "</f>
        <v xml:space="preserve">2170735093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4.1900000000000004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0.2</v>
      </c>
      <c r="BJ70">
        <v>1.2</v>
      </c>
      <c r="BK70">
        <v>1.5</v>
      </c>
      <c r="BL70">
        <v>46.06</v>
      </c>
      <c r="BM70">
        <v>6.91</v>
      </c>
      <c r="BN70">
        <v>52.97</v>
      </c>
      <c r="BO70">
        <v>52.97</v>
      </c>
      <c r="BQ70" t="s">
        <v>78</v>
      </c>
      <c r="BR70" t="s">
        <v>71</v>
      </c>
      <c r="BS70" s="1">
        <v>43928</v>
      </c>
      <c r="BT70" s="2">
        <v>0.5</v>
      </c>
      <c r="BU70" t="s">
        <v>281</v>
      </c>
      <c r="BV70" t="s">
        <v>74</v>
      </c>
      <c r="BY70">
        <v>6140.16</v>
      </c>
      <c r="CC70" t="s">
        <v>152</v>
      </c>
      <c r="CD70">
        <v>3699</v>
      </c>
      <c r="CE70" t="s">
        <v>73</v>
      </c>
      <c r="CF70" s="1">
        <v>43936</v>
      </c>
      <c r="CI70">
        <v>1</v>
      </c>
      <c r="CJ70">
        <v>2</v>
      </c>
      <c r="CK70">
        <v>21</v>
      </c>
      <c r="CL70" t="s">
        <v>74</v>
      </c>
    </row>
    <row r="71" spans="1:90" x14ac:dyDescent="0.25">
      <c r="A71" t="s">
        <v>61</v>
      </c>
      <c r="B71" t="s">
        <v>62</v>
      </c>
      <c r="C71" t="s">
        <v>63</v>
      </c>
      <c r="E71" t="str">
        <f>"FES1162744090"</f>
        <v>FES1162744090</v>
      </c>
      <c r="F71" s="1">
        <v>43923</v>
      </c>
      <c r="G71">
        <v>202010</v>
      </c>
      <c r="H71" t="s">
        <v>64</v>
      </c>
      <c r="I71" t="s">
        <v>65</v>
      </c>
      <c r="J71" t="s">
        <v>66</v>
      </c>
      <c r="K71" t="s">
        <v>67</v>
      </c>
      <c r="L71" t="s">
        <v>146</v>
      </c>
      <c r="M71" t="s">
        <v>147</v>
      </c>
      <c r="N71" t="s">
        <v>282</v>
      </c>
      <c r="O71" t="s">
        <v>69</v>
      </c>
      <c r="P71" t="str">
        <f>"2170735496                    "</f>
        <v xml:space="preserve">2170735496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15.69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7.1</v>
      </c>
      <c r="BJ71">
        <v>6.1</v>
      </c>
      <c r="BK71">
        <v>7.5</v>
      </c>
      <c r="BL71">
        <v>172.62</v>
      </c>
      <c r="BM71">
        <v>25.89</v>
      </c>
      <c r="BN71">
        <v>198.51</v>
      </c>
      <c r="BO71">
        <v>198.51</v>
      </c>
      <c r="BQ71" t="s">
        <v>78</v>
      </c>
      <c r="BR71" t="s">
        <v>71</v>
      </c>
      <c r="BS71" s="1">
        <v>43924</v>
      </c>
      <c r="BT71" s="2">
        <v>0.59166666666666667</v>
      </c>
      <c r="BU71" t="s">
        <v>283</v>
      </c>
      <c r="BV71" t="s">
        <v>74</v>
      </c>
      <c r="BW71" t="s">
        <v>124</v>
      </c>
      <c r="BX71" t="s">
        <v>284</v>
      </c>
      <c r="BY71">
        <v>30657.26</v>
      </c>
      <c r="BZ71" t="s">
        <v>23</v>
      </c>
      <c r="CA71" t="s">
        <v>150</v>
      </c>
      <c r="CC71" t="s">
        <v>147</v>
      </c>
      <c r="CD71">
        <v>6001</v>
      </c>
      <c r="CE71" t="s">
        <v>91</v>
      </c>
      <c r="CF71" s="1">
        <v>43928</v>
      </c>
      <c r="CI71">
        <v>1</v>
      </c>
      <c r="CJ71">
        <v>1</v>
      </c>
      <c r="CK71">
        <v>21</v>
      </c>
      <c r="CL71" t="s">
        <v>74</v>
      </c>
    </row>
    <row r="72" spans="1:90" x14ac:dyDescent="0.25">
      <c r="A72" t="s">
        <v>61</v>
      </c>
      <c r="B72" t="s">
        <v>62</v>
      </c>
      <c r="C72" t="s">
        <v>63</v>
      </c>
      <c r="E72" t="str">
        <f>"FES1162744141"</f>
        <v>FES1162744141</v>
      </c>
      <c r="F72" s="1">
        <v>43924</v>
      </c>
      <c r="G72">
        <v>202010</v>
      </c>
      <c r="H72" t="s">
        <v>64</v>
      </c>
      <c r="I72" t="s">
        <v>65</v>
      </c>
      <c r="J72" t="s">
        <v>66</v>
      </c>
      <c r="K72" t="s">
        <v>67</v>
      </c>
      <c r="L72" t="s">
        <v>92</v>
      </c>
      <c r="M72" t="s">
        <v>93</v>
      </c>
      <c r="N72" t="s">
        <v>144</v>
      </c>
      <c r="O72" t="s">
        <v>69</v>
      </c>
      <c r="P72" t="str">
        <f>"2170733245                    "</f>
        <v xml:space="preserve">2170733245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4.1900000000000004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</v>
      </c>
      <c r="BJ72">
        <v>1.8</v>
      </c>
      <c r="BK72">
        <v>2</v>
      </c>
      <c r="BL72">
        <v>46.06</v>
      </c>
      <c r="BM72">
        <v>6.91</v>
      </c>
      <c r="BN72">
        <v>52.97</v>
      </c>
      <c r="BO72">
        <v>52.97</v>
      </c>
      <c r="BQ72" t="s">
        <v>78</v>
      </c>
      <c r="BR72" t="s">
        <v>71</v>
      </c>
      <c r="BS72" s="1">
        <v>43927</v>
      </c>
      <c r="BT72" s="2">
        <v>0.41666666666666669</v>
      </c>
      <c r="BU72" t="s">
        <v>285</v>
      </c>
      <c r="BV72" t="s">
        <v>80</v>
      </c>
      <c r="BY72">
        <v>9248.2900000000009</v>
      </c>
      <c r="BZ72" t="s">
        <v>23</v>
      </c>
      <c r="CC72" t="s">
        <v>93</v>
      </c>
      <c r="CD72">
        <v>7530</v>
      </c>
      <c r="CE72" t="s">
        <v>73</v>
      </c>
      <c r="CF72" s="1">
        <v>43928</v>
      </c>
      <c r="CI72">
        <v>1</v>
      </c>
      <c r="CJ72">
        <v>1</v>
      </c>
      <c r="CK72">
        <v>21</v>
      </c>
      <c r="CL72" t="s">
        <v>74</v>
      </c>
    </row>
    <row r="73" spans="1:90" x14ac:dyDescent="0.25">
      <c r="A73" t="s">
        <v>61</v>
      </c>
      <c r="B73" t="s">
        <v>62</v>
      </c>
      <c r="C73" t="s">
        <v>63</v>
      </c>
      <c r="E73" t="str">
        <f>"FES1162744064"</f>
        <v>FES1162744064</v>
      </c>
      <c r="F73" s="1">
        <v>43923</v>
      </c>
      <c r="G73">
        <v>202010</v>
      </c>
      <c r="H73" t="s">
        <v>64</v>
      </c>
      <c r="I73" t="s">
        <v>65</v>
      </c>
      <c r="J73" t="s">
        <v>66</v>
      </c>
      <c r="K73" t="s">
        <v>67</v>
      </c>
      <c r="L73" t="s">
        <v>92</v>
      </c>
      <c r="M73" t="s">
        <v>93</v>
      </c>
      <c r="N73" t="s">
        <v>94</v>
      </c>
      <c r="O73" t="s">
        <v>69</v>
      </c>
      <c r="P73" t="str">
        <f>"2170734643                    "</f>
        <v xml:space="preserve">2170734643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4.1900000000000004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46.06</v>
      </c>
      <c r="BM73">
        <v>6.91</v>
      </c>
      <c r="BN73">
        <v>52.97</v>
      </c>
      <c r="BO73">
        <v>52.97</v>
      </c>
      <c r="BQ73" t="s">
        <v>70</v>
      </c>
      <c r="BR73" t="s">
        <v>71</v>
      </c>
      <c r="BS73" s="1">
        <v>43924</v>
      </c>
      <c r="BT73" s="2">
        <v>0.46249999999999997</v>
      </c>
      <c r="BU73" t="s">
        <v>286</v>
      </c>
      <c r="BV73" t="s">
        <v>74</v>
      </c>
      <c r="BW73" t="s">
        <v>287</v>
      </c>
      <c r="BX73" t="s">
        <v>288</v>
      </c>
      <c r="BY73">
        <v>1200</v>
      </c>
      <c r="BZ73" t="s">
        <v>23</v>
      </c>
      <c r="CA73" t="s">
        <v>98</v>
      </c>
      <c r="CC73" t="s">
        <v>93</v>
      </c>
      <c r="CD73">
        <v>7441</v>
      </c>
      <c r="CE73" t="s">
        <v>73</v>
      </c>
      <c r="CF73" s="1">
        <v>43924</v>
      </c>
      <c r="CI73">
        <v>1</v>
      </c>
      <c r="CJ73">
        <v>1</v>
      </c>
      <c r="CK73">
        <v>21</v>
      </c>
      <c r="CL73" t="s">
        <v>74</v>
      </c>
    </row>
    <row r="74" spans="1:90" x14ac:dyDescent="0.25">
      <c r="A74" t="s">
        <v>61</v>
      </c>
      <c r="B74" t="s">
        <v>62</v>
      </c>
      <c r="C74" t="s">
        <v>63</v>
      </c>
      <c r="E74" t="str">
        <f>"FES1162744172"</f>
        <v>FES1162744172</v>
      </c>
      <c r="F74" s="1">
        <v>43924</v>
      </c>
      <c r="G74">
        <v>202010</v>
      </c>
      <c r="H74" t="s">
        <v>64</v>
      </c>
      <c r="I74" t="s">
        <v>65</v>
      </c>
      <c r="J74" t="s">
        <v>66</v>
      </c>
      <c r="K74" t="s">
        <v>67</v>
      </c>
      <c r="L74" t="s">
        <v>238</v>
      </c>
      <c r="M74" t="s">
        <v>239</v>
      </c>
      <c r="N74" t="s">
        <v>289</v>
      </c>
      <c r="O74" t="s">
        <v>69</v>
      </c>
      <c r="P74" t="str">
        <f>"2170732151                    "</f>
        <v xml:space="preserve">2170732151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6.28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3</v>
      </c>
      <c r="BJ74">
        <v>0.8</v>
      </c>
      <c r="BK74">
        <v>3</v>
      </c>
      <c r="BL74">
        <v>69.069999999999993</v>
      </c>
      <c r="BM74">
        <v>10.36</v>
      </c>
      <c r="BN74">
        <v>79.430000000000007</v>
      </c>
      <c r="BO74">
        <v>79.430000000000007</v>
      </c>
      <c r="BQ74" t="s">
        <v>70</v>
      </c>
      <c r="BR74" t="s">
        <v>71</v>
      </c>
      <c r="BS74" s="1">
        <v>43927</v>
      </c>
      <c r="BT74" s="2">
        <v>0.37638888888888888</v>
      </c>
      <c r="BU74" t="s">
        <v>290</v>
      </c>
      <c r="BV74" t="s">
        <v>80</v>
      </c>
      <c r="BY74">
        <v>3916.84</v>
      </c>
      <c r="BZ74" t="s">
        <v>23</v>
      </c>
      <c r="CA74" t="s">
        <v>291</v>
      </c>
      <c r="CC74" t="s">
        <v>239</v>
      </c>
      <c r="CD74">
        <v>5201</v>
      </c>
      <c r="CE74" t="s">
        <v>91</v>
      </c>
      <c r="CF74" s="1">
        <v>43927</v>
      </c>
      <c r="CI74">
        <v>1</v>
      </c>
      <c r="CJ74">
        <v>1</v>
      </c>
      <c r="CK74">
        <v>21</v>
      </c>
      <c r="CL74" t="s">
        <v>74</v>
      </c>
    </row>
    <row r="75" spans="1:90" x14ac:dyDescent="0.25">
      <c r="A75" t="s">
        <v>61</v>
      </c>
      <c r="B75" t="s">
        <v>62</v>
      </c>
      <c r="C75" t="s">
        <v>63</v>
      </c>
      <c r="E75" t="str">
        <f>"RFES1162743833"</f>
        <v>RFES1162743833</v>
      </c>
      <c r="F75" s="1">
        <v>43922</v>
      </c>
      <c r="G75">
        <v>202010</v>
      </c>
      <c r="H75" t="s">
        <v>75</v>
      </c>
      <c r="I75" t="s">
        <v>76</v>
      </c>
      <c r="J75" t="s">
        <v>181</v>
      </c>
      <c r="K75" t="s">
        <v>67</v>
      </c>
      <c r="L75" t="s">
        <v>64</v>
      </c>
      <c r="M75" t="s">
        <v>65</v>
      </c>
      <c r="N75" t="s">
        <v>66</v>
      </c>
      <c r="O75" t="s">
        <v>69</v>
      </c>
      <c r="P75" t="str">
        <f>"2170732931                    "</f>
        <v xml:space="preserve">2170732931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3.66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2.1</v>
      </c>
      <c r="BK75">
        <v>2.5</v>
      </c>
      <c r="BL75">
        <v>40.29</v>
      </c>
      <c r="BM75">
        <v>6.04</v>
      </c>
      <c r="BN75">
        <v>46.33</v>
      </c>
      <c r="BO75">
        <v>46.33</v>
      </c>
      <c r="BQ75" t="s">
        <v>71</v>
      </c>
      <c r="BS75" s="1">
        <v>43923</v>
      </c>
      <c r="BT75" s="2">
        <v>0.35416666666666669</v>
      </c>
      <c r="BU75" t="s">
        <v>243</v>
      </c>
      <c r="BV75" t="s">
        <v>80</v>
      </c>
      <c r="BY75">
        <v>10443.200000000001</v>
      </c>
      <c r="BZ75" t="s">
        <v>23</v>
      </c>
      <c r="CA75" t="s">
        <v>292</v>
      </c>
      <c r="CC75" t="s">
        <v>65</v>
      </c>
      <c r="CD75">
        <v>1601</v>
      </c>
      <c r="CE75" t="s">
        <v>73</v>
      </c>
      <c r="CF75" s="1">
        <v>43924</v>
      </c>
      <c r="CI75">
        <v>1</v>
      </c>
      <c r="CJ75">
        <v>1</v>
      </c>
      <c r="CK75">
        <v>22</v>
      </c>
      <c r="CL75" t="s">
        <v>74</v>
      </c>
    </row>
    <row r="76" spans="1:90" x14ac:dyDescent="0.25">
      <c r="A76" t="s">
        <v>61</v>
      </c>
      <c r="B76" t="s">
        <v>62</v>
      </c>
      <c r="C76" t="s">
        <v>63</v>
      </c>
      <c r="E76" t="str">
        <f>"FES1162744080"</f>
        <v>FES1162744080</v>
      </c>
      <c r="F76" s="1">
        <v>43924</v>
      </c>
      <c r="G76">
        <v>202010</v>
      </c>
      <c r="H76" t="s">
        <v>64</v>
      </c>
      <c r="I76" t="s">
        <v>65</v>
      </c>
      <c r="J76" t="s">
        <v>66</v>
      </c>
      <c r="K76" t="s">
        <v>67</v>
      </c>
      <c r="L76" t="s">
        <v>184</v>
      </c>
      <c r="M76" t="s">
        <v>185</v>
      </c>
      <c r="N76" t="s">
        <v>186</v>
      </c>
      <c r="O76" t="s">
        <v>69</v>
      </c>
      <c r="P76" t="str">
        <f>"2170735488                    "</f>
        <v xml:space="preserve">2170735488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8.11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1.8</v>
      </c>
      <c r="BK76">
        <v>2</v>
      </c>
      <c r="BL76">
        <v>89.23</v>
      </c>
      <c r="BM76">
        <v>13.38</v>
      </c>
      <c r="BN76">
        <v>102.61</v>
      </c>
      <c r="BO76">
        <v>102.61</v>
      </c>
      <c r="BQ76" t="s">
        <v>70</v>
      </c>
      <c r="BR76" t="s">
        <v>71</v>
      </c>
      <c r="BS76" s="1">
        <v>43927</v>
      </c>
      <c r="BT76" s="2">
        <v>0.43194444444444446</v>
      </c>
      <c r="BU76" t="s">
        <v>293</v>
      </c>
      <c r="BV76" t="s">
        <v>80</v>
      </c>
      <c r="BY76">
        <v>8906.7999999999993</v>
      </c>
      <c r="BZ76" t="s">
        <v>23</v>
      </c>
      <c r="CA76" t="s">
        <v>188</v>
      </c>
      <c r="CC76" t="s">
        <v>185</v>
      </c>
      <c r="CD76">
        <v>7130</v>
      </c>
      <c r="CE76" t="s">
        <v>73</v>
      </c>
      <c r="CF76" s="1">
        <v>43927</v>
      </c>
      <c r="CI76">
        <v>1</v>
      </c>
      <c r="CJ76">
        <v>1</v>
      </c>
      <c r="CK76">
        <v>23</v>
      </c>
      <c r="CL76" t="s">
        <v>74</v>
      </c>
    </row>
    <row r="77" spans="1:90" x14ac:dyDescent="0.25">
      <c r="A77" t="s">
        <v>61</v>
      </c>
      <c r="B77" t="s">
        <v>62</v>
      </c>
      <c r="C77" t="s">
        <v>63</v>
      </c>
      <c r="E77" t="str">
        <f>"FES1162744033"</f>
        <v>FES1162744033</v>
      </c>
      <c r="F77" s="1">
        <v>43923</v>
      </c>
      <c r="G77">
        <v>202010</v>
      </c>
      <c r="H77" t="s">
        <v>64</v>
      </c>
      <c r="I77" t="s">
        <v>65</v>
      </c>
      <c r="J77" t="s">
        <v>66</v>
      </c>
      <c r="K77" t="s">
        <v>67</v>
      </c>
      <c r="L77" t="s">
        <v>120</v>
      </c>
      <c r="M77" t="s">
        <v>121</v>
      </c>
      <c r="N77" t="s">
        <v>206</v>
      </c>
      <c r="O77" t="s">
        <v>69</v>
      </c>
      <c r="P77" t="str">
        <f>"2170735437                    "</f>
        <v xml:space="preserve">2170735437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4.1900000000000004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46.06</v>
      </c>
      <c r="BM77">
        <v>6.91</v>
      </c>
      <c r="BN77">
        <v>52.97</v>
      </c>
      <c r="BO77">
        <v>52.97</v>
      </c>
      <c r="BQ77" t="s">
        <v>78</v>
      </c>
      <c r="BR77" t="s">
        <v>71</v>
      </c>
      <c r="BS77" s="1">
        <v>43928</v>
      </c>
      <c r="BT77" s="2">
        <v>0.45833333333333331</v>
      </c>
      <c r="BU77" t="s">
        <v>294</v>
      </c>
      <c r="BV77" t="s">
        <v>74</v>
      </c>
      <c r="BW77" t="s">
        <v>85</v>
      </c>
      <c r="BX77" t="s">
        <v>128</v>
      </c>
      <c r="BY77">
        <v>1200</v>
      </c>
      <c r="CC77" t="s">
        <v>121</v>
      </c>
      <c r="CD77">
        <v>4052</v>
      </c>
      <c r="CE77" t="s">
        <v>73</v>
      </c>
      <c r="CF77" s="1">
        <v>43935</v>
      </c>
      <c r="CI77">
        <v>1</v>
      </c>
      <c r="CJ77">
        <v>3</v>
      </c>
      <c r="CK77">
        <v>21</v>
      </c>
      <c r="CL77" t="s">
        <v>74</v>
      </c>
    </row>
    <row r="78" spans="1:90" x14ac:dyDescent="0.25">
      <c r="A78" t="s">
        <v>61</v>
      </c>
      <c r="B78" t="s">
        <v>62</v>
      </c>
      <c r="C78" t="s">
        <v>63</v>
      </c>
      <c r="E78" t="str">
        <f>"FES1162744150"</f>
        <v>FES1162744150</v>
      </c>
      <c r="F78" s="1">
        <v>43924</v>
      </c>
      <c r="G78">
        <v>202010</v>
      </c>
      <c r="H78" t="s">
        <v>64</v>
      </c>
      <c r="I78" t="s">
        <v>65</v>
      </c>
      <c r="J78" t="s">
        <v>66</v>
      </c>
      <c r="K78" t="s">
        <v>67</v>
      </c>
      <c r="L78" t="s">
        <v>238</v>
      </c>
      <c r="M78" t="s">
        <v>239</v>
      </c>
      <c r="N78" t="s">
        <v>289</v>
      </c>
      <c r="O78" t="s">
        <v>69</v>
      </c>
      <c r="P78" t="str">
        <f>"2170733961                    "</f>
        <v xml:space="preserve">2170733961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4.1900000000000004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>
        <v>46.06</v>
      </c>
      <c r="BM78">
        <v>6.91</v>
      </c>
      <c r="BN78">
        <v>52.97</v>
      </c>
      <c r="BO78">
        <v>52.97</v>
      </c>
      <c r="BQ78" t="s">
        <v>70</v>
      </c>
      <c r="BR78" t="s">
        <v>71</v>
      </c>
      <c r="BS78" s="1">
        <v>43927</v>
      </c>
      <c r="BT78" s="2">
        <v>0.3756944444444445</v>
      </c>
      <c r="BU78" t="s">
        <v>290</v>
      </c>
      <c r="BV78" t="s">
        <v>80</v>
      </c>
      <c r="BY78">
        <v>6040.01</v>
      </c>
      <c r="BZ78" t="s">
        <v>23</v>
      </c>
      <c r="CA78" t="s">
        <v>291</v>
      </c>
      <c r="CC78" t="s">
        <v>239</v>
      </c>
      <c r="CD78">
        <v>5201</v>
      </c>
      <c r="CE78" t="s">
        <v>73</v>
      </c>
      <c r="CF78" s="1">
        <v>43927</v>
      </c>
      <c r="CI78">
        <v>1</v>
      </c>
      <c r="CJ78">
        <v>1</v>
      </c>
      <c r="CK78">
        <v>21</v>
      </c>
      <c r="CL78" t="s">
        <v>74</v>
      </c>
    </row>
    <row r="79" spans="1:90" x14ac:dyDescent="0.25">
      <c r="A79" t="s">
        <v>61</v>
      </c>
      <c r="B79" t="s">
        <v>62</v>
      </c>
      <c r="C79" t="s">
        <v>63</v>
      </c>
      <c r="E79" t="str">
        <f>"FES1162744044"</f>
        <v>FES1162744044</v>
      </c>
      <c r="F79" s="1">
        <v>43923</v>
      </c>
      <c r="G79">
        <v>202010</v>
      </c>
      <c r="H79" t="s">
        <v>64</v>
      </c>
      <c r="I79" t="s">
        <v>65</v>
      </c>
      <c r="J79" t="s">
        <v>66</v>
      </c>
      <c r="K79" t="s">
        <v>67</v>
      </c>
      <c r="L79" t="s">
        <v>238</v>
      </c>
      <c r="M79" t="s">
        <v>239</v>
      </c>
      <c r="N79" t="s">
        <v>295</v>
      </c>
      <c r="O79" t="s">
        <v>69</v>
      </c>
      <c r="P79" t="str">
        <f>"2170735465                    "</f>
        <v xml:space="preserve">2170735465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4.1900000000000004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46.06</v>
      </c>
      <c r="BM79">
        <v>6.91</v>
      </c>
      <c r="BN79">
        <v>52.97</v>
      </c>
      <c r="BO79">
        <v>52.97</v>
      </c>
      <c r="BQ79" t="s">
        <v>78</v>
      </c>
      <c r="BR79" t="s">
        <v>71</v>
      </c>
      <c r="BS79" s="1">
        <v>43924</v>
      </c>
      <c r="BT79" s="2">
        <v>0.38263888888888892</v>
      </c>
      <c r="BU79" t="s">
        <v>296</v>
      </c>
      <c r="BV79" t="s">
        <v>80</v>
      </c>
      <c r="BY79">
        <v>1200</v>
      </c>
      <c r="BZ79" t="s">
        <v>23</v>
      </c>
      <c r="CA79" t="s">
        <v>297</v>
      </c>
      <c r="CC79" t="s">
        <v>239</v>
      </c>
      <c r="CD79">
        <v>5201</v>
      </c>
      <c r="CE79" t="s">
        <v>73</v>
      </c>
      <c r="CF79" s="1">
        <v>43924</v>
      </c>
      <c r="CI79">
        <v>1</v>
      </c>
      <c r="CJ79">
        <v>1</v>
      </c>
      <c r="CK79">
        <v>21</v>
      </c>
      <c r="CL79" t="s">
        <v>74</v>
      </c>
    </row>
    <row r="80" spans="1:90" x14ac:dyDescent="0.25">
      <c r="A80" t="s">
        <v>61</v>
      </c>
      <c r="B80" t="s">
        <v>62</v>
      </c>
      <c r="C80" t="s">
        <v>63</v>
      </c>
      <c r="E80" t="str">
        <f>"FES1162744225"</f>
        <v>FES1162744225</v>
      </c>
      <c r="F80" s="1">
        <v>43927</v>
      </c>
      <c r="G80">
        <v>202010</v>
      </c>
      <c r="H80" t="s">
        <v>64</v>
      </c>
      <c r="I80" t="s">
        <v>65</v>
      </c>
      <c r="J80" t="s">
        <v>66</v>
      </c>
      <c r="K80" t="s">
        <v>67</v>
      </c>
      <c r="L80" t="s">
        <v>298</v>
      </c>
      <c r="M80" t="s">
        <v>299</v>
      </c>
      <c r="N80" t="s">
        <v>300</v>
      </c>
      <c r="O80" t="s">
        <v>69</v>
      </c>
      <c r="P80" t="str">
        <f>"2170734242                    "</f>
        <v xml:space="preserve">2170734242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8.11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89.23</v>
      </c>
      <c r="BM80">
        <v>13.38</v>
      </c>
      <c r="BN80">
        <v>102.61</v>
      </c>
      <c r="BO80">
        <v>102.61</v>
      </c>
      <c r="BQ80" t="s">
        <v>78</v>
      </c>
      <c r="BR80" t="s">
        <v>71</v>
      </c>
      <c r="BS80" s="1">
        <v>43928</v>
      </c>
      <c r="BT80" s="2">
        <v>0.63263888888888886</v>
      </c>
      <c r="BU80" t="s">
        <v>301</v>
      </c>
      <c r="BV80" t="s">
        <v>80</v>
      </c>
      <c r="BY80">
        <v>1200</v>
      </c>
      <c r="CA80" t="s">
        <v>137</v>
      </c>
      <c r="CC80" t="s">
        <v>299</v>
      </c>
      <c r="CD80">
        <v>4380</v>
      </c>
      <c r="CE80" t="s">
        <v>73</v>
      </c>
      <c r="CF80" s="1">
        <v>43935</v>
      </c>
      <c r="CI80">
        <v>1</v>
      </c>
      <c r="CJ80">
        <v>1</v>
      </c>
      <c r="CK80">
        <v>23</v>
      </c>
      <c r="CL80" t="s">
        <v>74</v>
      </c>
    </row>
    <row r="81" spans="1:90" x14ac:dyDescent="0.25">
      <c r="A81" t="s">
        <v>61</v>
      </c>
      <c r="B81" t="s">
        <v>62</v>
      </c>
      <c r="C81" t="s">
        <v>63</v>
      </c>
      <c r="E81" t="str">
        <f>"FES1162744048"</f>
        <v>FES1162744048</v>
      </c>
      <c r="F81" s="1">
        <v>43923</v>
      </c>
      <c r="G81">
        <v>202010</v>
      </c>
      <c r="H81" t="s">
        <v>64</v>
      </c>
      <c r="I81" t="s">
        <v>65</v>
      </c>
      <c r="J81" t="s">
        <v>66</v>
      </c>
      <c r="K81" t="s">
        <v>67</v>
      </c>
      <c r="L81" t="s">
        <v>212</v>
      </c>
      <c r="M81" t="s">
        <v>213</v>
      </c>
      <c r="N81" t="s">
        <v>302</v>
      </c>
      <c r="O81" t="s">
        <v>69</v>
      </c>
      <c r="P81" t="str">
        <f>"2170735480                    "</f>
        <v xml:space="preserve">2170735480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4.1900000000000004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46.06</v>
      </c>
      <c r="BM81">
        <v>6.91</v>
      </c>
      <c r="BN81">
        <v>52.97</v>
      </c>
      <c r="BO81">
        <v>52.97</v>
      </c>
      <c r="BQ81" t="s">
        <v>78</v>
      </c>
      <c r="BR81" t="s">
        <v>71</v>
      </c>
      <c r="BS81" s="1">
        <v>43927</v>
      </c>
      <c r="BT81" s="2">
        <v>0.47916666666666669</v>
      </c>
      <c r="BU81" t="s">
        <v>303</v>
      </c>
      <c r="BV81" t="s">
        <v>74</v>
      </c>
      <c r="BW81" t="s">
        <v>85</v>
      </c>
      <c r="BX81" t="s">
        <v>128</v>
      </c>
      <c r="BY81">
        <v>1200</v>
      </c>
      <c r="CC81" t="s">
        <v>213</v>
      </c>
      <c r="CD81">
        <v>3610</v>
      </c>
      <c r="CE81" t="s">
        <v>73</v>
      </c>
      <c r="CF81" s="1">
        <v>43929</v>
      </c>
      <c r="CI81">
        <v>1</v>
      </c>
      <c r="CJ81">
        <v>2</v>
      </c>
      <c r="CK81">
        <v>21</v>
      </c>
      <c r="CL81" t="s">
        <v>74</v>
      </c>
    </row>
    <row r="82" spans="1:90" x14ac:dyDescent="0.25">
      <c r="A82" t="s">
        <v>61</v>
      </c>
      <c r="B82" t="s">
        <v>62</v>
      </c>
      <c r="C82" t="s">
        <v>63</v>
      </c>
      <c r="E82" t="str">
        <f>"FES1162744163"</f>
        <v>FES1162744163</v>
      </c>
      <c r="F82" s="1">
        <v>43924</v>
      </c>
      <c r="G82">
        <v>202010</v>
      </c>
      <c r="H82" t="s">
        <v>64</v>
      </c>
      <c r="I82" t="s">
        <v>65</v>
      </c>
      <c r="J82" t="s">
        <v>66</v>
      </c>
      <c r="K82" t="s">
        <v>67</v>
      </c>
      <c r="L82" t="s">
        <v>92</v>
      </c>
      <c r="M82" t="s">
        <v>93</v>
      </c>
      <c r="N82" t="s">
        <v>94</v>
      </c>
      <c r="O82" t="s">
        <v>69</v>
      </c>
      <c r="P82" t="str">
        <f>"2170735254                    "</f>
        <v xml:space="preserve">2170735254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4.1900000000000004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2</v>
      </c>
      <c r="BJ82">
        <v>1.4</v>
      </c>
      <c r="BK82">
        <v>2</v>
      </c>
      <c r="BL82">
        <v>46.06</v>
      </c>
      <c r="BM82">
        <v>6.91</v>
      </c>
      <c r="BN82">
        <v>52.97</v>
      </c>
      <c r="BO82">
        <v>52.97</v>
      </c>
      <c r="BQ82" t="s">
        <v>70</v>
      </c>
      <c r="BR82" t="s">
        <v>71</v>
      </c>
      <c r="BS82" s="1">
        <v>43927</v>
      </c>
      <c r="BT82" s="2">
        <v>0.55555555555555558</v>
      </c>
      <c r="BU82" t="s">
        <v>304</v>
      </c>
      <c r="BV82" t="s">
        <v>74</v>
      </c>
      <c r="BW82" t="s">
        <v>96</v>
      </c>
      <c r="BX82" t="s">
        <v>97</v>
      </c>
      <c r="BY82">
        <v>7032.29</v>
      </c>
      <c r="BZ82" t="s">
        <v>23</v>
      </c>
      <c r="CA82" t="s">
        <v>98</v>
      </c>
      <c r="CC82" t="s">
        <v>93</v>
      </c>
      <c r="CD82">
        <v>7441</v>
      </c>
      <c r="CE82" t="s">
        <v>91</v>
      </c>
      <c r="CF82" s="1">
        <v>43927</v>
      </c>
      <c r="CI82">
        <v>1</v>
      </c>
      <c r="CJ82">
        <v>1</v>
      </c>
      <c r="CK82">
        <v>21</v>
      </c>
      <c r="CL82" t="s">
        <v>74</v>
      </c>
    </row>
    <row r="83" spans="1:90" x14ac:dyDescent="0.25">
      <c r="A83" t="s">
        <v>61</v>
      </c>
      <c r="B83" t="s">
        <v>62</v>
      </c>
      <c r="C83" t="s">
        <v>63</v>
      </c>
      <c r="E83" t="str">
        <f>"FES1162743973"</f>
        <v>FES1162743973</v>
      </c>
      <c r="F83" s="1">
        <v>43923</v>
      </c>
      <c r="G83">
        <v>202010</v>
      </c>
      <c r="H83" t="s">
        <v>64</v>
      </c>
      <c r="I83" t="s">
        <v>65</v>
      </c>
      <c r="J83" t="s">
        <v>66</v>
      </c>
      <c r="K83" t="s">
        <v>67</v>
      </c>
      <c r="L83" t="s">
        <v>120</v>
      </c>
      <c r="M83" t="s">
        <v>121</v>
      </c>
      <c r="N83" t="s">
        <v>122</v>
      </c>
      <c r="O83" t="s">
        <v>69</v>
      </c>
      <c r="P83" t="str">
        <f>"2170735065                    "</f>
        <v xml:space="preserve">2170735065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4.1900000000000004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46.06</v>
      </c>
      <c r="BM83">
        <v>6.91</v>
      </c>
      <c r="BN83">
        <v>52.97</v>
      </c>
      <c r="BO83">
        <v>52.97</v>
      </c>
      <c r="BQ83" t="s">
        <v>70</v>
      </c>
      <c r="BR83" t="s">
        <v>71</v>
      </c>
      <c r="BS83" s="1">
        <v>43927</v>
      </c>
      <c r="BT83" s="2">
        <v>0.45833333333333331</v>
      </c>
      <c r="BU83" t="s">
        <v>305</v>
      </c>
      <c r="BV83" t="s">
        <v>74</v>
      </c>
      <c r="BW83" t="s">
        <v>85</v>
      </c>
      <c r="BX83" t="s">
        <v>128</v>
      </c>
      <c r="BY83">
        <v>1200</v>
      </c>
      <c r="BZ83" t="s">
        <v>23</v>
      </c>
      <c r="CC83" t="s">
        <v>121</v>
      </c>
      <c r="CD83">
        <v>4052</v>
      </c>
      <c r="CE83" t="s">
        <v>73</v>
      </c>
      <c r="CF83" s="1">
        <v>43929</v>
      </c>
      <c r="CI83">
        <v>1</v>
      </c>
      <c r="CJ83">
        <v>2</v>
      </c>
      <c r="CK83">
        <v>21</v>
      </c>
      <c r="CL83" t="s">
        <v>74</v>
      </c>
    </row>
    <row r="84" spans="1:90" x14ac:dyDescent="0.25">
      <c r="A84" t="s">
        <v>61</v>
      </c>
      <c r="B84" t="s">
        <v>62</v>
      </c>
      <c r="C84" t="s">
        <v>63</v>
      </c>
      <c r="E84" t="str">
        <f>"FES1162744178"</f>
        <v>FES1162744178</v>
      </c>
      <c r="F84" s="1">
        <v>43927</v>
      </c>
      <c r="G84">
        <v>202010</v>
      </c>
      <c r="H84" t="s">
        <v>64</v>
      </c>
      <c r="I84" t="s">
        <v>65</v>
      </c>
      <c r="J84" t="s">
        <v>66</v>
      </c>
      <c r="K84" t="s">
        <v>67</v>
      </c>
      <c r="L84" t="s">
        <v>64</v>
      </c>
      <c r="M84" t="s">
        <v>65</v>
      </c>
      <c r="N84" t="s">
        <v>219</v>
      </c>
      <c r="O84" t="s">
        <v>69</v>
      </c>
      <c r="P84" t="str">
        <f>"2170732575                    "</f>
        <v xml:space="preserve">2170732575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6.02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5.3</v>
      </c>
      <c r="BJ84">
        <v>4.0999999999999996</v>
      </c>
      <c r="BK84">
        <v>5.5</v>
      </c>
      <c r="BL84">
        <v>66.17</v>
      </c>
      <c r="BM84">
        <v>9.93</v>
      </c>
      <c r="BN84">
        <v>76.099999999999994</v>
      </c>
      <c r="BO84">
        <v>76.099999999999994</v>
      </c>
      <c r="BQ84" t="s">
        <v>78</v>
      </c>
      <c r="BR84" t="s">
        <v>71</v>
      </c>
      <c r="BS84" s="1">
        <v>43928</v>
      </c>
      <c r="BT84" s="2">
        <v>0.41666666666666669</v>
      </c>
      <c r="BU84" t="s">
        <v>220</v>
      </c>
      <c r="BV84" t="s">
        <v>80</v>
      </c>
      <c r="BY84">
        <v>20286</v>
      </c>
      <c r="CA84" t="s">
        <v>193</v>
      </c>
      <c r="CC84" t="s">
        <v>65</v>
      </c>
      <c r="CD84">
        <v>1601</v>
      </c>
      <c r="CE84" t="s">
        <v>91</v>
      </c>
      <c r="CF84" s="1">
        <v>43929</v>
      </c>
      <c r="CI84">
        <v>1</v>
      </c>
      <c r="CJ84">
        <v>1</v>
      </c>
      <c r="CK84">
        <v>22</v>
      </c>
      <c r="CL84" t="s">
        <v>74</v>
      </c>
    </row>
    <row r="85" spans="1:90" x14ac:dyDescent="0.25">
      <c r="A85" t="s">
        <v>61</v>
      </c>
      <c r="B85" t="s">
        <v>62</v>
      </c>
      <c r="C85" t="s">
        <v>63</v>
      </c>
      <c r="E85" t="str">
        <f>"FES1162743998"</f>
        <v>FES1162743998</v>
      </c>
      <c r="F85" s="1">
        <v>43922</v>
      </c>
      <c r="G85">
        <v>202010</v>
      </c>
      <c r="H85" t="s">
        <v>64</v>
      </c>
      <c r="I85" t="s">
        <v>65</v>
      </c>
      <c r="J85" t="s">
        <v>66</v>
      </c>
      <c r="K85" t="s">
        <v>67</v>
      </c>
      <c r="L85" t="s">
        <v>184</v>
      </c>
      <c r="M85" t="s">
        <v>185</v>
      </c>
      <c r="N85" t="s">
        <v>186</v>
      </c>
      <c r="O85" t="s">
        <v>69</v>
      </c>
      <c r="P85" t="str">
        <f>"2170735366                    "</f>
        <v xml:space="preserve">2170735366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8.11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1</v>
      </c>
      <c r="BJ85">
        <v>2</v>
      </c>
      <c r="BK85">
        <v>2</v>
      </c>
      <c r="BL85">
        <v>89.23</v>
      </c>
      <c r="BM85">
        <v>13.38</v>
      </c>
      <c r="BN85">
        <v>102.61</v>
      </c>
      <c r="BO85">
        <v>102.61</v>
      </c>
      <c r="BQ85" t="s">
        <v>70</v>
      </c>
      <c r="BR85" t="s">
        <v>71</v>
      </c>
      <c r="BS85" s="1">
        <v>43923</v>
      </c>
      <c r="BT85" s="2">
        <v>0.42430555555555555</v>
      </c>
      <c r="BU85" t="s">
        <v>306</v>
      </c>
      <c r="BV85" t="s">
        <v>80</v>
      </c>
      <c r="BY85">
        <v>10189.32</v>
      </c>
      <c r="BZ85" t="s">
        <v>23</v>
      </c>
      <c r="CA85" t="s">
        <v>307</v>
      </c>
      <c r="CC85" t="s">
        <v>185</v>
      </c>
      <c r="CD85">
        <v>7130</v>
      </c>
      <c r="CE85" t="s">
        <v>73</v>
      </c>
      <c r="CF85" s="1">
        <v>43923</v>
      </c>
      <c r="CI85">
        <v>1</v>
      </c>
      <c r="CJ85">
        <v>1</v>
      </c>
      <c r="CK85">
        <v>23</v>
      </c>
      <c r="CL85" t="s">
        <v>74</v>
      </c>
    </row>
    <row r="86" spans="1:90" x14ac:dyDescent="0.25">
      <c r="A86" t="s">
        <v>61</v>
      </c>
      <c r="B86" t="s">
        <v>62</v>
      </c>
      <c r="C86" t="s">
        <v>63</v>
      </c>
      <c r="E86" t="str">
        <f>"FES1162744168"</f>
        <v>FES1162744168</v>
      </c>
      <c r="F86" s="1">
        <v>43927</v>
      </c>
      <c r="G86">
        <v>202010</v>
      </c>
      <c r="H86" t="s">
        <v>64</v>
      </c>
      <c r="I86" t="s">
        <v>65</v>
      </c>
      <c r="J86" t="s">
        <v>66</v>
      </c>
      <c r="K86" t="s">
        <v>67</v>
      </c>
      <c r="L86" t="s">
        <v>184</v>
      </c>
      <c r="M86" t="s">
        <v>185</v>
      </c>
      <c r="N86" t="s">
        <v>186</v>
      </c>
      <c r="O86" t="s">
        <v>69</v>
      </c>
      <c r="P86" t="str">
        <f>"2170731293                    "</f>
        <v xml:space="preserve">2170731293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8.11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89.23</v>
      </c>
      <c r="BM86">
        <v>13.38</v>
      </c>
      <c r="BN86">
        <v>102.61</v>
      </c>
      <c r="BO86">
        <v>102.61</v>
      </c>
      <c r="BQ86" t="s">
        <v>70</v>
      </c>
      <c r="BR86" t="s">
        <v>71</v>
      </c>
      <c r="BS86" s="1">
        <v>43928</v>
      </c>
      <c r="BT86" s="2">
        <v>0.4152777777777778</v>
      </c>
      <c r="BU86" t="s">
        <v>187</v>
      </c>
      <c r="BV86" t="s">
        <v>80</v>
      </c>
      <c r="BY86">
        <v>1200</v>
      </c>
      <c r="CA86" t="s">
        <v>188</v>
      </c>
      <c r="CC86" t="s">
        <v>185</v>
      </c>
      <c r="CD86">
        <v>7130</v>
      </c>
      <c r="CE86" t="s">
        <v>73</v>
      </c>
      <c r="CF86" s="1">
        <v>43928</v>
      </c>
      <c r="CI86">
        <v>1</v>
      </c>
      <c r="CJ86">
        <v>1</v>
      </c>
      <c r="CK86">
        <v>23</v>
      </c>
      <c r="CL86" t="s">
        <v>74</v>
      </c>
    </row>
    <row r="87" spans="1:90" x14ac:dyDescent="0.25">
      <c r="A87" t="s">
        <v>61</v>
      </c>
      <c r="B87" t="s">
        <v>62</v>
      </c>
      <c r="C87" t="s">
        <v>63</v>
      </c>
      <c r="E87" t="str">
        <f>"FES1162744173"</f>
        <v>FES1162744173</v>
      </c>
      <c r="F87" s="1">
        <v>43927</v>
      </c>
      <c r="G87">
        <v>202010</v>
      </c>
      <c r="H87" t="s">
        <v>64</v>
      </c>
      <c r="I87" t="s">
        <v>65</v>
      </c>
      <c r="J87" t="s">
        <v>66</v>
      </c>
      <c r="K87" t="s">
        <v>67</v>
      </c>
      <c r="L87" t="s">
        <v>120</v>
      </c>
      <c r="M87" t="s">
        <v>121</v>
      </c>
      <c r="N87" t="s">
        <v>308</v>
      </c>
      <c r="O87" t="s">
        <v>69</v>
      </c>
      <c r="P87" t="str">
        <f>"217032252                     "</f>
        <v xml:space="preserve">217032252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4.1900000000000004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46.06</v>
      </c>
      <c r="BM87">
        <v>6.91</v>
      </c>
      <c r="BN87">
        <v>52.97</v>
      </c>
      <c r="BO87">
        <v>52.97</v>
      </c>
      <c r="BQ87" t="s">
        <v>78</v>
      </c>
      <c r="BR87" t="s">
        <v>71</v>
      </c>
      <c r="BS87" s="1">
        <v>43943</v>
      </c>
      <c r="BT87" s="2">
        <v>0.70833333333333337</v>
      </c>
      <c r="BU87" t="s">
        <v>309</v>
      </c>
      <c r="BV87" t="s">
        <v>74</v>
      </c>
      <c r="BW87" t="s">
        <v>85</v>
      </c>
      <c r="BX87" t="s">
        <v>128</v>
      </c>
      <c r="BY87">
        <v>1200</v>
      </c>
      <c r="CA87" t="s">
        <v>310</v>
      </c>
      <c r="CC87" t="s">
        <v>121</v>
      </c>
      <c r="CD87">
        <v>4019</v>
      </c>
      <c r="CE87" t="s">
        <v>73</v>
      </c>
      <c r="CF87" s="1">
        <v>43943</v>
      </c>
      <c r="CI87">
        <v>1</v>
      </c>
      <c r="CJ87">
        <v>12</v>
      </c>
      <c r="CK87">
        <v>21</v>
      </c>
      <c r="CL87" t="s">
        <v>74</v>
      </c>
    </row>
    <row r="88" spans="1:90" x14ac:dyDescent="0.25">
      <c r="A88" t="s">
        <v>61</v>
      </c>
      <c r="B88" t="s">
        <v>62</v>
      </c>
      <c r="C88" t="s">
        <v>63</v>
      </c>
      <c r="E88" t="str">
        <f>"FES1162744259"</f>
        <v>FES1162744259</v>
      </c>
      <c r="F88" s="1">
        <v>43924</v>
      </c>
      <c r="G88">
        <v>202010</v>
      </c>
      <c r="H88" t="s">
        <v>64</v>
      </c>
      <c r="I88" t="s">
        <v>65</v>
      </c>
      <c r="J88" t="s">
        <v>66</v>
      </c>
      <c r="K88" t="s">
        <v>67</v>
      </c>
      <c r="L88" t="s">
        <v>92</v>
      </c>
      <c r="M88" t="s">
        <v>93</v>
      </c>
      <c r="N88" t="s">
        <v>94</v>
      </c>
      <c r="O88" t="s">
        <v>69</v>
      </c>
      <c r="P88" t="str">
        <f>"2170735579                    "</f>
        <v xml:space="preserve">2170735579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9.42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3.4</v>
      </c>
      <c r="BJ88">
        <v>4.5</v>
      </c>
      <c r="BK88">
        <v>4.5</v>
      </c>
      <c r="BL88">
        <v>103.59</v>
      </c>
      <c r="BM88">
        <v>15.54</v>
      </c>
      <c r="BN88">
        <v>119.13</v>
      </c>
      <c r="BO88">
        <v>119.13</v>
      </c>
      <c r="BQ88" t="s">
        <v>70</v>
      </c>
      <c r="BR88" t="s">
        <v>71</v>
      </c>
      <c r="BS88" s="1">
        <v>43927</v>
      </c>
      <c r="BT88" s="2">
        <v>0.55555555555555558</v>
      </c>
      <c r="BU88" t="s">
        <v>304</v>
      </c>
      <c r="BV88" t="s">
        <v>74</v>
      </c>
      <c r="BW88" t="s">
        <v>96</v>
      </c>
      <c r="BX88" t="s">
        <v>97</v>
      </c>
      <c r="BY88">
        <v>22648.91</v>
      </c>
      <c r="BZ88" t="s">
        <v>23</v>
      </c>
      <c r="CA88" t="s">
        <v>98</v>
      </c>
      <c r="CC88" t="s">
        <v>93</v>
      </c>
      <c r="CD88">
        <v>7441</v>
      </c>
      <c r="CE88" t="s">
        <v>73</v>
      </c>
      <c r="CF88" s="1">
        <v>43927</v>
      </c>
      <c r="CI88">
        <v>1</v>
      </c>
      <c r="CJ88">
        <v>1</v>
      </c>
      <c r="CK88">
        <v>21</v>
      </c>
      <c r="CL88" t="s">
        <v>74</v>
      </c>
    </row>
    <row r="89" spans="1:90" x14ac:dyDescent="0.25">
      <c r="A89" t="s">
        <v>61</v>
      </c>
      <c r="B89" t="s">
        <v>62</v>
      </c>
      <c r="C89" t="s">
        <v>63</v>
      </c>
      <c r="E89" t="str">
        <f>"FES1162744123"</f>
        <v>FES1162744123</v>
      </c>
      <c r="F89" s="1">
        <v>43927</v>
      </c>
      <c r="G89">
        <v>202010</v>
      </c>
      <c r="H89" t="s">
        <v>64</v>
      </c>
      <c r="I89" t="s">
        <v>65</v>
      </c>
      <c r="J89" t="s">
        <v>66</v>
      </c>
      <c r="K89" t="s">
        <v>67</v>
      </c>
      <c r="L89" t="s">
        <v>92</v>
      </c>
      <c r="M89" t="s">
        <v>93</v>
      </c>
      <c r="N89" t="s">
        <v>141</v>
      </c>
      <c r="O89" t="s">
        <v>69</v>
      </c>
      <c r="P89" t="str">
        <f>"2170732455                    "</f>
        <v xml:space="preserve">2170732455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7.33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</v>
      </c>
      <c r="BJ89">
        <v>3.1</v>
      </c>
      <c r="BK89">
        <v>3.5</v>
      </c>
      <c r="BL89">
        <v>80.58</v>
      </c>
      <c r="BM89">
        <v>12.09</v>
      </c>
      <c r="BN89">
        <v>92.67</v>
      </c>
      <c r="BO89">
        <v>92.67</v>
      </c>
      <c r="BQ89" t="s">
        <v>78</v>
      </c>
      <c r="BR89" t="s">
        <v>71</v>
      </c>
      <c r="BS89" s="1">
        <v>43928</v>
      </c>
      <c r="BT89" s="2">
        <v>0.34166666666666662</v>
      </c>
      <c r="BU89" t="s">
        <v>142</v>
      </c>
      <c r="BV89" t="s">
        <v>80</v>
      </c>
      <c r="BY89">
        <v>15503.09</v>
      </c>
      <c r="CA89" t="s">
        <v>143</v>
      </c>
      <c r="CC89" t="s">
        <v>93</v>
      </c>
      <c r="CD89">
        <v>7493</v>
      </c>
      <c r="CE89" t="s">
        <v>73</v>
      </c>
      <c r="CF89" s="1">
        <v>43928</v>
      </c>
      <c r="CI89">
        <v>1</v>
      </c>
      <c r="CJ89">
        <v>1</v>
      </c>
      <c r="CK89">
        <v>21</v>
      </c>
      <c r="CL89" t="s">
        <v>74</v>
      </c>
    </row>
    <row r="90" spans="1:90" x14ac:dyDescent="0.25">
      <c r="A90" t="s">
        <v>61</v>
      </c>
      <c r="B90" t="s">
        <v>62</v>
      </c>
      <c r="C90" t="s">
        <v>63</v>
      </c>
      <c r="E90" t="str">
        <f>"FES1162744288"</f>
        <v>FES1162744288</v>
      </c>
      <c r="F90" s="1">
        <v>43927</v>
      </c>
      <c r="G90">
        <v>202010</v>
      </c>
      <c r="H90" t="s">
        <v>64</v>
      </c>
      <c r="I90" t="s">
        <v>65</v>
      </c>
      <c r="J90" t="s">
        <v>66</v>
      </c>
      <c r="K90" t="s">
        <v>67</v>
      </c>
      <c r="L90" t="s">
        <v>92</v>
      </c>
      <c r="M90" t="s">
        <v>93</v>
      </c>
      <c r="N90" t="s">
        <v>94</v>
      </c>
      <c r="O90" t="s">
        <v>69</v>
      </c>
      <c r="P90" t="str">
        <f>"2170735624                    "</f>
        <v xml:space="preserve">2170735624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6.28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3</v>
      </c>
      <c r="BJ90">
        <v>0.8</v>
      </c>
      <c r="BK90">
        <v>3</v>
      </c>
      <c r="BL90">
        <v>69.069999999999993</v>
      </c>
      <c r="BM90">
        <v>10.36</v>
      </c>
      <c r="BN90">
        <v>79.430000000000007</v>
      </c>
      <c r="BO90">
        <v>79.430000000000007</v>
      </c>
      <c r="BQ90" t="s">
        <v>70</v>
      </c>
      <c r="BR90" t="s">
        <v>71</v>
      </c>
      <c r="BS90" s="1">
        <v>43928</v>
      </c>
      <c r="BT90" s="2">
        <v>0.51527777777777783</v>
      </c>
      <c r="BU90" t="s">
        <v>189</v>
      </c>
      <c r="BV90" t="s">
        <v>74</v>
      </c>
      <c r="BW90" t="s">
        <v>96</v>
      </c>
      <c r="BX90" t="s">
        <v>97</v>
      </c>
      <c r="BY90">
        <v>3997.95</v>
      </c>
      <c r="CA90" t="s">
        <v>190</v>
      </c>
      <c r="CC90" t="s">
        <v>93</v>
      </c>
      <c r="CD90">
        <v>7441</v>
      </c>
      <c r="CE90" t="s">
        <v>91</v>
      </c>
      <c r="CF90" s="1">
        <v>43928</v>
      </c>
      <c r="CI90">
        <v>1</v>
      </c>
      <c r="CJ90">
        <v>1</v>
      </c>
      <c r="CK90">
        <v>21</v>
      </c>
      <c r="CL90" t="s">
        <v>74</v>
      </c>
    </row>
    <row r="91" spans="1:90" x14ac:dyDescent="0.25">
      <c r="A91" t="s">
        <v>61</v>
      </c>
      <c r="B91" t="s">
        <v>62</v>
      </c>
      <c r="C91" t="s">
        <v>63</v>
      </c>
      <c r="E91" t="str">
        <f>"FES1162744175"</f>
        <v>FES1162744175</v>
      </c>
      <c r="F91" s="1">
        <v>43924</v>
      </c>
      <c r="G91">
        <v>202010</v>
      </c>
      <c r="H91" t="s">
        <v>64</v>
      </c>
      <c r="I91" t="s">
        <v>65</v>
      </c>
      <c r="J91" t="s">
        <v>66</v>
      </c>
      <c r="K91" t="s">
        <v>67</v>
      </c>
      <c r="L91" t="s">
        <v>92</v>
      </c>
      <c r="M91" t="s">
        <v>93</v>
      </c>
      <c r="N91" t="s">
        <v>165</v>
      </c>
      <c r="O91" t="s">
        <v>69</v>
      </c>
      <c r="P91" t="str">
        <f>"2170732485                    "</f>
        <v xml:space="preserve">2170732485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18.829999999999998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1</v>
      </c>
      <c r="BJ91">
        <v>8.8000000000000007</v>
      </c>
      <c r="BK91">
        <v>9</v>
      </c>
      <c r="BL91">
        <v>207.14</v>
      </c>
      <c r="BM91">
        <v>31.07</v>
      </c>
      <c r="BN91">
        <v>238.21</v>
      </c>
      <c r="BO91">
        <v>238.21</v>
      </c>
      <c r="BQ91" t="s">
        <v>70</v>
      </c>
      <c r="BR91" t="s">
        <v>71</v>
      </c>
      <c r="BS91" s="1">
        <v>43927</v>
      </c>
      <c r="BT91" s="2">
        <v>0.32777777777777778</v>
      </c>
      <c r="BU91" t="s">
        <v>166</v>
      </c>
      <c r="BV91" t="s">
        <v>80</v>
      </c>
      <c r="BY91">
        <v>44174.95</v>
      </c>
      <c r="BZ91" t="s">
        <v>23</v>
      </c>
      <c r="CA91" t="s">
        <v>167</v>
      </c>
      <c r="CC91" t="s">
        <v>93</v>
      </c>
      <c r="CD91">
        <v>7530</v>
      </c>
      <c r="CE91" t="s">
        <v>73</v>
      </c>
      <c r="CF91" s="1">
        <v>43927</v>
      </c>
      <c r="CI91">
        <v>1</v>
      </c>
      <c r="CJ91">
        <v>1</v>
      </c>
      <c r="CK91">
        <v>21</v>
      </c>
      <c r="CL91" t="s">
        <v>74</v>
      </c>
    </row>
    <row r="92" spans="1:90" x14ac:dyDescent="0.25">
      <c r="A92" t="s">
        <v>61</v>
      </c>
      <c r="B92" t="s">
        <v>62</v>
      </c>
      <c r="C92" t="s">
        <v>63</v>
      </c>
      <c r="E92" t="str">
        <f>"FES1162744253"</f>
        <v>FES1162744253</v>
      </c>
      <c r="F92" s="1">
        <v>43924</v>
      </c>
      <c r="G92">
        <v>202010</v>
      </c>
      <c r="H92" t="s">
        <v>64</v>
      </c>
      <c r="I92" t="s">
        <v>65</v>
      </c>
      <c r="J92" t="s">
        <v>66</v>
      </c>
      <c r="K92" t="s">
        <v>67</v>
      </c>
      <c r="L92" t="s">
        <v>92</v>
      </c>
      <c r="M92" t="s">
        <v>93</v>
      </c>
      <c r="N92" t="s">
        <v>165</v>
      </c>
      <c r="O92" t="s">
        <v>69</v>
      </c>
      <c r="P92" t="str">
        <f>"2170735574                    "</f>
        <v xml:space="preserve">2170735574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4.1900000000000004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1</v>
      </c>
      <c r="BJ92">
        <v>1.6</v>
      </c>
      <c r="BK92">
        <v>2</v>
      </c>
      <c r="BL92">
        <v>46.06</v>
      </c>
      <c r="BM92">
        <v>6.91</v>
      </c>
      <c r="BN92">
        <v>52.97</v>
      </c>
      <c r="BO92">
        <v>52.97</v>
      </c>
      <c r="BQ92" t="s">
        <v>70</v>
      </c>
      <c r="BR92" t="s">
        <v>71</v>
      </c>
      <c r="BS92" s="1">
        <v>43927</v>
      </c>
      <c r="BT92" s="2">
        <v>0.32777777777777778</v>
      </c>
      <c r="BU92" t="s">
        <v>166</v>
      </c>
      <c r="BV92" t="s">
        <v>80</v>
      </c>
      <c r="BY92">
        <v>8046.06</v>
      </c>
      <c r="BZ92" t="s">
        <v>23</v>
      </c>
      <c r="CA92" t="s">
        <v>167</v>
      </c>
      <c r="CC92" t="s">
        <v>93</v>
      </c>
      <c r="CD92">
        <v>7530</v>
      </c>
      <c r="CE92" t="s">
        <v>73</v>
      </c>
      <c r="CF92" s="1">
        <v>43927</v>
      </c>
      <c r="CI92">
        <v>1</v>
      </c>
      <c r="CJ92">
        <v>1</v>
      </c>
      <c r="CK92">
        <v>21</v>
      </c>
      <c r="CL92" t="s">
        <v>74</v>
      </c>
    </row>
    <row r="93" spans="1:90" x14ac:dyDescent="0.25">
      <c r="A93" t="s">
        <v>61</v>
      </c>
      <c r="B93" t="s">
        <v>62</v>
      </c>
      <c r="C93" t="s">
        <v>63</v>
      </c>
      <c r="E93" t="str">
        <f>"FES1162744183"</f>
        <v>FES1162744183</v>
      </c>
      <c r="F93" s="1">
        <v>43924</v>
      </c>
      <c r="G93">
        <v>202010</v>
      </c>
      <c r="H93" t="s">
        <v>64</v>
      </c>
      <c r="I93" t="s">
        <v>65</v>
      </c>
      <c r="J93" t="s">
        <v>66</v>
      </c>
      <c r="K93" t="s">
        <v>67</v>
      </c>
      <c r="L93" t="s">
        <v>92</v>
      </c>
      <c r="M93" t="s">
        <v>93</v>
      </c>
      <c r="N93" t="s">
        <v>311</v>
      </c>
      <c r="O93" t="s">
        <v>69</v>
      </c>
      <c r="P93" t="str">
        <f>"2170733042                    "</f>
        <v xml:space="preserve">2170733042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4.1900000000000004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</v>
      </c>
      <c r="BJ93">
        <v>1.6</v>
      </c>
      <c r="BK93">
        <v>2</v>
      </c>
      <c r="BL93">
        <v>46.06</v>
      </c>
      <c r="BM93">
        <v>6.91</v>
      </c>
      <c r="BN93">
        <v>52.97</v>
      </c>
      <c r="BO93">
        <v>52.97</v>
      </c>
      <c r="BQ93" t="s">
        <v>70</v>
      </c>
      <c r="BR93" t="s">
        <v>71</v>
      </c>
      <c r="BS93" s="1">
        <v>43927</v>
      </c>
      <c r="BT93" s="2">
        <v>0.625</v>
      </c>
      <c r="BU93" t="s">
        <v>312</v>
      </c>
      <c r="BV93" t="s">
        <v>74</v>
      </c>
      <c r="BW93" t="s">
        <v>96</v>
      </c>
      <c r="BX93" t="s">
        <v>97</v>
      </c>
      <c r="BY93">
        <v>7765.34</v>
      </c>
      <c r="BZ93" t="s">
        <v>23</v>
      </c>
      <c r="CC93" t="s">
        <v>93</v>
      </c>
      <c r="CD93">
        <v>7441</v>
      </c>
      <c r="CE93" t="s">
        <v>73</v>
      </c>
      <c r="CF93" s="1">
        <v>43928</v>
      </c>
      <c r="CI93">
        <v>1</v>
      </c>
      <c r="CJ93">
        <v>1</v>
      </c>
      <c r="CK93">
        <v>21</v>
      </c>
      <c r="CL93" t="s">
        <v>74</v>
      </c>
    </row>
    <row r="94" spans="1:90" x14ac:dyDescent="0.25">
      <c r="A94" t="s">
        <v>61</v>
      </c>
      <c r="B94" t="s">
        <v>62</v>
      </c>
      <c r="C94" t="s">
        <v>63</v>
      </c>
      <c r="E94" t="str">
        <f>"FES1162744020"</f>
        <v>FES1162744020</v>
      </c>
      <c r="F94" s="1">
        <v>43927</v>
      </c>
      <c r="G94">
        <v>202010</v>
      </c>
      <c r="H94" t="s">
        <v>64</v>
      </c>
      <c r="I94" t="s">
        <v>65</v>
      </c>
      <c r="J94" t="s">
        <v>66</v>
      </c>
      <c r="K94" t="s">
        <v>67</v>
      </c>
      <c r="L94" t="s">
        <v>64</v>
      </c>
      <c r="M94" t="s">
        <v>65</v>
      </c>
      <c r="N94" t="s">
        <v>313</v>
      </c>
      <c r="O94" t="s">
        <v>69</v>
      </c>
      <c r="P94" t="str">
        <f>"2170735216                    "</f>
        <v xml:space="preserve">2170735216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3.27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35.979999999999997</v>
      </c>
      <c r="BM94">
        <v>5.4</v>
      </c>
      <c r="BN94">
        <v>41.38</v>
      </c>
      <c r="BO94">
        <v>41.38</v>
      </c>
      <c r="BQ94" t="s">
        <v>78</v>
      </c>
      <c r="BR94" t="s">
        <v>71</v>
      </c>
      <c r="BS94" s="1">
        <v>43928</v>
      </c>
      <c r="BT94" s="2">
        <v>0.40625</v>
      </c>
      <c r="BU94" t="s">
        <v>314</v>
      </c>
      <c r="BV94" t="s">
        <v>80</v>
      </c>
      <c r="BY94">
        <v>1200</v>
      </c>
      <c r="CA94" t="s">
        <v>193</v>
      </c>
      <c r="CC94" t="s">
        <v>65</v>
      </c>
      <c r="CD94">
        <v>1624</v>
      </c>
      <c r="CE94" t="s">
        <v>73</v>
      </c>
      <c r="CF94" s="1">
        <v>43929</v>
      </c>
      <c r="CI94">
        <v>1</v>
      </c>
      <c r="CJ94">
        <v>1</v>
      </c>
      <c r="CK94">
        <v>22</v>
      </c>
      <c r="CL94" t="s">
        <v>74</v>
      </c>
    </row>
    <row r="95" spans="1:90" x14ac:dyDescent="0.25">
      <c r="A95" t="s">
        <v>61</v>
      </c>
      <c r="B95" t="s">
        <v>62</v>
      </c>
      <c r="C95" t="s">
        <v>63</v>
      </c>
      <c r="E95" t="str">
        <f>"FES1162744248"</f>
        <v>FES1162744248</v>
      </c>
      <c r="F95" s="1">
        <v>43924</v>
      </c>
      <c r="G95">
        <v>202010</v>
      </c>
      <c r="H95" t="s">
        <v>64</v>
      </c>
      <c r="I95" t="s">
        <v>65</v>
      </c>
      <c r="J95" t="s">
        <v>66</v>
      </c>
      <c r="K95" t="s">
        <v>67</v>
      </c>
      <c r="L95" t="s">
        <v>238</v>
      </c>
      <c r="M95" t="s">
        <v>239</v>
      </c>
      <c r="N95" t="s">
        <v>240</v>
      </c>
      <c r="O95" t="s">
        <v>69</v>
      </c>
      <c r="P95" t="str">
        <f>"2170735442                    "</f>
        <v xml:space="preserve">2170735442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4.1900000000000004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</v>
      </c>
      <c r="BJ95">
        <v>1.1000000000000001</v>
      </c>
      <c r="BK95">
        <v>1.5</v>
      </c>
      <c r="BL95">
        <v>46.06</v>
      </c>
      <c r="BM95">
        <v>6.91</v>
      </c>
      <c r="BN95">
        <v>52.97</v>
      </c>
      <c r="BO95">
        <v>52.97</v>
      </c>
      <c r="BQ95" t="s">
        <v>70</v>
      </c>
      <c r="BR95" t="s">
        <v>71</v>
      </c>
      <c r="BS95" s="1">
        <v>43927</v>
      </c>
      <c r="BT95" s="2">
        <v>0.40208333333333335</v>
      </c>
      <c r="BU95" t="s">
        <v>241</v>
      </c>
      <c r="BV95" t="s">
        <v>80</v>
      </c>
      <c r="BY95">
        <v>5429.34</v>
      </c>
      <c r="BZ95" t="s">
        <v>23</v>
      </c>
      <c r="CA95" t="s">
        <v>242</v>
      </c>
      <c r="CC95" t="s">
        <v>239</v>
      </c>
      <c r="CD95">
        <v>5200</v>
      </c>
      <c r="CE95" t="s">
        <v>73</v>
      </c>
      <c r="CF95" s="1">
        <v>43927</v>
      </c>
      <c r="CI95">
        <v>1</v>
      </c>
      <c r="CJ95">
        <v>1</v>
      </c>
      <c r="CK95">
        <v>21</v>
      </c>
      <c r="CL95" t="s">
        <v>74</v>
      </c>
    </row>
    <row r="96" spans="1:90" x14ac:dyDescent="0.25">
      <c r="A96" t="s">
        <v>61</v>
      </c>
      <c r="B96" t="s">
        <v>62</v>
      </c>
      <c r="C96" t="s">
        <v>63</v>
      </c>
      <c r="E96" t="str">
        <f>"FES1162744241"</f>
        <v>FES1162744241</v>
      </c>
      <c r="F96" s="1">
        <v>43924</v>
      </c>
      <c r="G96">
        <v>202010</v>
      </c>
      <c r="H96" t="s">
        <v>64</v>
      </c>
      <c r="I96" t="s">
        <v>65</v>
      </c>
      <c r="J96" t="s">
        <v>66</v>
      </c>
      <c r="K96" t="s">
        <v>67</v>
      </c>
      <c r="L96" t="s">
        <v>315</v>
      </c>
      <c r="M96" t="s">
        <v>316</v>
      </c>
      <c r="N96" t="s">
        <v>267</v>
      </c>
      <c r="O96" t="s">
        <v>69</v>
      </c>
      <c r="P96" t="str">
        <f>"2170735226                    "</f>
        <v xml:space="preserve">2170735226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4.1900000000000004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0.2</v>
      </c>
      <c r="BJ96">
        <v>0.9</v>
      </c>
      <c r="BK96">
        <v>1</v>
      </c>
      <c r="BL96">
        <v>46.06</v>
      </c>
      <c r="BM96">
        <v>6.91</v>
      </c>
      <c r="BN96">
        <v>52.97</v>
      </c>
      <c r="BO96">
        <v>52.97</v>
      </c>
      <c r="BQ96" t="s">
        <v>70</v>
      </c>
      <c r="BR96" t="s">
        <v>71</v>
      </c>
      <c r="BS96" s="1">
        <v>43928</v>
      </c>
      <c r="BT96" s="2">
        <v>0.40972222222222227</v>
      </c>
      <c r="BU96" t="s">
        <v>317</v>
      </c>
      <c r="BV96" t="s">
        <v>74</v>
      </c>
      <c r="BW96" t="s">
        <v>124</v>
      </c>
      <c r="BX96" t="s">
        <v>284</v>
      </c>
      <c r="BY96">
        <v>4273.0600000000004</v>
      </c>
      <c r="CA96" t="s">
        <v>150</v>
      </c>
      <c r="CC96" t="s">
        <v>316</v>
      </c>
      <c r="CD96">
        <v>6220</v>
      </c>
      <c r="CE96" t="s">
        <v>73</v>
      </c>
      <c r="CF96" s="1">
        <v>43928</v>
      </c>
      <c r="CI96">
        <v>1</v>
      </c>
      <c r="CJ96">
        <v>2</v>
      </c>
      <c r="CK96">
        <v>21</v>
      </c>
      <c r="CL96" t="s">
        <v>74</v>
      </c>
    </row>
    <row r="97" spans="1:90" x14ac:dyDescent="0.25">
      <c r="A97" t="s">
        <v>61</v>
      </c>
      <c r="B97" t="s">
        <v>62</v>
      </c>
      <c r="C97" t="s">
        <v>63</v>
      </c>
      <c r="E97" t="str">
        <f>"FES1162744236"</f>
        <v>FES1162744236</v>
      </c>
      <c r="F97" s="1">
        <v>43927</v>
      </c>
      <c r="G97">
        <v>202010</v>
      </c>
      <c r="H97" t="s">
        <v>64</v>
      </c>
      <c r="I97" t="s">
        <v>65</v>
      </c>
      <c r="J97" t="s">
        <v>66</v>
      </c>
      <c r="K97" t="s">
        <v>67</v>
      </c>
      <c r="L97" t="s">
        <v>184</v>
      </c>
      <c r="M97" t="s">
        <v>185</v>
      </c>
      <c r="N97" t="s">
        <v>186</v>
      </c>
      <c r="O97" t="s">
        <v>69</v>
      </c>
      <c r="P97" t="str">
        <f>"2170734892                    "</f>
        <v xml:space="preserve">2170734892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8.11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89.23</v>
      </c>
      <c r="BM97">
        <v>13.38</v>
      </c>
      <c r="BN97">
        <v>102.61</v>
      </c>
      <c r="BO97">
        <v>102.61</v>
      </c>
      <c r="BQ97" t="s">
        <v>70</v>
      </c>
      <c r="BR97" t="s">
        <v>71</v>
      </c>
      <c r="BS97" s="1">
        <v>43928</v>
      </c>
      <c r="BT97" s="2">
        <v>0.4145833333333333</v>
      </c>
      <c r="BU97" t="s">
        <v>187</v>
      </c>
      <c r="BV97" t="s">
        <v>80</v>
      </c>
      <c r="BY97">
        <v>1200</v>
      </c>
      <c r="CA97" t="s">
        <v>188</v>
      </c>
      <c r="CC97" t="s">
        <v>185</v>
      </c>
      <c r="CD97">
        <v>7130</v>
      </c>
      <c r="CE97" t="s">
        <v>73</v>
      </c>
      <c r="CF97" s="1">
        <v>43928</v>
      </c>
      <c r="CI97">
        <v>1</v>
      </c>
      <c r="CJ97">
        <v>1</v>
      </c>
      <c r="CK97">
        <v>23</v>
      </c>
      <c r="CL97" t="s">
        <v>74</v>
      </c>
    </row>
    <row r="98" spans="1:90" x14ac:dyDescent="0.25">
      <c r="A98" t="s">
        <v>61</v>
      </c>
      <c r="B98" t="s">
        <v>62</v>
      </c>
      <c r="C98" t="s">
        <v>63</v>
      </c>
      <c r="E98" t="str">
        <f>"FES1162744243"</f>
        <v>FES1162744243</v>
      </c>
      <c r="F98" s="1">
        <v>43927</v>
      </c>
      <c r="G98">
        <v>202010</v>
      </c>
      <c r="H98" t="s">
        <v>64</v>
      </c>
      <c r="I98" t="s">
        <v>65</v>
      </c>
      <c r="J98" t="s">
        <v>66</v>
      </c>
      <c r="K98" t="s">
        <v>67</v>
      </c>
      <c r="L98" t="s">
        <v>92</v>
      </c>
      <c r="M98" t="s">
        <v>93</v>
      </c>
      <c r="N98" t="s">
        <v>318</v>
      </c>
      <c r="O98" t="s">
        <v>69</v>
      </c>
      <c r="P98" t="str">
        <f>"2170735300                    "</f>
        <v xml:space="preserve">2170735300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4.1900000000000004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46.06</v>
      </c>
      <c r="BM98">
        <v>6.91</v>
      </c>
      <c r="BN98">
        <v>52.97</v>
      </c>
      <c r="BO98">
        <v>52.97</v>
      </c>
      <c r="BQ98" t="s">
        <v>78</v>
      </c>
      <c r="BR98" t="s">
        <v>71</v>
      </c>
      <c r="BS98" s="1">
        <v>43928</v>
      </c>
      <c r="BT98" s="2">
        <v>0.4368055555555555</v>
      </c>
      <c r="BU98" t="s">
        <v>319</v>
      </c>
      <c r="BV98" t="s">
        <v>80</v>
      </c>
      <c r="BY98">
        <v>1200</v>
      </c>
      <c r="CA98" t="s">
        <v>164</v>
      </c>
      <c r="CC98" t="s">
        <v>93</v>
      </c>
      <c r="CD98">
        <v>7441</v>
      </c>
      <c r="CE98" t="s">
        <v>73</v>
      </c>
      <c r="CF98" s="1">
        <v>43928</v>
      </c>
      <c r="CI98">
        <v>1</v>
      </c>
      <c r="CJ98">
        <v>1</v>
      </c>
      <c r="CK98">
        <v>21</v>
      </c>
      <c r="CL98" t="s">
        <v>74</v>
      </c>
    </row>
    <row r="99" spans="1:90" x14ac:dyDescent="0.25">
      <c r="A99" t="s">
        <v>61</v>
      </c>
      <c r="B99" t="s">
        <v>62</v>
      </c>
      <c r="C99" t="s">
        <v>63</v>
      </c>
      <c r="E99" t="str">
        <f>"FES1162744136"</f>
        <v>FES1162744136</v>
      </c>
      <c r="F99" s="1">
        <v>43927</v>
      </c>
      <c r="G99">
        <v>202010</v>
      </c>
      <c r="H99" t="s">
        <v>64</v>
      </c>
      <c r="I99" t="s">
        <v>65</v>
      </c>
      <c r="J99" t="s">
        <v>66</v>
      </c>
      <c r="K99" t="s">
        <v>67</v>
      </c>
      <c r="L99" t="s">
        <v>92</v>
      </c>
      <c r="M99" t="s">
        <v>93</v>
      </c>
      <c r="N99" t="s">
        <v>320</v>
      </c>
      <c r="O99" t="s">
        <v>69</v>
      </c>
      <c r="P99" t="str">
        <f>"2170733027                    "</f>
        <v xml:space="preserve">2170733027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4.1900000000000004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46.06</v>
      </c>
      <c r="BM99">
        <v>6.91</v>
      </c>
      <c r="BN99">
        <v>52.97</v>
      </c>
      <c r="BO99">
        <v>52.97</v>
      </c>
      <c r="BQ99" t="s">
        <v>70</v>
      </c>
      <c r="BR99" t="s">
        <v>71</v>
      </c>
      <c r="BS99" s="1">
        <v>43928</v>
      </c>
      <c r="BT99" s="2">
        <v>0.49791666666666662</v>
      </c>
      <c r="BU99" t="s">
        <v>321</v>
      </c>
      <c r="BV99" t="s">
        <v>74</v>
      </c>
      <c r="BW99" t="s">
        <v>96</v>
      </c>
      <c r="BX99" t="s">
        <v>97</v>
      </c>
      <c r="BY99">
        <v>1200</v>
      </c>
      <c r="CA99" t="s">
        <v>164</v>
      </c>
      <c r="CC99" t="s">
        <v>93</v>
      </c>
      <c r="CD99">
        <v>7925</v>
      </c>
      <c r="CE99" t="s">
        <v>73</v>
      </c>
      <c r="CF99" s="1">
        <v>43928</v>
      </c>
      <c r="CI99">
        <v>1</v>
      </c>
      <c r="CJ99">
        <v>1</v>
      </c>
      <c r="CK99">
        <v>21</v>
      </c>
      <c r="CL99" t="s">
        <v>74</v>
      </c>
    </row>
    <row r="100" spans="1:90" x14ac:dyDescent="0.25">
      <c r="A100" t="s">
        <v>61</v>
      </c>
      <c r="B100" t="s">
        <v>62</v>
      </c>
      <c r="C100" t="s">
        <v>63</v>
      </c>
      <c r="E100" t="str">
        <f>"FES1162744084"</f>
        <v>FES1162744084</v>
      </c>
      <c r="F100" s="1">
        <v>43927</v>
      </c>
      <c r="G100">
        <v>202010</v>
      </c>
      <c r="H100" t="s">
        <v>64</v>
      </c>
      <c r="I100" t="s">
        <v>65</v>
      </c>
      <c r="J100" t="s">
        <v>66</v>
      </c>
      <c r="K100" t="s">
        <v>67</v>
      </c>
      <c r="L100" t="s">
        <v>64</v>
      </c>
      <c r="M100" t="s">
        <v>65</v>
      </c>
      <c r="N100" t="s">
        <v>322</v>
      </c>
      <c r="O100" t="s">
        <v>69</v>
      </c>
      <c r="P100" t="str">
        <f>"2170735500                    "</f>
        <v xml:space="preserve">2170735500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4.84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2.2000000000000002</v>
      </c>
      <c r="BJ100">
        <v>3.6</v>
      </c>
      <c r="BK100">
        <v>4</v>
      </c>
      <c r="BL100">
        <v>53.23</v>
      </c>
      <c r="BM100">
        <v>7.98</v>
      </c>
      <c r="BN100">
        <v>61.21</v>
      </c>
      <c r="BO100">
        <v>61.21</v>
      </c>
      <c r="BQ100" t="s">
        <v>78</v>
      </c>
      <c r="BR100" t="s">
        <v>71</v>
      </c>
      <c r="BS100" s="1">
        <v>43928</v>
      </c>
      <c r="BT100" s="2">
        <v>0.2951388888888889</v>
      </c>
      <c r="BU100" t="s">
        <v>323</v>
      </c>
      <c r="BV100" t="s">
        <v>80</v>
      </c>
      <c r="BY100">
        <v>18094.23</v>
      </c>
      <c r="CA100" t="s">
        <v>193</v>
      </c>
      <c r="CC100" t="s">
        <v>65</v>
      </c>
      <c r="CD100">
        <v>1600</v>
      </c>
      <c r="CE100" t="s">
        <v>91</v>
      </c>
      <c r="CF100" s="1">
        <v>43929</v>
      </c>
      <c r="CI100">
        <v>1</v>
      </c>
      <c r="CJ100">
        <v>1</v>
      </c>
      <c r="CK100">
        <v>22</v>
      </c>
      <c r="CL100" t="s">
        <v>74</v>
      </c>
    </row>
    <row r="101" spans="1:90" x14ac:dyDescent="0.25">
      <c r="A101" t="s">
        <v>61</v>
      </c>
      <c r="B101" t="s">
        <v>62</v>
      </c>
      <c r="C101" t="s">
        <v>63</v>
      </c>
      <c r="E101" t="str">
        <f>"FES1162744125"</f>
        <v>FES1162744125</v>
      </c>
      <c r="F101" s="1">
        <v>43927</v>
      </c>
      <c r="G101">
        <v>202010</v>
      </c>
      <c r="H101" t="s">
        <v>64</v>
      </c>
      <c r="I101" t="s">
        <v>65</v>
      </c>
      <c r="J101" t="s">
        <v>66</v>
      </c>
      <c r="K101" t="s">
        <v>67</v>
      </c>
      <c r="L101" t="s">
        <v>116</v>
      </c>
      <c r="M101" t="s">
        <v>117</v>
      </c>
      <c r="N101" t="s">
        <v>118</v>
      </c>
      <c r="O101" t="s">
        <v>69</v>
      </c>
      <c r="P101" t="str">
        <f>"2170732540                    "</f>
        <v xml:space="preserve">2170732540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8.11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1.2</v>
      </c>
      <c r="BJ101">
        <v>0.8</v>
      </c>
      <c r="BK101">
        <v>1.5</v>
      </c>
      <c r="BL101">
        <v>89.23</v>
      </c>
      <c r="BM101">
        <v>13.38</v>
      </c>
      <c r="BN101">
        <v>102.61</v>
      </c>
      <c r="BO101">
        <v>102.61</v>
      </c>
      <c r="BQ101" t="s">
        <v>78</v>
      </c>
      <c r="BR101" t="s">
        <v>71</v>
      </c>
      <c r="BS101" s="1">
        <v>43928</v>
      </c>
      <c r="BT101" s="2">
        <v>0.41666666666666669</v>
      </c>
      <c r="BU101" t="s">
        <v>119</v>
      </c>
      <c r="BV101" t="s">
        <v>80</v>
      </c>
      <c r="BY101">
        <v>3906.47</v>
      </c>
      <c r="CC101" t="s">
        <v>117</v>
      </c>
      <c r="CD101">
        <v>7300</v>
      </c>
      <c r="CE101" t="s">
        <v>91</v>
      </c>
      <c r="CF101" s="1">
        <v>43929</v>
      </c>
      <c r="CI101">
        <v>1</v>
      </c>
      <c r="CJ101">
        <v>1</v>
      </c>
      <c r="CK101">
        <v>23</v>
      </c>
      <c r="CL101" t="s">
        <v>74</v>
      </c>
    </row>
    <row r="102" spans="1:90" x14ac:dyDescent="0.25">
      <c r="A102" t="s">
        <v>61</v>
      </c>
      <c r="B102" t="s">
        <v>62</v>
      </c>
      <c r="C102" t="s">
        <v>63</v>
      </c>
      <c r="E102" t="str">
        <f>"FES1162744137"</f>
        <v>FES1162744137</v>
      </c>
      <c r="F102" s="1">
        <v>43927</v>
      </c>
      <c r="G102">
        <v>202010</v>
      </c>
      <c r="H102" t="s">
        <v>64</v>
      </c>
      <c r="I102" t="s">
        <v>65</v>
      </c>
      <c r="J102" t="s">
        <v>66</v>
      </c>
      <c r="K102" t="s">
        <v>67</v>
      </c>
      <c r="L102" t="s">
        <v>92</v>
      </c>
      <c r="M102" t="s">
        <v>93</v>
      </c>
      <c r="N102" t="s">
        <v>141</v>
      </c>
      <c r="O102" t="s">
        <v>69</v>
      </c>
      <c r="P102" t="str">
        <f>"2170733111                    "</f>
        <v xml:space="preserve">2170733111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15.69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3.3</v>
      </c>
      <c r="BJ102">
        <v>7.2</v>
      </c>
      <c r="BK102">
        <v>7.5</v>
      </c>
      <c r="BL102">
        <v>172.62</v>
      </c>
      <c r="BM102">
        <v>25.89</v>
      </c>
      <c r="BN102">
        <v>198.51</v>
      </c>
      <c r="BO102">
        <v>198.51</v>
      </c>
      <c r="BQ102" t="s">
        <v>78</v>
      </c>
      <c r="BR102" t="s">
        <v>71</v>
      </c>
      <c r="BS102" s="1">
        <v>43928</v>
      </c>
      <c r="BT102" s="2">
        <v>0.34166666666666662</v>
      </c>
      <c r="BU102" t="s">
        <v>142</v>
      </c>
      <c r="BV102" t="s">
        <v>80</v>
      </c>
      <c r="BY102">
        <v>35985.599999999999</v>
      </c>
      <c r="CA102" t="s">
        <v>143</v>
      </c>
      <c r="CC102" t="s">
        <v>93</v>
      </c>
      <c r="CD102">
        <v>7493</v>
      </c>
      <c r="CE102" t="s">
        <v>91</v>
      </c>
      <c r="CF102" s="1">
        <v>43928</v>
      </c>
      <c r="CI102">
        <v>1</v>
      </c>
      <c r="CJ102">
        <v>1</v>
      </c>
      <c r="CK102">
        <v>21</v>
      </c>
      <c r="CL102" t="s">
        <v>74</v>
      </c>
    </row>
    <row r="103" spans="1:90" x14ac:dyDescent="0.25">
      <c r="A103" t="s">
        <v>61</v>
      </c>
      <c r="B103" t="s">
        <v>62</v>
      </c>
      <c r="C103" t="s">
        <v>63</v>
      </c>
      <c r="E103" t="str">
        <f>"FES1162744292"</f>
        <v>FES1162744292</v>
      </c>
      <c r="F103" s="1">
        <v>43927</v>
      </c>
      <c r="G103">
        <v>202010</v>
      </c>
      <c r="H103" t="s">
        <v>64</v>
      </c>
      <c r="I103" t="s">
        <v>65</v>
      </c>
      <c r="J103" t="s">
        <v>66</v>
      </c>
      <c r="K103" t="s">
        <v>67</v>
      </c>
      <c r="L103" t="s">
        <v>92</v>
      </c>
      <c r="M103" t="s">
        <v>93</v>
      </c>
      <c r="N103" t="s">
        <v>141</v>
      </c>
      <c r="O103" t="s">
        <v>69</v>
      </c>
      <c r="P103" t="str">
        <f>"2170735634                    "</f>
        <v xml:space="preserve">2170735634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4.1900000000000004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46.06</v>
      </c>
      <c r="BM103">
        <v>6.91</v>
      </c>
      <c r="BN103">
        <v>52.97</v>
      </c>
      <c r="BO103">
        <v>52.97</v>
      </c>
      <c r="BQ103" t="s">
        <v>78</v>
      </c>
      <c r="BR103" t="s">
        <v>71</v>
      </c>
      <c r="BS103" s="1">
        <v>43928</v>
      </c>
      <c r="BT103" s="2">
        <v>0.34166666666666662</v>
      </c>
      <c r="BU103" t="s">
        <v>142</v>
      </c>
      <c r="BV103" t="s">
        <v>80</v>
      </c>
      <c r="BY103">
        <v>1200</v>
      </c>
      <c r="CA103" t="s">
        <v>143</v>
      </c>
      <c r="CC103" t="s">
        <v>93</v>
      </c>
      <c r="CD103">
        <v>7493</v>
      </c>
      <c r="CE103" t="s">
        <v>73</v>
      </c>
      <c r="CF103" s="1">
        <v>43928</v>
      </c>
      <c r="CI103">
        <v>1</v>
      </c>
      <c r="CJ103">
        <v>1</v>
      </c>
      <c r="CK103">
        <v>21</v>
      </c>
      <c r="CL103" t="s">
        <v>74</v>
      </c>
    </row>
    <row r="104" spans="1:90" x14ac:dyDescent="0.25">
      <c r="A104" t="s">
        <v>61</v>
      </c>
      <c r="B104" t="s">
        <v>62</v>
      </c>
      <c r="C104" t="s">
        <v>63</v>
      </c>
      <c r="E104" t="str">
        <f>"FES1162744237"</f>
        <v>FES1162744237</v>
      </c>
      <c r="F104" s="1">
        <v>43927</v>
      </c>
      <c r="G104">
        <v>202010</v>
      </c>
      <c r="H104" t="s">
        <v>64</v>
      </c>
      <c r="I104" t="s">
        <v>65</v>
      </c>
      <c r="J104" t="s">
        <v>66</v>
      </c>
      <c r="K104" t="s">
        <v>67</v>
      </c>
      <c r="L104" t="s">
        <v>116</v>
      </c>
      <c r="M104" t="s">
        <v>117</v>
      </c>
      <c r="N104" t="s">
        <v>118</v>
      </c>
      <c r="O104" t="s">
        <v>69</v>
      </c>
      <c r="P104" t="str">
        <f>"2170735019                    "</f>
        <v xml:space="preserve">2170735019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8.11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89.23</v>
      </c>
      <c r="BM104">
        <v>13.38</v>
      </c>
      <c r="BN104">
        <v>102.61</v>
      </c>
      <c r="BO104">
        <v>102.61</v>
      </c>
      <c r="BQ104" t="s">
        <v>324</v>
      </c>
      <c r="BR104" t="s">
        <v>71</v>
      </c>
      <c r="BS104" s="1">
        <v>43928</v>
      </c>
      <c r="BT104" s="2">
        <v>0.41666666666666669</v>
      </c>
      <c r="BU104" t="s">
        <v>119</v>
      </c>
      <c r="BV104" t="s">
        <v>80</v>
      </c>
      <c r="BY104">
        <v>1200</v>
      </c>
      <c r="CC104" t="s">
        <v>117</v>
      </c>
      <c r="CD104">
        <v>7300</v>
      </c>
      <c r="CE104" t="s">
        <v>73</v>
      </c>
      <c r="CF104" s="1">
        <v>43929</v>
      </c>
      <c r="CI104">
        <v>1</v>
      </c>
      <c r="CJ104">
        <v>1</v>
      </c>
      <c r="CK104">
        <v>23</v>
      </c>
      <c r="CL104" t="s">
        <v>74</v>
      </c>
    </row>
    <row r="105" spans="1:90" x14ac:dyDescent="0.25">
      <c r="A105" t="s">
        <v>61</v>
      </c>
      <c r="B105" t="s">
        <v>62</v>
      </c>
      <c r="C105" t="s">
        <v>63</v>
      </c>
      <c r="E105" t="str">
        <f>"FES1162744017"</f>
        <v>FES1162744017</v>
      </c>
      <c r="F105" s="1">
        <v>43923</v>
      </c>
      <c r="G105">
        <v>202010</v>
      </c>
      <c r="H105" t="s">
        <v>64</v>
      </c>
      <c r="I105" t="s">
        <v>65</v>
      </c>
      <c r="J105" t="s">
        <v>66</v>
      </c>
      <c r="K105" t="s">
        <v>67</v>
      </c>
      <c r="L105" t="s">
        <v>177</v>
      </c>
      <c r="M105" t="s">
        <v>178</v>
      </c>
      <c r="N105" t="s">
        <v>179</v>
      </c>
      <c r="O105" t="s">
        <v>69</v>
      </c>
      <c r="P105" t="str">
        <f>"2170735406                    "</f>
        <v xml:space="preserve">2170735406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4.1900000000000004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46.06</v>
      </c>
      <c r="BM105">
        <v>6.91</v>
      </c>
      <c r="BN105">
        <v>52.97</v>
      </c>
      <c r="BO105">
        <v>52.97</v>
      </c>
      <c r="BQ105" t="s">
        <v>70</v>
      </c>
      <c r="BR105" t="s">
        <v>71</v>
      </c>
      <c r="BS105" s="1">
        <v>43927</v>
      </c>
      <c r="BT105" s="2">
        <v>0.4375</v>
      </c>
      <c r="BU105" t="s">
        <v>325</v>
      </c>
      <c r="BV105" t="s">
        <v>74</v>
      </c>
      <c r="BW105" t="s">
        <v>85</v>
      </c>
      <c r="BX105" t="s">
        <v>128</v>
      </c>
      <c r="BY105">
        <v>1200</v>
      </c>
      <c r="BZ105" t="s">
        <v>23</v>
      </c>
      <c r="CC105" t="s">
        <v>178</v>
      </c>
      <c r="CD105">
        <v>4302</v>
      </c>
      <c r="CE105" t="s">
        <v>73</v>
      </c>
      <c r="CF105" s="1">
        <v>43929</v>
      </c>
      <c r="CI105">
        <v>1</v>
      </c>
      <c r="CJ105">
        <v>2</v>
      </c>
      <c r="CK105">
        <v>21</v>
      </c>
      <c r="CL105" t="s">
        <v>74</v>
      </c>
    </row>
    <row r="106" spans="1:90" x14ac:dyDescent="0.25">
      <c r="A106" t="s">
        <v>61</v>
      </c>
      <c r="B106" t="s">
        <v>62</v>
      </c>
      <c r="C106" t="s">
        <v>63</v>
      </c>
      <c r="E106" t="str">
        <f>"FES1162744395"</f>
        <v>FES1162744395</v>
      </c>
      <c r="F106" s="1">
        <v>43928</v>
      </c>
      <c r="G106">
        <v>202010</v>
      </c>
      <c r="H106" t="s">
        <v>64</v>
      </c>
      <c r="I106" t="s">
        <v>65</v>
      </c>
      <c r="J106" t="s">
        <v>66</v>
      </c>
      <c r="K106" t="s">
        <v>67</v>
      </c>
      <c r="L106" t="s">
        <v>262</v>
      </c>
      <c r="M106" t="s">
        <v>262</v>
      </c>
      <c r="N106" t="s">
        <v>326</v>
      </c>
      <c r="O106" t="s">
        <v>69</v>
      </c>
      <c r="P106" t="str">
        <f>"2170735536                    "</f>
        <v xml:space="preserve">2170735536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8.11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89.23</v>
      </c>
      <c r="BM106">
        <v>13.38</v>
      </c>
      <c r="BN106">
        <v>102.61</v>
      </c>
      <c r="BO106">
        <v>102.61</v>
      </c>
      <c r="BQ106" t="s">
        <v>78</v>
      </c>
      <c r="BR106" t="s">
        <v>71</v>
      </c>
      <c r="BS106" s="1">
        <v>43930</v>
      </c>
      <c r="BT106" s="2">
        <v>0.54513888888888895</v>
      </c>
      <c r="BU106" t="s">
        <v>327</v>
      </c>
      <c r="BV106" t="s">
        <v>74</v>
      </c>
      <c r="BW106" t="s">
        <v>265</v>
      </c>
      <c r="BX106" t="s">
        <v>97</v>
      </c>
      <c r="BY106">
        <v>1200</v>
      </c>
      <c r="CA106" t="s">
        <v>266</v>
      </c>
      <c r="CC106" t="s">
        <v>262</v>
      </c>
      <c r="CD106">
        <v>7646</v>
      </c>
      <c r="CE106" t="s">
        <v>73</v>
      </c>
      <c r="CF106" s="1">
        <v>43935</v>
      </c>
      <c r="CI106">
        <v>1</v>
      </c>
      <c r="CJ106">
        <v>2</v>
      </c>
      <c r="CK106">
        <v>23</v>
      </c>
      <c r="CL106" t="s">
        <v>74</v>
      </c>
    </row>
    <row r="107" spans="1:90" x14ac:dyDescent="0.25">
      <c r="A107" t="s">
        <v>61</v>
      </c>
      <c r="B107" t="s">
        <v>62</v>
      </c>
      <c r="C107" t="s">
        <v>63</v>
      </c>
      <c r="E107" t="str">
        <f>"FES1162744303"</f>
        <v>FES1162744303</v>
      </c>
      <c r="F107" s="1">
        <v>43928</v>
      </c>
      <c r="G107">
        <v>202010</v>
      </c>
      <c r="H107" t="s">
        <v>64</v>
      </c>
      <c r="I107" t="s">
        <v>65</v>
      </c>
      <c r="J107" t="s">
        <v>66</v>
      </c>
      <c r="K107" t="s">
        <v>67</v>
      </c>
      <c r="L107" t="s">
        <v>184</v>
      </c>
      <c r="M107" t="s">
        <v>185</v>
      </c>
      <c r="N107" t="s">
        <v>186</v>
      </c>
      <c r="O107" t="s">
        <v>69</v>
      </c>
      <c r="P107" t="str">
        <f>"2170735635                    "</f>
        <v xml:space="preserve">2170735635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39.26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10.3</v>
      </c>
      <c r="BJ107">
        <v>3.1</v>
      </c>
      <c r="BK107">
        <v>10.5</v>
      </c>
      <c r="BL107">
        <v>431.82</v>
      </c>
      <c r="BM107">
        <v>64.77</v>
      </c>
      <c r="BN107">
        <v>496.59</v>
      </c>
      <c r="BO107">
        <v>496.59</v>
      </c>
      <c r="BQ107" t="s">
        <v>70</v>
      </c>
      <c r="BR107" t="s">
        <v>71</v>
      </c>
      <c r="BS107" s="1">
        <v>43929</v>
      </c>
      <c r="BT107" s="2">
        <v>0.44930555555555557</v>
      </c>
      <c r="BU107" t="s">
        <v>328</v>
      </c>
      <c r="BV107" t="s">
        <v>80</v>
      </c>
      <c r="BY107">
        <v>15649.76</v>
      </c>
      <c r="CA107" t="s">
        <v>188</v>
      </c>
      <c r="CC107" t="s">
        <v>185</v>
      </c>
      <c r="CD107">
        <v>7130</v>
      </c>
      <c r="CE107" t="s">
        <v>91</v>
      </c>
      <c r="CF107" s="1">
        <v>43930</v>
      </c>
      <c r="CI107">
        <v>1</v>
      </c>
      <c r="CJ107">
        <v>1</v>
      </c>
      <c r="CK107">
        <v>23</v>
      </c>
      <c r="CL107" t="s">
        <v>74</v>
      </c>
    </row>
    <row r="108" spans="1:90" x14ac:dyDescent="0.25">
      <c r="A108" t="s">
        <v>61</v>
      </c>
      <c r="B108" t="s">
        <v>62</v>
      </c>
      <c r="C108" t="s">
        <v>63</v>
      </c>
      <c r="E108" t="str">
        <f>"FES1162744383"</f>
        <v>FES1162744383</v>
      </c>
      <c r="F108" s="1">
        <v>43928</v>
      </c>
      <c r="G108">
        <v>202010</v>
      </c>
      <c r="H108" t="s">
        <v>64</v>
      </c>
      <c r="I108" t="s">
        <v>65</v>
      </c>
      <c r="J108" t="s">
        <v>66</v>
      </c>
      <c r="K108" t="s">
        <v>67</v>
      </c>
      <c r="L108" t="s">
        <v>92</v>
      </c>
      <c r="M108" t="s">
        <v>93</v>
      </c>
      <c r="N108" t="s">
        <v>329</v>
      </c>
      <c r="O108" t="s">
        <v>69</v>
      </c>
      <c r="P108" t="str">
        <f>"2170730358                    "</f>
        <v xml:space="preserve">2170730358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6.28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1.3</v>
      </c>
      <c r="BJ108">
        <v>2.6</v>
      </c>
      <c r="BK108">
        <v>3</v>
      </c>
      <c r="BL108">
        <v>69.069999999999993</v>
      </c>
      <c r="BM108">
        <v>10.36</v>
      </c>
      <c r="BN108">
        <v>79.430000000000007</v>
      </c>
      <c r="BO108">
        <v>79.430000000000007</v>
      </c>
      <c r="BQ108" t="s">
        <v>70</v>
      </c>
      <c r="BR108" t="s">
        <v>71</v>
      </c>
      <c r="BS108" s="1">
        <v>43929</v>
      </c>
      <c r="BT108" s="2">
        <v>0.43402777777777773</v>
      </c>
      <c r="BU108" t="s">
        <v>330</v>
      </c>
      <c r="BV108" t="s">
        <v>80</v>
      </c>
      <c r="BY108">
        <v>12903.13</v>
      </c>
      <c r="CA108" t="s">
        <v>331</v>
      </c>
      <c r="CC108" t="s">
        <v>93</v>
      </c>
      <c r="CD108">
        <v>7441</v>
      </c>
      <c r="CE108" t="s">
        <v>73</v>
      </c>
      <c r="CF108" s="1">
        <v>43930</v>
      </c>
      <c r="CI108">
        <v>1</v>
      </c>
      <c r="CJ108">
        <v>1</v>
      </c>
      <c r="CK108">
        <v>21</v>
      </c>
      <c r="CL108" t="s">
        <v>74</v>
      </c>
    </row>
    <row r="109" spans="1:90" x14ac:dyDescent="0.25">
      <c r="A109" t="s">
        <v>61</v>
      </c>
      <c r="B109" t="s">
        <v>62</v>
      </c>
      <c r="C109" t="s">
        <v>63</v>
      </c>
      <c r="E109" t="str">
        <f>"FES1162744159"</f>
        <v>FES1162744159</v>
      </c>
      <c r="F109" s="1">
        <v>43928</v>
      </c>
      <c r="G109">
        <v>202010</v>
      </c>
      <c r="H109" t="s">
        <v>64</v>
      </c>
      <c r="I109" t="s">
        <v>65</v>
      </c>
      <c r="J109" t="s">
        <v>66</v>
      </c>
      <c r="K109" t="s">
        <v>67</v>
      </c>
      <c r="L109" t="s">
        <v>64</v>
      </c>
      <c r="M109" t="s">
        <v>65</v>
      </c>
      <c r="N109" t="s">
        <v>191</v>
      </c>
      <c r="O109" t="s">
        <v>69</v>
      </c>
      <c r="P109" t="str">
        <f>"2170734746                    "</f>
        <v xml:space="preserve">2170734746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3.27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35.979999999999997</v>
      </c>
      <c r="BM109">
        <v>5.4</v>
      </c>
      <c r="BN109">
        <v>41.38</v>
      </c>
      <c r="BO109">
        <v>41.38</v>
      </c>
      <c r="BQ109" t="s">
        <v>70</v>
      </c>
      <c r="BR109" t="s">
        <v>71</v>
      </c>
      <c r="BS109" s="1">
        <v>43929</v>
      </c>
      <c r="BT109" s="2">
        <v>0.40972222222222227</v>
      </c>
      <c r="BU109" t="s">
        <v>192</v>
      </c>
      <c r="BV109" t="s">
        <v>80</v>
      </c>
      <c r="BY109">
        <v>1200</v>
      </c>
      <c r="CA109" t="s">
        <v>193</v>
      </c>
      <c r="CC109" t="s">
        <v>65</v>
      </c>
      <c r="CD109">
        <v>1601</v>
      </c>
      <c r="CE109" t="s">
        <v>73</v>
      </c>
      <c r="CF109" s="1">
        <v>43930</v>
      </c>
      <c r="CI109">
        <v>1</v>
      </c>
      <c r="CJ109">
        <v>1</v>
      </c>
      <c r="CK109">
        <v>22</v>
      </c>
      <c r="CL109" t="s">
        <v>74</v>
      </c>
    </row>
    <row r="110" spans="1:90" x14ac:dyDescent="0.25">
      <c r="A110" t="s">
        <v>61</v>
      </c>
      <c r="B110" t="s">
        <v>62</v>
      </c>
      <c r="C110" t="s">
        <v>63</v>
      </c>
      <c r="E110" t="str">
        <f>"FES1162744393"</f>
        <v>FES1162744393</v>
      </c>
      <c r="F110" s="1">
        <v>43928</v>
      </c>
      <c r="G110">
        <v>202010</v>
      </c>
      <c r="H110" t="s">
        <v>64</v>
      </c>
      <c r="I110" t="s">
        <v>65</v>
      </c>
      <c r="J110" t="s">
        <v>66</v>
      </c>
      <c r="K110" t="s">
        <v>67</v>
      </c>
      <c r="L110" t="s">
        <v>332</v>
      </c>
      <c r="M110" t="s">
        <v>333</v>
      </c>
      <c r="N110" t="s">
        <v>334</v>
      </c>
      <c r="O110" t="s">
        <v>69</v>
      </c>
      <c r="P110" t="str">
        <f>"2170735464                    "</f>
        <v xml:space="preserve">2170735464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8.11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89.23</v>
      </c>
      <c r="BM110">
        <v>13.38</v>
      </c>
      <c r="BN110">
        <v>102.61</v>
      </c>
      <c r="BO110">
        <v>102.61</v>
      </c>
      <c r="BQ110" t="s">
        <v>268</v>
      </c>
      <c r="BR110" t="s">
        <v>71</v>
      </c>
      <c r="BS110" s="1">
        <v>43929</v>
      </c>
      <c r="BT110" s="2">
        <v>0.6875</v>
      </c>
      <c r="BU110" t="s">
        <v>335</v>
      </c>
      <c r="BV110" t="s">
        <v>80</v>
      </c>
      <c r="BY110">
        <v>1200</v>
      </c>
      <c r="CC110" t="s">
        <v>333</v>
      </c>
      <c r="CD110">
        <v>6300</v>
      </c>
      <c r="CE110" t="s">
        <v>73</v>
      </c>
      <c r="CF110" s="1">
        <v>43937</v>
      </c>
      <c r="CI110">
        <v>3</v>
      </c>
      <c r="CJ110">
        <v>1</v>
      </c>
      <c r="CK110">
        <v>23</v>
      </c>
      <c r="CL110" t="s">
        <v>74</v>
      </c>
    </row>
    <row r="111" spans="1:90" x14ac:dyDescent="0.25">
      <c r="A111" t="s">
        <v>61</v>
      </c>
      <c r="B111" t="s">
        <v>62</v>
      </c>
      <c r="C111" t="s">
        <v>63</v>
      </c>
      <c r="E111" t="str">
        <f>"FES1162744398"</f>
        <v>FES1162744398</v>
      </c>
      <c r="F111" s="1">
        <v>43928</v>
      </c>
      <c r="G111">
        <v>202010</v>
      </c>
      <c r="H111" t="s">
        <v>64</v>
      </c>
      <c r="I111" t="s">
        <v>65</v>
      </c>
      <c r="J111" t="s">
        <v>66</v>
      </c>
      <c r="K111" t="s">
        <v>67</v>
      </c>
      <c r="L111" t="s">
        <v>87</v>
      </c>
      <c r="M111" t="s">
        <v>88</v>
      </c>
      <c r="N111" t="s">
        <v>89</v>
      </c>
      <c r="O111" t="s">
        <v>69</v>
      </c>
      <c r="P111" t="str">
        <f>"2170735695                    "</f>
        <v xml:space="preserve">2170735695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8.11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89.23</v>
      </c>
      <c r="BM111">
        <v>13.38</v>
      </c>
      <c r="BN111">
        <v>102.61</v>
      </c>
      <c r="BO111">
        <v>102.61</v>
      </c>
      <c r="BQ111" t="s">
        <v>70</v>
      </c>
      <c r="BR111" t="s">
        <v>71</v>
      </c>
      <c r="BS111" s="1">
        <v>43929</v>
      </c>
      <c r="BT111" s="2">
        <v>0.6875</v>
      </c>
      <c r="BU111" t="s">
        <v>336</v>
      </c>
      <c r="BV111" t="s">
        <v>80</v>
      </c>
      <c r="BY111">
        <v>1200</v>
      </c>
      <c r="CC111" t="s">
        <v>88</v>
      </c>
      <c r="CD111">
        <v>5099</v>
      </c>
      <c r="CE111" t="s">
        <v>73</v>
      </c>
      <c r="CF111" s="1">
        <v>43931</v>
      </c>
      <c r="CI111">
        <v>3</v>
      </c>
      <c r="CJ111">
        <v>1</v>
      </c>
      <c r="CK111">
        <v>23</v>
      </c>
      <c r="CL111" t="s">
        <v>74</v>
      </c>
    </row>
    <row r="112" spans="1:90" x14ac:dyDescent="0.25">
      <c r="A112" t="s">
        <v>61</v>
      </c>
      <c r="B112" t="s">
        <v>62</v>
      </c>
      <c r="C112" t="s">
        <v>63</v>
      </c>
      <c r="E112" t="str">
        <f>"FES1162744396"</f>
        <v>FES1162744396</v>
      </c>
      <c r="F112" s="1">
        <v>43928</v>
      </c>
      <c r="G112">
        <v>202010</v>
      </c>
      <c r="H112" t="s">
        <v>64</v>
      </c>
      <c r="I112" t="s">
        <v>65</v>
      </c>
      <c r="J112" t="s">
        <v>66</v>
      </c>
      <c r="K112" t="s">
        <v>67</v>
      </c>
      <c r="L112" t="s">
        <v>146</v>
      </c>
      <c r="M112" t="s">
        <v>147</v>
      </c>
      <c r="N112" t="s">
        <v>337</v>
      </c>
      <c r="O112" t="s">
        <v>69</v>
      </c>
      <c r="P112" t="str">
        <f>"2170735601                    "</f>
        <v xml:space="preserve">2170735601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4.1900000000000004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46.06</v>
      </c>
      <c r="BM112">
        <v>6.91</v>
      </c>
      <c r="BN112">
        <v>52.97</v>
      </c>
      <c r="BO112">
        <v>52.97</v>
      </c>
      <c r="BQ112" t="s">
        <v>78</v>
      </c>
      <c r="BR112" t="s">
        <v>71</v>
      </c>
      <c r="BS112" s="1">
        <v>43929</v>
      </c>
      <c r="BT112" s="2">
        <v>0.4458333333333333</v>
      </c>
      <c r="BU112" t="s">
        <v>338</v>
      </c>
      <c r="BV112" t="s">
        <v>74</v>
      </c>
      <c r="BW112" t="s">
        <v>96</v>
      </c>
      <c r="BX112" t="s">
        <v>339</v>
      </c>
      <c r="BY112">
        <v>1200</v>
      </c>
      <c r="CA112" t="s">
        <v>340</v>
      </c>
      <c r="CC112" t="s">
        <v>147</v>
      </c>
      <c r="CD112">
        <v>6014</v>
      </c>
      <c r="CE112" t="s">
        <v>73</v>
      </c>
      <c r="CF112" s="1">
        <v>43935</v>
      </c>
      <c r="CI112">
        <v>1</v>
      </c>
      <c r="CJ112">
        <v>1</v>
      </c>
      <c r="CK112">
        <v>21</v>
      </c>
      <c r="CL112" t="s">
        <v>74</v>
      </c>
    </row>
    <row r="113" spans="1:90" x14ac:dyDescent="0.25">
      <c r="A113" t="s">
        <v>61</v>
      </c>
      <c r="B113" t="s">
        <v>62</v>
      </c>
      <c r="C113" t="s">
        <v>63</v>
      </c>
      <c r="E113" t="str">
        <f>"FES1162744418"</f>
        <v>FES1162744418</v>
      </c>
      <c r="F113" s="1">
        <v>43928</v>
      </c>
      <c r="G113">
        <v>202010</v>
      </c>
      <c r="H113" t="s">
        <v>64</v>
      </c>
      <c r="I113" t="s">
        <v>65</v>
      </c>
      <c r="J113" t="s">
        <v>66</v>
      </c>
      <c r="K113" t="s">
        <v>67</v>
      </c>
      <c r="L113" t="s">
        <v>146</v>
      </c>
      <c r="M113" t="s">
        <v>147</v>
      </c>
      <c r="N113" t="s">
        <v>341</v>
      </c>
      <c r="O113" t="s">
        <v>69</v>
      </c>
      <c r="P113" t="str">
        <f>"2170735750                    "</f>
        <v xml:space="preserve">2170735750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8.3699999999999992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2.5</v>
      </c>
      <c r="BJ113">
        <v>3.8</v>
      </c>
      <c r="BK113">
        <v>4</v>
      </c>
      <c r="BL113">
        <v>92.08</v>
      </c>
      <c r="BM113">
        <v>13.81</v>
      </c>
      <c r="BN113">
        <v>105.89</v>
      </c>
      <c r="BO113">
        <v>105.89</v>
      </c>
      <c r="BQ113" t="s">
        <v>78</v>
      </c>
      <c r="BR113" t="s">
        <v>71</v>
      </c>
      <c r="BS113" s="1">
        <v>43929</v>
      </c>
      <c r="BT113" s="2">
        <v>0.4069444444444445</v>
      </c>
      <c r="BU113" t="s">
        <v>283</v>
      </c>
      <c r="BV113" t="s">
        <v>80</v>
      </c>
      <c r="BY113">
        <v>19099.8</v>
      </c>
      <c r="CA113" t="s">
        <v>150</v>
      </c>
      <c r="CC113" t="s">
        <v>147</v>
      </c>
      <c r="CD113">
        <v>6045</v>
      </c>
      <c r="CE113" t="s">
        <v>91</v>
      </c>
      <c r="CF113" s="1">
        <v>43935</v>
      </c>
      <c r="CI113">
        <v>1</v>
      </c>
      <c r="CJ113">
        <v>1</v>
      </c>
      <c r="CK113">
        <v>21</v>
      </c>
      <c r="CL113" t="s">
        <v>74</v>
      </c>
    </row>
    <row r="114" spans="1:90" x14ac:dyDescent="0.25">
      <c r="A114" t="s">
        <v>61</v>
      </c>
      <c r="B114" t="s">
        <v>62</v>
      </c>
      <c r="C114" t="s">
        <v>63</v>
      </c>
      <c r="E114" t="str">
        <f>"FES1162744132"</f>
        <v>FES1162744132</v>
      </c>
      <c r="F114" s="1">
        <v>43928</v>
      </c>
      <c r="G114">
        <v>202010</v>
      </c>
      <c r="H114" t="s">
        <v>64</v>
      </c>
      <c r="I114" t="s">
        <v>65</v>
      </c>
      <c r="J114" t="s">
        <v>66</v>
      </c>
      <c r="K114" t="s">
        <v>67</v>
      </c>
      <c r="L114" t="s">
        <v>254</v>
      </c>
      <c r="M114" t="s">
        <v>255</v>
      </c>
      <c r="N114" t="s">
        <v>342</v>
      </c>
      <c r="O114" t="s">
        <v>69</v>
      </c>
      <c r="P114" t="str">
        <f>"2170744132                    "</f>
        <v xml:space="preserve">2170744132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4.1900000000000004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46.06</v>
      </c>
      <c r="BM114">
        <v>6.91</v>
      </c>
      <c r="BN114">
        <v>52.97</v>
      </c>
      <c r="BO114">
        <v>52.97</v>
      </c>
      <c r="BQ114" t="s">
        <v>109</v>
      </c>
      <c r="BR114" t="s">
        <v>71</v>
      </c>
      <c r="BS114" s="1">
        <v>43930</v>
      </c>
      <c r="BT114" s="2">
        <v>0.55763888888888891</v>
      </c>
      <c r="BU114" t="s">
        <v>343</v>
      </c>
      <c r="BV114" t="s">
        <v>74</v>
      </c>
      <c r="BW114" t="s">
        <v>258</v>
      </c>
      <c r="BX114" t="s">
        <v>259</v>
      </c>
      <c r="BY114">
        <v>1200</v>
      </c>
      <c r="CC114" t="s">
        <v>255</v>
      </c>
      <c r="CD114">
        <v>200</v>
      </c>
      <c r="CE114" t="s">
        <v>73</v>
      </c>
      <c r="CF114" s="1">
        <v>43936</v>
      </c>
      <c r="CI114">
        <v>1</v>
      </c>
      <c r="CJ114">
        <v>2</v>
      </c>
      <c r="CK114">
        <v>21</v>
      </c>
      <c r="CL114" t="s">
        <v>74</v>
      </c>
    </row>
    <row r="115" spans="1:90" x14ac:dyDescent="0.25">
      <c r="A115" t="s">
        <v>61</v>
      </c>
      <c r="B115" t="s">
        <v>62</v>
      </c>
      <c r="C115" t="s">
        <v>63</v>
      </c>
      <c r="E115" t="str">
        <f>"FES1162744392"</f>
        <v>FES1162744392</v>
      </c>
      <c r="F115" s="1">
        <v>43928</v>
      </c>
      <c r="G115">
        <v>202010</v>
      </c>
      <c r="H115" t="s">
        <v>64</v>
      </c>
      <c r="I115" t="s">
        <v>65</v>
      </c>
      <c r="J115" t="s">
        <v>66</v>
      </c>
      <c r="K115" t="s">
        <v>67</v>
      </c>
      <c r="L115" t="s">
        <v>158</v>
      </c>
      <c r="M115" t="s">
        <v>159</v>
      </c>
      <c r="N115" t="s">
        <v>160</v>
      </c>
      <c r="O115" t="s">
        <v>69</v>
      </c>
      <c r="P115" t="str">
        <f>"2170735433                    "</f>
        <v xml:space="preserve">2170735433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4.1900000000000004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46.06</v>
      </c>
      <c r="BM115">
        <v>6.91</v>
      </c>
      <c r="BN115">
        <v>52.97</v>
      </c>
      <c r="BO115">
        <v>52.97</v>
      </c>
      <c r="BQ115" t="s">
        <v>70</v>
      </c>
      <c r="BR115" t="s">
        <v>71</v>
      </c>
      <c r="BS115" s="1">
        <v>43929</v>
      </c>
      <c r="BT115" s="2">
        <v>0.41666666666666669</v>
      </c>
      <c r="BU115" t="s">
        <v>344</v>
      </c>
      <c r="BV115" t="s">
        <v>80</v>
      </c>
      <c r="BY115">
        <v>1200</v>
      </c>
      <c r="CC115" t="s">
        <v>159</v>
      </c>
      <c r="CD115">
        <v>3290</v>
      </c>
      <c r="CE115" t="s">
        <v>73</v>
      </c>
      <c r="CF115" s="1">
        <v>43936</v>
      </c>
      <c r="CI115">
        <v>1</v>
      </c>
      <c r="CJ115">
        <v>1</v>
      </c>
      <c r="CK115">
        <v>21</v>
      </c>
      <c r="CL115" t="s">
        <v>74</v>
      </c>
    </row>
    <row r="116" spans="1:90" x14ac:dyDescent="0.25">
      <c r="A116" t="s">
        <v>61</v>
      </c>
      <c r="B116" t="s">
        <v>62</v>
      </c>
      <c r="C116" t="s">
        <v>63</v>
      </c>
      <c r="E116" t="str">
        <f>"FES1162744401"</f>
        <v>FES1162744401</v>
      </c>
      <c r="F116" s="1">
        <v>43928</v>
      </c>
      <c r="G116">
        <v>202010</v>
      </c>
      <c r="H116" t="s">
        <v>64</v>
      </c>
      <c r="I116" t="s">
        <v>65</v>
      </c>
      <c r="J116" t="s">
        <v>66</v>
      </c>
      <c r="K116" t="s">
        <v>67</v>
      </c>
      <c r="L116" t="s">
        <v>120</v>
      </c>
      <c r="M116" t="s">
        <v>121</v>
      </c>
      <c r="N116" t="s">
        <v>345</v>
      </c>
      <c r="O116" t="s">
        <v>69</v>
      </c>
      <c r="P116" t="str">
        <f>"2170735672                    "</f>
        <v xml:space="preserve">2170735672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4.1900000000000004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46.06</v>
      </c>
      <c r="BM116">
        <v>6.91</v>
      </c>
      <c r="BN116">
        <v>52.97</v>
      </c>
      <c r="BO116">
        <v>52.97</v>
      </c>
      <c r="BQ116" t="s">
        <v>346</v>
      </c>
      <c r="BR116" t="s">
        <v>71</v>
      </c>
      <c r="BS116" s="1">
        <v>43929</v>
      </c>
      <c r="BT116" s="2">
        <v>0.45833333333333331</v>
      </c>
      <c r="BU116" t="s">
        <v>347</v>
      </c>
      <c r="BV116" t="s">
        <v>74</v>
      </c>
      <c r="BW116" t="s">
        <v>85</v>
      </c>
      <c r="BX116" t="s">
        <v>128</v>
      </c>
      <c r="BY116">
        <v>1200</v>
      </c>
      <c r="CC116" t="s">
        <v>121</v>
      </c>
      <c r="CD116">
        <v>4051</v>
      </c>
      <c r="CE116" t="s">
        <v>73</v>
      </c>
      <c r="CF116" s="1">
        <v>43935</v>
      </c>
      <c r="CI116">
        <v>1</v>
      </c>
      <c r="CJ116">
        <v>1</v>
      </c>
      <c r="CK116">
        <v>21</v>
      </c>
      <c r="CL116" t="s">
        <v>74</v>
      </c>
    </row>
    <row r="117" spans="1:90" x14ac:dyDescent="0.25">
      <c r="A117" t="s">
        <v>61</v>
      </c>
      <c r="B117" t="s">
        <v>62</v>
      </c>
      <c r="C117" t="s">
        <v>63</v>
      </c>
      <c r="E117" t="str">
        <f>"FES1162744391"</f>
        <v>FES1162744391</v>
      </c>
      <c r="F117" s="1">
        <v>43928</v>
      </c>
      <c r="G117">
        <v>202010</v>
      </c>
      <c r="H117" t="s">
        <v>64</v>
      </c>
      <c r="I117" t="s">
        <v>65</v>
      </c>
      <c r="J117" t="s">
        <v>66</v>
      </c>
      <c r="K117" t="s">
        <v>67</v>
      </c>
      <c r="L117" t="s">
        <v>151</v>
      </c>
      <c r="M117" t="s">
        <v>152</v>
      </c>
      <c r="N117" t="s">
        <v>348</v>
      </c>
      <c r="O117" t="s">
        <v>69</v>
      </c>
      <c r="P117" t="str">
        <f>"2170735714                    "</f>
        <v xml:space="preserve">2170735714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4.1900000000000004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46.06</v>
      </c>
      <c r="BM117">
        <v>6.91</v>
      </c>
      <c r="BN117">
        <v>52.97</v>
      </c>
      <c r="BO117">
        <v>52.97</v>
      </c>
      <c r="BQ117" t="s">
        <v>78</v>
      </c>
      <c r="BR117" t="s">
        <v>71</v>
      </c>
      <c r="BS117" s="1">
        <v>43929</v>
      </c>
      <c r="BT117" s="2">
        <v>0.54166666666666663</v>
      </c>
      <c r="BU117" t="s">
        <v>349</v>
      </c>
      <c r="BV117" t="s">
        <v>74</v>
      </c>
      <c r="BW117" t="s">
        <v>85</v>
      </c>
      <c r="BX117" t="s">
        <v>128</v>
      </c>
      <c r="BY117">
        <v>1200</v>
      </c>
      <c r="CC117" t="s">
        <v>152</v>
      </c>
      <c r="CD117">
        <v>3201</v>
      </c>
      <c r="CE117" t="s">
        <v>73</v>
      </c>
      <c r="CF117" s="1">
        <v>43935</v>
      </c>
      <c r="CI117">
        <v>1</v>
      </c>
      <c r="CJ117">
        <v>1</v>
      </c>
      <c r="CK117">
        <v>21</v>
      </c>
      <c r="CL117" t="s">
        <v>74</v>
      </c>
    </row>
    <row r="118" spans="1:90" x14ac:dyDescent="0.25">
      <c r="A118" t="s">
        <v>61</v>
      </c>
      <c r="B118" t="s">
        <v>62</v>
      </c>
      <c r="C118" t="s">
        <v>63</v>
      </c>
      <c r="E118" t="str">
        <f>"FES1162744692"</f>
        <v>FES1162744692</v>
      </c>
      <c r="F118" s="1">
        <v>43935</v>
      </c>
      <c r="G118">
        <v>202010</v>
      </c>
      <c r="H118" t="s">
        <v>64</v>
      </c>
      <c r="I118" t="s">
        <v>65</v>
      </c>
      <c r="J118" t="s">
        <v>66</v>
      </c>
      <c r="K118" t="s">
        <v>67</v>
      </c>
      <c r="L118" t="s">
        <v>64</v>
      </c>
      <c r="M118" t="s">
        <v>65</v>
      </c>
      <c r="N118" t="s">
        <v>313</v>
      </c>
      <c r="O118" t="s">
        <v>69</v>
      </c>
      <c r="P118" t="str">
        <f>"2170735301                    "</f>
        <v xml:space="preserve">2170735301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3.27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0.6</v>
      </c>
      <c r="BJ118">
        <v>1.6</v>
      </c>
      <c r="BK118">
        <v>2</v>
      </c>
      <c r="BL118">
        <v>35.979999999999997</v>
      </c>
      <c r="BM118">
        <v>5.4</v>
      </c>
      <c r="BN118">
        <v>41.38</v>
      </c>
      <c r="BO118">
        <v>41.38</v>
      </c>
      <c r="BQ118" t="s">
        <v>78</v>
      </c>
      <c r="BR118" t="s">
        <v>71</v>
      </c>
      <c r="BS118" s="1">
        <v>43936</v>
      </c>
      <c r="BT118" s="2">
        <v>0.375</v>
      </c>
      <c r="BU118" t="s">
        <v>350</v>
      </c>
      <c r="BV118" t="s">
        <v>80</v>
      </c>
      <c r="BY118">
        <v>8032.89</v>
      </c>
      <c r="CA118" t="s">
        <v>193</v>
      </c>
      <c r="CC118" t="s">
        <v>65</v>
      </c>
      <c r="CD118">
        <v>1624</v>
      </c>
      <c r="CE118" t="s">
        <v>91</v>
      </c>
      <c r="CI118">
        <v>1</v>
      </c>
      <c r="CJ118">
        <v>1</v>
      </c>
      <c r="CK118">
        <v>22</v>
      </c>
      <c r="CL118" t="s">
        <v>74</v>
      </c>
    </row>
    <row r="119" spans="1:90" x14ac:dyDescent="0.25">
      <c r="A119" t="s">
        <v>61</v>
      </c>
      <c r="B119" t="s">
        <v>62</v>
      </c>
      <c r="C119" t="s">
        <v>63</v>
      </c>
      <c r="E119" t="str">
        <f>"FES1162743978"</f>
        <v>FES1162743978</v>
      </c>
      <c r="F119" s="1">
        <v>43922</v>
      </c>
      <c r="G119">
        <v>202010</v>
      </c>
      <c r="H119" t="s">
        <v>64</v>
      </c>
      <c r="I119" t="s">
        <v>65</v>
      </c>
      <c r="J119" t="s">
        <v>66</v>
      </c>
      <c r="K119" t="s">
        <v>67</v>
      </c>
      <c r="L119" t="s">
        <v>92</v>
      </c>
      <c r="M119" t="s">
        <v>93</v>
      </c>
      <c r="N119" t="s">
        <v>165</v>
      </c>
      <c r="O119" t="s">
        <v>69</v>
      </c>
      <c r="P119" t="str">
        <f>"2170735329                    "</f>
        <v xml:space="preserve">2170735329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4.1900000000000004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46.06</v>
      </c>
      <c r="BM119">
        <v>6.91</v>
      </c>
      <c r="BN119">
        <v>52.97</v>
      </c>
      <c r="BO119">
        <v>52.97</v>
      </c>
      <c r="BQ119" t="s">
        <v>70</v>
      </c>
      <c r="BR119" t="s">
        <v>71</v>
      </c>
      <c r="BS119" s="1">
        <v>43923</v>
      </c>
      <c r="BT119" s="2">
        <v>0.34583333333333338</v>
      </c>
      <c r="BU119" t="s">
        <v>166</v>
      </c>
      <c r="BV119" t="s">
        <v>80</v>
      </c>
      <c r="BY119">
        <v>1200</v>
      </c>
      <c r="CA119" t="s">
        <v>167</v>
      </c>
      <c r="CC119" t="s">
        <v>93</v>
      </c>
      <c r="CD119">
        <v>7530</v>
      </c>
      <c r="CE119" t="s">
        <v>73</v>
      </c>
      <c r="CF119" s="1">
        <v>43923</v>
      </c>
      <c r="CI119">
        <v>1</v>
      </c>
      <c r="CJ119">
        <v>1</v>
      </c>
      <c r="CK119">
        <v>21</v>
      </c>
      <c r="CL119" t="s">
        <v>74</v>
      </c>
    </row>
    <row r="120" spans="1:90" x14ac:dyDescent="0.25">
      <c r="A120" t="s">
        <v>61</v>
      </c>
      <c r="B120" t="s">
        <v>62</v>
      </c>
      <c r="C120" t="s">
        <v>63</v>
      </c>
      <c r="E120" t="str">
        <f>"FES1162744102"</f>
        <v>FES1162744102</v>
      </c>
      <c r="F120" s="1">
        <v>43927</v>
      </c>
      <c r="G120">
        <v>202010</v>
      </c>
      <c r="H120" t="s">
        <v>64</v>
      </c>
      <c r="I120" t="s">
        <v>65</v>
      </c>
      <c r="J120" t="s">
        <v>66</v>
      </c>
      <c r="K120" t="s">
        <v>67</v>
      </c>
      <c r="L120" t="s">
        <v>64</v>
      </c>
      <c r="M120" t="s">
        <v>65</v>
      </c>
      <c r="N120" t="s">
        <v>313</v>
      </c>
      <c r="O120" t="s">
        <v>69</v>
      </c>
      <c r="P120" t="str">
        <f>"217073150                     "</f>
        <v xml:space="preserve">217073150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3.27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35.979999999999997</v>
      </c>
      <c r="BM120">
        <v>5.4</v>
      </c>
      <c r="BN120">
        <v>41.38</v>
      </c>
      <c r="BO120">
        <v>41.38</v>
      </c>
      <c r="BQ120" t="s">
        <v>78</v>
      </c>
      <c r="BR120" t="s">
        <v>71</v>
      </c>
      <c r="BS120" s="1">
        <v>43928</v>
      </c>
      <c r="BT120" s="2">
        <v>0.40625</v>
      </c>
      <c r="BU120" t="s">
        <v>314</v>
      </c>
      <c r="BV120" t="s">
        <v>80</v>
      </c>
      <c r="BY120">
        <v>1200</v>
      </c>
      <c r="CA120" t="s">
        <v>193</v>
      </c>
      <c r="CC120" t="s">
        <v>65</v>
      </c>
      <c r="CD120">
        <v>1624</v>
      </c>
      <c r="CE120" t="s">
        <v>73</v>
      </c>
      <c r="CF120" s="1">
        <v>43929</v>
      </c>
      <c r="CI120">
        <v>1</v>
      </c>
      <c r="CJ120">
        <v>1</v>
      </c>
      <c r="CK120">
        <v>22</v>
      </c>
      <c r="CL120" t="s">
        <v>74</v>
      </c>
    </row>
    <row r="121" spans="1:90" x14ac:dyDescent="0.25">
      <c r="A121" t="s">
        <v>61</v>
      </c>
      <c r="B121" t="s">
        <v>62</v>
      </c>
      <c r="C121" t="s">
        <v>63</v>
      </c>
      <c r="E121" t="str">
        <f>"RFES1162742561"</f>
        <v>RFES1162742561</v>
      </c>
      <c r="F121" s="1">
        <v>43922</v>
      </c>
      <c r="G121">
        <v>202010</v>
      </c>
      <c r="H121" t="s">
        <v>351</v>
      </c>
      <c r="I121" t="s">
        <v>352</v>
      </c>
      <c r="J121" t="s">
        <v>353</v>
      </c>
      <c r="K121" t="s">
        <v>67</v>
      </c>
      <c r="L121" t="s">
        <v>64</v>
      </c>
      <c r="M121" t="s">
        <v>65</v>
      </c>
      <c r="N121" t="s">
        <v>66</v>
      </c>
      <c r="O121" t="s">
        <v>69</v>
      </c>
      <c r="P121" t="str">
        <f>"2170731628                    "</f>
        <v xml:space="preserve">2170731628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17.27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4.0999999999999996</v>
      </c>
      <c r="BJ121">
        <v>1.6</v>
      </c>
      <c r="BK121">
        <v>4.5</v>
      </c>
      <c r="BL121">
        <v>189.99</v>
      </c>
      <c r="BM121">
        <v>28.5</v>
      </c>
      <c r="BN121">
        <v>218.49</v>
      </c>
      <c r="BO121">
        <v>218.49</v>
      </c>
      <c r="BQ121" t="s">
        <v>71</v>
      </c>
      <c r="BR121" t="s">
        <v>354</v>
      </c>
      <c r="BS121" s="1">
        <v>43923</v>
      </c>
      <c r="BT121" s="2">
        <v>0.35416666666666669</v>
      </c>
      <c r="BU121" t="s">
        <v>243</v>
      </c>
      <c r="BV121" t="s">
        <v>80</v>
      </c>
      <c r="BY121">
        <v>7780.91</v>
      </c>
      <c r="BZ121" t="s">
        <v>23</v>
      </c>
      <c r="CC121" t="s">
        <v>65</v>
      </c>
      <c r="CD121">
        <v>1601</v>
      </c>
      <c r="CE121" t="s">
        <v>355</v>
      </c>
      <c r="CF121" s="1">
        <v>43924</v>
      </c>
      <c r="CI121">
        <v>1</v>
      </c>
      <c r="CJ121">
        <v>1</v>
      </c>
      <c r="CK121">
        <v>23</v>
      </c>
      <c r="CL121" t="s">
        <v>74</v>
      </c>
    </row>
    <row r="122" spans="1:90" x14ac:dyDescent="0.25">
      <c r="A122" t="s">
        <v>61</v>
      </c>
      <c r="B122" t="s">
        <v>62</v>
      </c>
      <c r="C122" t="s">
        <v>63</v>
      </c>
      <c r="E122" t="str">
        <f>"FES1162744121"</f>
        <v>FES1162744121</v>
      </c>
      <c r="F122" s="1">
        <v>43927</v>
      </c>
      <c r="G122">
        <v>202010</v>
      </c>
      <c r="H122" t="s">
        <v>64</v>
      </c>
      <c r="I122" t="s">
        <v>65</v>
      </c>
      <c r="J122" t="s">
        <v>66</v>
      </c>
      <c r="K122" t="s">
        <v>67</v>
      </c>
      <c r="L122" t="s">
        <v>104</v>
      </c>
      <c r="M122" t="s">
        <v>105</v>
      </c>
      <c r="N122" t="s">
        <v>251</v>
      </c>
      <c r="O122" t="s">
        <v>69</v>
      </c>
      <c r="P122" t="str">
        <f>"2170732195                    "</f>
        <v xml:space="preserve">2170732195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5.89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64.77</v>
      </c>
      <c r="BM122">
        <v>9.7200000000000006</v>
      </c>
      <c r="BN122">
        <v>74.489999999999995</v>
      </c>
      <c r="BO122">
        <v>74.489999999999995</v>
      </c>
      <c r="BQ122" t="s">
        <v>70</v>
      </c>
      <c r="BR122" t="s">
        <v>71</v>
      </c>
      <c r="BS122" s="1">
        <v>43928</v>
      </c>
      <c r="BT122" s="2">
        <v>0.4375</v>
      </c>
      <c r="BU122" t="s">
        <v>356</v>
      </c>
      <c r="BV122" t="s">
        <v>80</v>
      </c>
      <c r="BY122">
        <v>1200</v>
      </c>
      <c r="CC122" t="s">
        <v>105</v>
      </c>
      <c r="CD122">
        <v>1759</v>
      </c>
      <c r="CE122" t="s">
        <v>73</v>
      </c>
      <c r="CF122" s="1">
        <v>43929</v>
      </c>
      <c r="CI122">
        <v>1</v>
      </c>
      <c r="CJ122">
        <v>1</v>
      </c>
      <c r="CK122">
        <v>24</v>
      </c>
      <c r="CL122" t="s">
        <v>74</v>
      </c>
    </row>
    <row r="123" spans="1:90" x14ac:dyDescent="0.25">
      <c r="A123" t="s">
        <v>61</v>
      </c>
      <c r="B123" t="s">
        <v>62</v>
      </c>
      <c r="C123" t="s">
        <v>63</v>
      </c>
      <c r="E123" t="str">
        <f>"FES1162744122"</f>
        <v>FES1162744122</v>
      </c>
      <c r="F123" s="1">
        <v>43927</v>
      </c>
      <c r="G123">
        <v>202010</v>
      </c>
      <c r="H123" t="s">
        <v>64</v>
      </c>
      <c r="I123" t="s">
        <v>65</v>
      </c>
      <c r="J123" t="s">
        <v>66</v>
      </c>
      <c r="K123" t="s">
        <v>67</v>
      </c>
      <c r="L123" t="s">
        <v>75</v>
      </c>
      <c r="M123" t="s">
        <v>76</v>
      </c>
      <c r="N123" t="s">
        <v>357</v>
      </c>
      <c r="O123" t="s">
        <v>69</v>
      </c>
      <c r="P123" t="str">
        <f>"2170732398                    "</f>
        <v xml:space="preserve">2170732398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3.27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35.979999999999997</v>
      </c>
      <c r="BM123">
        <v>5.4</v>
      </c>
      <c r="BN123">
        <v>41.38</v>
      </c>
      <c r="BO123">
        <v>41.38</v>
      </c>
      <c r="BQ123" t="s">
        <v>70</v>
      </c>
      <c r="BR123" t="s">
        <v>71</v>
      </c>
      <c r="BS123" s="1">
        <v>43928</v>
      </c>
      <c r="BT123" s="2">
        <v>0.41666666666666669</v>
      </c>
      <c r="BU123" t="s">
        <v>358</v>
      </c>
      <c r="BV123" t="s">
        <v>80</v>
      </c>
      <c r="BY123">
        <v>1200</v>
      </c>
      <c r="CC123" t="s">
        <v>76</v>
      </c>
      <c r="CD123">
        <v>1459</v>
      </c>
      <c r="CE123" t="s">
        <v>73</v>
      </c>
      <c r="CF123" s="1">
        <v>43929</v>
      </c>
      <c r="CI123">
        <v>1</v>
      </c>
      <c r="CJ123">
        <v>1</v>
      </c>
      <c r="CK123">
        <v>22</v>
      </c>
      <c r="CL123" t="s">
        <v>74</v>
      </c>
    </row>
    <row r="124" spans="1:90" x14ac:dyDescent="0.25">
      <c r="A124" t="s">
        <v>61</v>
      </c>
      <c r="B124" t="s">
        <v>62</v>
      </c>
      <c r="C124" t="s">
        <v>63</v>
      </c>
      <c r="E124" t="str">
        <f>"FES1162744143"</f>
        <v>FES1162744143</v>
      </c>
      <c r="F124" s="1">
        <v>43927</v>
      </c>
      <c r="G124">
        <v>202010</v>
      </c>
      <c r="H124" t="s">
        <v>64</v>
      </c>
      <c r="I124" t="s">
        <v>65</v>
      </c>
      <c r="J124" t="s">
        <v>66</v>
      </c>
      <c r="K124" t="s">
        <v>67</v>
      </c>
      <c r="L124" t="s">
        <v>92</v>
      </c>
      <c r="M124" t="s">
        <v>93</v>
      </c>
      <c r="N124" t="s">
        <v>94</v>
      </c>
      <c r="O124" t="s">
        <v>69</v>
      </c>
      <c r="P124" t="str">
        <f>"2170733288                    "</f>
        <v xml:space="preserve">2170733288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4.1900000000000004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46.06</v>
      </c>
      <c r="BM124">
        <v>6.91</v>
      </c>
      <c r="BN124">
        <v>52.97</v>
      </c>
      <c r="BO124">
        <v>52.97</v>
      </c>
      <c r="BQ124" t="s">
        <v>70</v>
      </c>
      <c r="BR124" t="s">
        <v>71</v>
      </c>
      <c r="BS124" s="1">
        <v>43928</v>
      </c>
      <c r="BT124" s="2">
        <v>0.51527777777777783</v>
      </c>
      <c r="BU124" t="s">
        <v>189</v>
      </c>
      <c r="BV124" t="s">
        <v>74</v>
      </c>
      <c r="BW124" t="s">
        <v>96</v>
      </c>
      <c r="BX124" t="s">
        <v>97</v>
      </c>
      <c r="BY124">
        <v>1200</v>
      </c>
      <c r="CA124" t="s">
        <v>190</v>
      </c>
      <c r="CC124" t="s">
        <v>93</v>
      </c>
      <c r="CD124">
        <v>7441</v>
      </c>
      <c r="CE124" t="s">
        <v>73</v>
      </c>
      <c r="CF124" s="1">
        <v>43928</v>
      </c>
      <c r="CI124">
        <v>1</v>
      </c>
      <c r="CJ124">
        <v>1</v>
      </c>
      <c r="CK124">
        <v>21</v>
      </c>
      <c r="CL124" t="s">
        <v>74</v>
      </c>
    </row>
    <row r="125" spans="1:90" x14ac:dyDescent="0.25">
      <c r="A125" t="s">
        <v>61</v>
      </c>
      <c r="B125" t="s">
        <v>62</v>
      </c>
      <c r="C125" t="s">
        <v>63</v>
      </c>
      <c r="E125" t="str">
        <f>"FES1162744065"</f>
        <v>FES1162744065</v>
      </c>
      <c r="F125" s="1">
        <v>43924</v>
      </c>
      <c r="G125">
        <v>202010</v>
      </c>
      <c r="H125" t="s">
        <v>64</v>
      </c>
      <c r="I125" t="s">
        <v>65</v>
      </c>
      <c r="J125" t="s">
        <v>66</v>
      </c>
      <c r="K125" t="s">
        <v>67</v>
      </c>
      <c r="L125" t="s">
        <v>359</v>
      </c>
      <c r="M125" t="s">
        <v>360</v>
      </c>
      <c r="N125" t="s">
        <v>361</v>
      </c>
      <c r="O125" t="s">
        <v>69</v>
      </c>
      <c r="P125" t="str">
        <f>"2170734670                    "</f>
        <v xml:space="preserve">2170734670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9.42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4.3</v>
      </c>
      <c r="BJ125">
        <v>3.5</v>
      </c>
      <c r="BK125">
        <v>4.5</v>
      </c>
      <c r="BL125">
        <v>103.59</v>
      </c>
      <c r="BM125">
        <v>15.54</v>
      </c>
      <c r="BN125">
        <v>119.13</v>
      </c>
      <c r="BO125">
        <v>119.13</v>
      </c>
      <c r="BQ125" t="s">
        <v>70</v>
      </c>
      <c r="BR125" t="s">
        <v>71</v>
      </c>
      <c r="BS125" s="1">
        <v>43928</v>
      </c>
      <c r="BT125" s="2">
        <v>0.5</v>
      </c>
      <c r="BU125" t="s">
        <v>362</v>
      </c>
      <c r="BV125" t="s">
        <v>74</v>
      </c>
      <c r="BY125">
        <v>17524.189999999999</v>
      </c>
      <c r="CC125" t="s">
        <v>360</v>
      </c>
      <c r="CD125">
        <v>3310</v>
      </c>
      <c r="CE125" t="s">
        <v>73</v>
      </c>
      <c r="CF125" s="1">
        <v>43936</v>
      </c>
      <c r="CI125">
        <v>1</v>
      </c>
      <c r="CJ125">
        <v>2</v>
      </c>
      <c r="CK125">
        <v>21</v>
      </c>
      <c r="CL125" t="s">
        <v>74</v>
      </c>
    </row>
    <row r="126" spans="1:90" x14ac:dyDescent="0.25">
      <c r="A126" t="s">
        <v>61</v>
      </c>
      <c r="B126" t="s">
        <v>62</v>
      </c>
      <c r="C126" t="s">
        <v>63</v>
      </c>
      <c r="E126" t="str">
        <f>"FES1162743992"</f>
        <v>FES1162743992</v>
      </c>
      <c r="F126" s="1">
        <v>43923</v>
      </c>
      <c r="G126">
        <v>202010</v>
      </c>
      <c r="H126" t="s">
        <v>64</v>
      </c>
      <c r="I126" t="s">
        <v>65</v>
      </c>
      <c r="J126" t="s">
        <v>66</v>
      </c>
      <c r="K126" t="s">
        <v>67</v>
      </c>
      <c r="L126" t="s">
        <v>92</v>
      </c>
      <c r="M126" t="s">
        <v>93</v>
      </c>
      <c r="N126" t="s">
        <v>363</v>
      </c>
      <c r="O126" t="s">
        <v>69</v>
      </c>
      <c r="P126" t="str">
        <f>"2170735361                    "</f>
        <v xml:space="preserve">2170735361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4.1900000000000004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1.6</v>
      </c>
      <c r="BK126">
        <v>2</v>
      </c>
      <c r="BL126">
        <v>46.06</v>
      </c>
      <c r="BM126">
        <v>6.91</v>
      </c>
      <c r="BN126">
        <v>52.97</v>
      </c>
      <c r="BO126">
        <v>52.97</v>
      </c>
      <c r="BQ126" t="s">
        <v>78</v>
      </c>
      <c r="BR126" t="s">
        <v>71</v>
      </c>
      <c r="BS126" s="1">
        <v>43924</v>
      </c>
      <c r="BT126" s="2">
        <v>0.38680555555555557</v>
      </c>
      <c r="BU126" t="s">
        <v>364</v>
      </c>
      <c r="BV126" t="s">
        <v>80</v>
      </c>
      <c r="BY126">
        <v>7856.8</v>
      </c>
      <c r="BZ126" t="s">
        <v>23</v>
      </c>
      <c r="CA126" t="s">
        <v>143</v>
      </c>
      <c r="CC126" t="s">
        <v>93</v>
      </c>
      <c r="CD126">
        <v>7500</v>
      </c>
      <c r="CE126" t="s">
        <v>91</v>
      </c>
      <c r="CF126" s="1">
        <v>43924</v>
      </c>
      <c r="CI126">
        <v>1</v>
      </c>
      <c r="CJ126">
        <v>1</v>
      </c>
      <c r="CK126">
        <v>21</v>
      </c>
      <c r="CL126" t="s">
        <v>74</v>
      </c>
    </row>
    <row r="127" spans="1:90" x14ac:dyDescent="0.25">
      <c r="A127" t="s">
        <v>61</v>
      </c>
      <c r="B127" t="s">
        <v>62</v>
      </c>
      <c r="C127" t="s">
        <v>63</v>
      </c>
      <c r="E127" t="str">
        <f>"FES1162743980"</f>
        <v>FES1162743980</v>
      </c>
      <c r="F127" s="1">
        <v>43923</v>
      </c>
      <c r="G127">
        <v>202010</v>
      </c>
      <c r="H127" t="s">
        <v>64</v>
      </c>
      <c r="I127" t="s">
        <v>65</v>
      </c>
      <c r="J127" t="s">
        <v>66</v>
      </c>
      <c r="K127" t="s">
        <v>67</v>
      </c>
      <c r="L127" t="s">
        <v>92</v>
      </c>
      <c r="M127" t="s">
        <v>93</v>
      </c>
      <c r="N127" t="s">
        <v>365</v>
      </c>
      <c r="O127" t="s">
        <v>69</v>
      </c>
      <c r="P127" t="str">
        <f>"2170735333                    "</f>
        <v xml:space="preserve">2170735333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4.1900000000000004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0.6</v>
      </c>
      <c r="BJ127">
        <v>1</v>
      </c>
      <c r="BK127">
        <v>1</v>
      </c>
      <c r="BL127">
        <v>46.06</v>
      </c>
      <c r="BM127">
        <v>6.91</v>
      </c>
      <c r="BN127">
        <v>52.97</v>
      </c>
      <c r="BO127">
        <v>52.97</v>
      </c>
      <c r="BQ127" t="s">
        <v>78</v>
      </c>
      <c r="BR127" t="s">
        <v>71</v>
      </c>
      <c r="BS127" s="1">
        <v>43929</v>
      </c>
      <c r="BT127" s="2">
        <v>0.41180555555555554</v>
      </c>
      <c r="BU127" t="s">
        <v>366</v>
      </c>
      <c r="BV127" t="s">
        <v>74</v>
      </c>
      <c r="BW127" t="s">
        <v>96</v>
      </c>
      <c r="BX127" t="s">
        <v>97</v>
      </c>
      <c r="BY127">
        <v>5060.78</v>
      </c>
      <c r="CA127" t="s">
        <v>331</v>
      </c>
      <c r="CC127" t="s">
        <v>93</v>
      </c>
      <c r="CD127">
        <v>7460</v>
      </c>
      <c r="CE127" t="s">
        <v>91</v>
      </c>
      <c r="CF127" s="1">
        <v>43930</v>
      </c>
      <c r="CI127">
        <v>1</v>
      </c>
      <c r="CJ127">
        <v>4</v>
      </c>
      <c r="CK127">
        <v>21</v>
      </c>
      <c r="CL127" t="s">
        <v>74</v>
      </c>
    </row>
    <row r="128" spans="1:90" x14ac:dyDescent="0.25">
      <c r="A128" t="s">
        <v>61</v>
      </c>
      <c r="B128" t="s">
        <v>62</v>
      </c>
      <c r="C128" t="s">
        <v>63</v>
      </c>
      <c r="E128" t="str">
        <f>"FES1162744036"</f>
        <v>FES1162744036</v>
      </c>
      <c r="F128" s="1">
        <v>43923</v>
      </c>
      <c r="G128">
        <v>202010</v>
      </c>
      <c r="H128" t="s">
        <v>64</v>
      </c>
      <c r="I128" t="s">
        <v>65</v>
      </c>
      <c r="J128" t="s">
        <v>66</v>
      </c>
      <c r="K128" t="s">
        <v>67</v>
      </c>
      <c r="L128" t="s">
        <v>92</v>
      </c>
      <c r="M128" t="s">
        <v>93</v>
      </c>
      <c r="N128" t="s">
        <v>94</v>
      </c>
      <c r="O128" t="s">
        <v>69</v>
      </c>
      <c r="P128" t="str">
        <f>"2170735450                    "</f>
        <v xml:space="preserve">2170735450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61.72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16.2</v>
      </c>
      <c r="BJ128">
        <v>29.5</v>
      </c>
      <c r="BK128">
        <v>29.5</v>
      </c>
      <c r="BL128">
        <v>678.89</v>
      </c>
      <c r="BM128">
        <v>101.83</v>
      </c>
      <c r="BN128">
        <v>780.72</v>
      </c>
      <c r="BO128">
        <v>780.72</v>
      </c>
      <c r="BQ128" t="s">
        <v>70</v>
      </c>
      <c r="BR128" t="s">
        <v>71</v>
      </c>
      <c r="BS128" s="1">
        <v>43924</v>
      </c>
      <c r="BT128" s="2">
        <v>0.3888888888888889</v>
      </c>
      <c r="BU128" t="s">
        <v>367</v>
      </c>
      <c r="BV128" t="s">
        <v>80</v>
      </c>
      <c r="BY128">
        <v>147692.16</v>
      </c>
      <c r="BZ128" t="s">
        <v>23</v>
      </c>
      <c r="CA128" t="s">
        <v>98</v>
      </c>
      <c r="CC128" t="s">
        <v>93</v>
      </c>
      <c r="CD128">
        <v>7441</v>
      </c>
      <c r="CE128" t="s">
        <v>91</v>
      </c>
      <c r="CF128" s="1">
        <v>43924</v>
      </c>
      <c r="CI128">
        <v>1</v>
      </c>
      <c r="CJ128">
        <v>1</v>
      </c>
      <c r="CK128">
        <v>21</v>
      </c>
      <c r="CL128" t="s">
        <v>74</v>
      </c>
    </row>
    <row r="129" spans="1:90" x14ac:dyDescent="0.25">
      <c r="A129" t="s">
        <v>61</v>
      </c>
      <c r="B129" t="s">
        <v>62</v>
      </c>
      <c r="C129" t="s">
        <v>63</v>
      </c>
      <c r="E129" t="str">
        <f>"RFES1162743394"</f>
        <v>RFES1162743394</v>
      </c>
      <c r="F129" s="1">
        <v>43922</v>
      </c>
      <c r="G129">
        <v>202010</v>
      </c>
      <c r="H129" t="s">
        <v>368</v>
      </c>
      <c r="I129" t="s">
        <v>369</v>
      </c>
      <c r="J129" t="s">
        <v>370</v>
      </c>
      <c r="K129" t="s">
        <v>67</v>
      </c>
      <c r="L129" t="s">
        <v>64</v>
      </c>
      <c r="M129" t="s">
        <v>65</v>
      </c>
      <c r="N129" t="s">
        <v>66</v>
      </c>
      <c r="O129" t="s">
        <v>69</v>
      </c>
      <c r="P129" t="str">
        <f>"2170734830                    "</f>
        <v xml:space="preserve">2170734830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3.27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2</v>
      </c>
      <c r="BJ129">
        <v>1.5</v>
      </c>
      <c r="BK129">
        <v>2</v>
      </c>
      <c r="BL129">
        <v>35.979999999999997</v>
      </c>
      <c r="BM129">
        <v>5.4</v>
      </c>
      <c r="BN129">
        <v>41.38</v>
      </c>
      <c r="BO129">
        <v>41.38</v>
      </c>
      <c r="BQ129" t="s">
        <v>71</v>
      </c>
      <c r="BR129" t="s">
        <v>268</v>
      </c>
      <c r="BS129" s="1">
        <v>43923</v>
      </c>
      <c r="BT129" s="2">
        <v>0.35416666666666669</v>
      </c>
      <c r="BU129" t="s">
        <v>243</v>
      </c>
      <c r="BV129" t="s">
        <v>80</v>
      </c>
      <c r="BY129">
        <v>7517.76</v>
      </c>
      <c r="BZ129" t="s">
        <v>23</v>
      </c>
      <c r="CA129" t="s">
        <v>371</v>
      </c>
      <c r="CC129" t="s">
        <v>65</v>
      </c>
      <c r="CD129">
        <v>1601</v>
      </c>
      <c r="CE129" t="s">
        <v>91</v>
      </c>
      <c r="CF129" s="1">
        <v>43924</v>
      </c>
      <c r="CI129">
        <v>1</v>
      </c>
      <c r="CJ129">
        <v>1</v>
      </c>
      <c r="CK129">
        <v>22</v>
      </c>
      <c r="CL129" t="s">
        <v>74</v>
      </c>
    </row>
    <row r="130" spans="1:90" x14ac:dyDescent="0.25">
      <c r="A130" t="s">
        <v>61</v>
      </c>
      <c r="B130" t="s">
        <v>62</v>
      </c>
      <c r="C130" t="s">
        <v>63</v>
      </c>
      <c r="E130" t="str">
        <f>"FES1162744200"</f>
        <v>FES1162744200</v>
      </c>
      <c r="F130" s="1">
        <v>43927</v>
      </c>
      <c r="G130">
        <v>202010</v>
      </c>
      <c r="H130" t="s">
        <v>64</v>
      </c>
      <c r="I130" t="s">
        <v>65</v>
      </c>
      <c r="J130" t="s">
        <v>66</v>
      </c>
      <c r="K130" t="s">
        <v>67</v>
      </c>
      <c r="L130" t="s">
        <v>64</v>
      </c>
      <c r="M130" t="s">
        <v>65</v>
      </c>
      <c r="N130" t="s">
        <v>322</v>
      </c>
      <c r="O130" t="s">
        <v>69</v>
      </c>
      <c r="P130" t="str">
        <f>"2170733583                    "</f>
        <v xml:space="preserve">2170733583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8.3699999999999992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8.1</v>
      </c>
      <c r="BJ130">
        <v>3.5</v>
      </c>
      <c r="BK130">
        <v>8.5</v>
      </c>
      <c r="BL130">
        <v>92.04</v>
      </c>
      <c r="BM130">
        <v>13.81</v>
      </c>
      <c r="BN130">
        <v>105.85</v>
      </c>
      <c r="BO130">
        <v>105.85</v>
      </c>
      <c r="BQ130" t="s">
        <v>78</v>
      </c>
      <c r="BR130" t="s">
        <v>71</v>
      </c>
      <c r="BS130" s="1">
        <v>43928</v>
      </c>
      <c r="BT130" s="2">
        <v>0.2951388888888889</v>
      </c>
      <c r="BU130" t="s">
        <v>323</v>
      </c>
      <c r="BV130" t="s">
        <v>80</v>
      </c>
      <c r="BY130">
        <v>17449.2</v>
      </c>
      <c r="CA130" t="s">
        <v>193</v>
      </c>
      <c r="CC130" t="s">
        <v>65</v>
      </c>
      <c r="CD130">
        <v>1600</v>
      </c>
      <c r="CE130" t="s">
        <v>91</v>
      </c>
      <c r="CF130" s="1">
        <v>43929</v>
      </c>
      <c r="CI130">
        <v>1</v>
      </c>
      <c r="CJ130">
        <v>1</v>
      </c>
      <c r="CK130">
        <v>22</v>
      </c>
      <c r="CL130" t="s">
        <v>74</v>
      </c>
    </row>
    <row r="131" spans="1:90" x14ac:dyDescent="0.25">
      <c r="A131" t="s">
        <v>61</v>
      </c>
      <c r="B131" t="s">
        <v>62</v>
      </c>
      <c r="C131" t="s">
        <v>63</v>
      </c>
      <c r="E131" t="str">
        <f>"FES1162744331"</f>
        <v>FES1162744331</v>
      </c>
      <c r="F131" s="1">
        <v>43927</v>
      </c>
      <c r="G131">
        <v>202010</v>
      </c>
      <c r="H131" t="s">
        <v>64</v>
      </c>
      <c r="I131" t="s">
        <v>65</v>
      </c>
      <c r="J131" t="s">
        <v>66</v>
      </c>
      <c r="K131" t="s">
        <v>67</v>
      </c>
      <c r="L131" t="s">
        <v>168</v>
      </c>
      <c r="M131" t="s">
        <v>169</v>
      </c>
      <c r="N131" t="s">
        <v>372</v>
      </c>
      <c r="O131" t="s">
        <v>69</v>
      </c>
      <c r="P131" t="str">
        <f>"2170732567                    "</f>
        <v xml:space="preserve">2170732567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4.1900000000000004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46.06</v>
      </c>
      <c r="BM131">
        <v>6.91</v>
      </c>
      <c r="BN131">
        <v>52.97</v>
      </c>
      <c r="BO131">
        <v>52.97</v>
      </c>
      <c r="BQ131" t="s">
        <v>78</v>
      </c>
      <c r="BR131" t="s">
        <v>71</v>
      </c>
      <c r="BS131" s="1">
        <v>43929</v>
      </c>
      <c r="BT131" s="2">
        <v>0.41666666666666669</v>
      </c>
      <c r="BU131" t="s">
        <v>373</v>
      </c>
      <c r="BV131" t="s">
        <v>74</v>
      </c>
      <c r="BW131" t="s">
        <v>124</v>
      </c>
      <c r="BX131" t="s">
        <v>125</v>
      </c>
      <c r="BY131">
        <v>1200</v>
      </c>
      <c r="CC131" t="s">
        <v>169</v>
      </c>
      <c r="CD131">
        <v>4026</v>
      </c>
      <c r="CE131" t="s">
        <v>73</v>
      </c>
      <c r="CF131" s="1">
        <v>43935</v>
      </c>
      <c r="CI131">
        <v>1</v>
      </c>
      <c r="CJ131">
        <v>2</v>
      </c>
      <c r="CK131">
        <v>21</v>
      </c>
      <c r="CL131" t="s">
        <v>74</v>
      </c>
    </row>
    <row r="132" spans="1:90" x14ac:dyDescent="0.25">
      <c r="A132" t="s">
        <v>61</v>
      </c>
      <c r="B132" t="s">
        <v>62</v>
      </c>
      <c r="C132" t="s">
        <v>63</v>
      </c>
      <c r="E132" t="str">
        <f>"FES1162744685"</f>
        <v>FES1162744685</v>
      </c>
      <c r="F132" s="1">
        <v>43935</v>
      </c>
      <c r="G132">
        <v>202010</v>
      </c>
      <c r="H132" t="s">
        <v>64</v>
      </c>
      <c r="I132" t="s">
        <v>65</v>
      </c>
      <c r="J132" t="s">
        <v>66</v>
      </c>
      <c r="K132" t="s">
        <v>67</v>
      </c>
      <c r="L132" t="s">
        <v>374</v>
      </c>
      <c r="M132" t="s">
        <v>375</v>
      </c>
      <c r="N132" t="s">
        <v>376</v>
      </c>
      <c r="O132" t="s">
        <v>69</v>
      </c>
      <c r="P132" t="str">
        <f>"2170732984                    "</f>
        <v xml:space="preserve">2170732984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5.89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64.77</v>
      </c>
      <c r="BM132">
        <v>9.7200000000000006</v>
      </c>
      <c r="BN132">
        <v>74.489999999999995</v>
      </c>
      <c r="BO132">
        <v>74.489999999999995</v>
      </c>
      <c r="BQ132" t="s">
        <v>70</v>
      </c>
      <c r="BR132" t="s">
        <v>71</v>
      </c>
      <c r="BS132" s="1">
        <v>43936</v>
      </c>
      <c r="BT132" s="2">
        <v>0.4375</v>
      </c>
      <c r="BU132" t="s">
        <v>377</v>
      </c>
      <c r="BV132" t="s">
        <v>80</v>
      </c>
      <c r="BY132">
        <v>1200</v>
      </c>
      <c r="CC132" t="s">
        <v>375</v>
      </c>
      <c r="CD132">
        <v>2210</v>
      </c>
      <c r="CE132" t="s">
        <v>73</v>
      </c>
      <c r="CF132" s="1">
        <v>43943</v>
      </c>
      <c r="CI132">
        <v>1</v>
      </c>
      <c r="CJ132">
        <v>1</v>
      </c>
      <c r="CK132">
        <v>24</v>
      </c>
      <c r="CL132" t="s">
        <v>74</v>
      </c>
    </row>
    <row r="133" spans="1:90" x14ac:dyDescent="0.25">
      <c r="A133" t="s">
        <v>61</v>
      </c>
      <c r="B133" t="s">
        <v>62</v>
      </c>
      <c r="C133" t="s">
        <v>63</v>
      </c>
      <c r="E133" t="str">
        <f>"FES1162744075"</f>
        <v>FES1162744075</v>
      </c>
      <c r="F133" s="1">
        <v>43924</v>
      </c>
      <c r="G133">
        <v>202010</v>
      </c>
      <c r="H133" t="s">
        <v>64</v>
      </c>
      <c r="I133" t="s">
        <v>65</v>
      </c>
      <c r="J133" t="s">
        <v>66</v>
      </c>
      <c r="K133" t="s">
        <v>67</v>
      </c>
      <c r="L133" t="s">
        <v>151</v>
      </c>
      <c r="M133" t="s">
        <v>152</v>
      </c>
      <c r="N133" t="s">
        <v>280</v>
      </c>
      <c r="O133" t="s">
        <v>230</v>
      </c>
      <c r="P133" t="str">
        <f>"2170735314                    "</f>
        <v xml:space="preserve">2170735314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8.5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4.0999999999999996</v>
      </c>
      <c r="BJ133">
        <v>2.5</v>
      </c>
      <c r="BK133">
        <v>5</v>
      </c>
      <c r="BL133">
        <v>98.54</v>
      </c>
      <c r="BM133">
        <v>14.78</v>
      </c>
      <c r="BN133">
        <v>113.32</v>
      </c>
      <c r="BO133">
        <v>113.32</v>
      </c>
      <c r="BP133" t="s">
        <v>378</v>
      </c>
      <c r="BQ133" t="s">
        <v>78</v>
      </c>
      <c r="BR133" t="s">
        <v>71</v>
      </c>
      <c r="BS133" s="1">
        <v>43928</v>
      </c>
      <c r="BT133" s="2">
        <v>0.5</v>
      </c>
      <c r="BU133" t="s">
        <v>281</v>
      </c>
      <c r="BV133" t="s">
        <v>74</v>
      </c>
      <c r="BY133">
        <v>12410.24</v>
      </c>
      <c r="CC133" t="s">
        <v>152</v>
      </c>
      <c r="CD133">
        <v>3699</v>
      </c>
      <c r="CE133" t="s">
        <v>91</v>
      </c>
      <c r="CF133" s="1">
        <v>43936</v>
      </c>
      <c r="CI133">
        <v>1</v>
      </c>
      <c r="CJ133">
        <v>2</v>
      </c>
      <c r="CK133" t="s">
        <v>379</v>
      </c>
      <c r="CL133" t="s">
        <v>74</v>
      </c>
    </row>
    <row r="134" spans="1:90" x14ac:dyDescent="0.25">
      <c r="A134" t="s">
        <v>61</v>
      </c>
      <c r="B134" t="s">
        <v>62</v>
      </c>
      <c r="C134" t="s">
        <v>63</v>
      </c>
      <c r="E134" t="str">
        <f>"FES1162744112"</f>
        <v>FES1162744112</v>
      </c>
      <c r="F134" s="1">
        <v>43924</v>
      </c>
      <c r="G134">
        <v>202010</v>
      </c>
      <c r="H134" t="s">
        <v>64</v>
      </c>
      <c r="I134" t="s">
        <v>65</v>
      </c>
      <c r="J134" t="s">
        <v>66</v>
      </c>
      <c r="K134" t="s">
        <v>67</v>
      </c>
      <c r="L134" t="s">
        <v>87</v>
      </c>
      <c r="M134" t="s">
        <v>88</v>
      </c>
      <c r="N134" t="s">
        <v>89</v>
      </c>
      <c r="O134" t="s">
        <v>230</v>
      </c>
      <c r="P134" t="str">
        <f>"2170735492                    "</f>
        <v xml:space="preserve">2170735492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11.78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2</v>
      </c>
      <c r="BI134">
        <v>6.6</v>
      </c>
      <c r="BJ134">
        <v>2.7</v>
      </c>
      <c r="BK134">
        <v>7</v>
      </c>
      <c r="BL134">
        <v>134.54</v>
      </c>
      <c r="BM134">
        <v>20.18</v>
      </c>
      <c r="BN134">
        <v>154.72</v>
      </c>
      <c r="BO134">
        <v>154.72</v>
      </c>
      <c r="BP134" t="s">
        <v>378</v>
      </c>
      <c r="BQ134" t="s">
        <v>70</v>
      </c>
      <c r="BR134" t="s">
        <v>71</v>
      </c>
      <c r="BS134" s="1">
        <v>43927</v>
      </c>
      <c r="BT134" s="2">
        <v>0.41666666666666669</v>
      </c>
      <c r="BU134" t="s">
        <v>380</v>
      </c>
      <c r="BV134" t="s">
        <v>80</v>
      </c>
      <c r="BY134">
        <v>13679.27</v>
      </c>
      <c r="CC134" t="s">
        <v>88</v>
      </c>
      <c r="CD134">
        <v>5099</v>
      </c>
      <c r="CE134" t="s">
        <v>381</v>
      </c>
      <c r="CF134" s="1">
        <v>43929</v>
      </c>
      <c r="CI134">
        <v>4</v>
      </c>
      <c r="CJ134">
        <v>1</v>
      </c>
      <c r="CK134" t="s">
        <v>382</v>
      </c>
      <c r="CL134" t="s">
        <v>74</v>
      </c>
    </row>
    <row r="135" spans="1:90" x14ac:dyDescent="0.25">
      <c r="A135" t="s">
        <v>61</v>
      </c>
      <c r="B135" t="s">
        <v>62</v>
      </c>
      <c r="C135" t="s">
        <v>63</v>
      </c>
      <c r="E135" t="str">
        <f>"FES1162744067"</f>
        <v>FES1162744067</v>
      </c>
      <c r="F135" s="1">
        <v>43924</v>
      </c>
      <c r="G135">
        <v>202010</v>
      </c>
      <c r="H135" t="s">
        <v>64</v>
      </c>
      <c r="I135" t="s">
        <v>65</v>
      </c>
      <c r="J135" t="s">
        <v>66</v>
      </c>
      <c r="K135" t="s">
        <v>67</v>
      </c>
      <c r="L135" t="s">
        <v>151</v>
      </c>
      <c r="M135" t="s">
        <v>152</v>
      </c>
      <c r="N135" t="s">
        <v>153</v>
      </c>
      <c r="O135" t="s">
        <v>230</v>
      </c>
      <c r="P135" t="str">
        <f>"2170734901                    "</f>
        <v xml:space="preserve">2170734901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8.5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8.5</v>
      </c>
      <c r="BJ135">
        <v>13</v>
      </c>
      <c r="BK135">
        <v>13</v>
      </c>
      <c r="BL135">
        <v>98.54</v>
      </c>
      <c r="BM135">
        <v>14.78</v>
      </c>
      <c r="BN135">
        <v>113.32</v>
      </c>
      <c r="BO135">
        <v>113.32</v>
      </c>
      <c r="BP135" t="s">
        <v>378</v>
      </c>
      <c r="BQ135" t="s">
        <v>78</v>
      </c>
      <c r="BR135" t="s">
        <v>71</v>
      </c>
      <c r="BS135" s="1">
        <v>43928</v>
      </c>
      <c r="BT135" s="2">
        <v>0.5</v>
      </c>
      <c r="BU135" t="s">
        <v>281</v>
      </c>
      <c r="BV135" t="s">
        <v>74</v>
      </c>
      <c r="BY135">
        <v>65023.27</v>
      </c>
      <c r="CC135" t="s">
        <v>152</v>
      </c>
      <c r="CD135">
        <v>3699</v>
      </c>
      <c r="CE135" t="s">
        <v>91</v>
      </c>
      <c r="CF135" s="1">
        <v>43936</v>
      </c>
      <c r="CI135">
        <v>1</v>
      </c>
      <c r="CJ135">
        <v>2</v>
      </c>
      <c r="CK135" t="s">
        <v>379</v>
      </c>
      <c r="CL135" t="s">
        <v>74</v>
      </c>
    </row>
    <row r="136" spans="1:90" x14ac:dyDescent="0.25">
      <c r="A136" t="s">
        <v>61</v>
      </c>
      <c r="B136" t="s">
        <v>62</v>
      </c>
      <c r="C136" t="s">
        <v>63</v>
      </c>
      <c r="E136" t="str">
        <f>"FES1162745278"</f>
        <v>FES1162745278</v>
      </c>
      <c r="F136" s="1">
        <v>43944</v>
      </c>
      <c r="G136">
        <v>202010</v>
      </c>
      <c r="H136" t="s">
        <v>64</v>
      </c>
      <c r="I136" t="s">
        <v>65</v>
      </c>
      <c r="J136" t="s">
        <v>66</v>
      </c>
      <c r="K136" t="s">
        <v>67</v>
      </c>
      <c r="L136" t="s">
        <v>151</v>
      </c>
      <c r="M136" t="s">
        <v>152</v>
      </c>
      <c r="N136" t="s">
        <v>383</v>
      </c>
      <c r="O136" t="s">
        <v>69</v>
      </c>
      <c r="P136" t="str">
        <f>"2170735836                    "</f>
        <v xml:space="preserve">2170735836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4.1900000000000004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0.2</v>
      </c>
      <c r="BJ136">
        <v>1.5</v>
      </c>
      <c r="BK136">
        <v>1.5</v>
      </c>
      <c r="BL136">
        <v>46.06</v>
      </c>
      <c r="BM136">
        <v>6.91</v>
      </c>
      <c r="BN136">
        <v>52.97</v>
      </c>
      <c r="BO136">
        <v>52.97</v>
      </c>
      <c r="BQ136" t="s">
        <v>268</v>
      </c>
      <c r="BR136" t="s">
        <v>71</v>
      </c>
      <c r="BS136" s="1">
        <v>43949</v>
      </c>
      <c r="BT136" s="2">
        <v>0.5</v>
      </c>
      <c r="BU136" t="s">
        <v>384</v>
      </c>
      <c r="BV136" t="s">
        <v>74</v>
      </c>
      <c r="BY136">
        <v>7696.96</v>
      </c>
      <c r="CC136" t="s">
        <v>152</v>
      </c>
      <c r="CD136">
        <v>3201</v>
      </c>
      <c r="CE136" t="s">
        <v>73</v>
      </c>
      <c r="CF136" s="1">
        <v>43951</v>
      </c>
      <c r="CI136">
        <v>1</v>
      </c>
      <c r="CJ136">
        <v>3</v>
      </c>
      <c r="CK136">
        <v>21</v>
      </c>
      <c r="CL136" t="s">
        <v>74</v>
      </c>
    </row>
    <row r="137" spans="1:90" x14ac:dyDescent="0.25">
      <c r="A137" t="s">
        <v>61</v>
      </c>
      <c r="B137" t="s">
        <v>62</v>
      </c>
      <c r="C137" t="s">
        <v>63</v>
      </c>
      <c r="E137" t="str">
        <f>"FES1162744165"</f>
        <v>FES1162744165</v>
      </c>
      <c r="F137" s="1">
        <v>43927</v>
      </c>
      <c r="G137">
        <v>202010</v>
      </c>
      <c r="H137" t="s">
        <v>64</v>
      </c>
      <c r="I137" t="s">
        <v>65</v>
      </c>
      <c r="J137" t="s">
        <v>66</v>
      </c>
      <c r="K137" t="s">
        <v>67</v>
      </c>
      <c r="L137" t="s">
        <v>177</v>
      </c>
      <c r="M137" t="s">
        <v>178</v>
      </c>
      <c r="N137" t="s">
        <v>179</v>
      </c>
      <c r="O137" t="s">
        <v>69</v>
      </c>
      <c r="P137" t="str">
        <f>"2170735409                    "</f>
        <v xml:space="preserve">2170735409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4.1900000000000004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46.06</v>
      </c>
      <c r="BM137">
        <v>6.91</v>
      </c>
      <c r="BN137">
        <v>52.97</v>
      </c>
      <c r="BO137">
        <v>52.97</v>
      </c>
      <c r="BQ137" t="s">
        <v>70</v>
      </c>
      <c r="BR137" t="s">
        <v>71</v>
      </c>
      <c r="BS137" s="1">
        <v>43929</v>
      </c>
      <c r="BT137" s="2">
        <v>0.41666666666666669</v>
      </c>
      <c r="BU137" t="s">
        <v>180</v>
      </c>
      <c r="BV137" t="s">
        <v>74</v>
      </c>
      <c r="BW137" t="s">
        <v>124</v>
      </c>
      <c r="BX137" t="s">
        <v>125</v>
      </c>
      <c r="BY137">
        <v>1200</v>
      </c>
      <c r="CC137" t="s">
        <v>178</v>
      </c>
      <c r="CD137">
        <v>4302</v>
      </c>
      <c r="CE137" t="s">
        <v>73</v>
      </c>
      <c r="CF137" s="1">
        <v>43935</v>
      </c>
      <c r="CI137">
        <v>1</v>
      </c>
      <c r="CJ137">
        <v>2</v>
      </c>
      <c r="CK137">
        <v>21</v>
      </c>
      <c r="CL137" t="s">
        <v>74</v>
      </c>
    </row>
    <row r="138" spans="1:90" x14ac:dyDescent="0.25">
      <c r="A138" t="s">
        <v>61</v>
      </c>
      <c r="B138" t="s">
        <v>62</v>
      </c>
      <c r="C138" t="s">
        <v>63</v>
      </c>
      <c r="E138" t="str">
        <f>"FES1162744277"</f>
        <v>FES1162744277</v>
      </c>
      <c r="F138" s="1">
        <v>43927</v>
      </c>
      <c r="G138">
        <v>202010</v>
      </c>
      <c r="H138" t="s">
        <v>64</v>
      </c>
      <c r="I138" t="s">
        <v>65</v>
      </c>
      <c r="J138" t="s">
        <v>66</v>
      </c>
      <c r="K138" t="s">
        <v>67</v>
      </c>
      <c r="L138" t="s">
        <v>104</v>
      </c>
      <c r="M138" t="s">
        <v>105</v>
      </c>
      <c r="N138" t="s">
        <v>251</v>
      </c>
      <c r="O138" t="s">
        <v>69</v>
      </c>
      <c r="P138" t="str">
        <f>"2170735606                    "</f>
        <v xml:space="preserve">2170735606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5.89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1.6</v>
      </c>
      <c r="BJ138">
        <v>1.3</v>
      </c>
      <c r="BK138">
        <v>2</v>
      </c>
      <c r="BL138">
        <v>64.77</v>
      </c>
      <c r="BM138">
        <v>9.7200000000000006</v>
      </c>
      <c r="BN138">
        <v>74.489999999999995</v>
      </c>
      <c r="BO138">
        <v>74.489999999999995</v>
      </c>
      <c r="BQ138" t="s">
        <v>70</v>
      </c>
      <c r="BR138" t="s">
        <v>71</v>
      </c>
      <c r="BS138" s="1">
        <v>43928</v>
      </c>
      <c r="BT138" s="2">
        <v>0.3888888888888889</v>
      </c>
      <c r="BU138" t="s">
        <v>356</v>
      </c>
      <c r="BV138" t="s">
        <v>80</v>
      </c>
      <c r="BY138">
        <v>6308.96</v>
      </c>
      <c r="CC138" t="s">
        <v>105</v>
      </c>
      <c r="CD138">
        <v>1759</v>
      </c>
      <c r="CE138" t="s">
        <v>91</v>
      </c>
      <c r="CF138" s="1">
        <v>43929</v>
      </c>
      <c r="CI138">
        <v>1</v>
      </c>
      <c r="CJ138">
        <v>1</v>
      </c>
      <c r="CK138">
        <v>24</v>
      </c>
      <c r="CL138" t="s">
        <v>74</v>
      </c>
    </row>
    <row r="139" spans="1:90" x14ac:dyDescent="0.25">
      <c r="A139" t="s">
        <v>61</v>
      </c>
      <c r="B139" t="s">
        <v>62</v>
      </c>
      <c r="C139" t="s">
        <v>63</v>
      </c>
      <c r="E139" t="str">
        <f>"FES1162744148"</f>
        <v>FES1162744148</v>
      </c>
      <c r="F139" s="1">
        <v>43927</v>
      </c>
      <c r="G139">
        <v>202010</v>
      </c>
      <c r="H139" t="s">
        <v>64</v>
      </c>
      <c r="I139" t="s">
        <v>65</v>
      </c>
      <c r="J139" t="s">
        <v>66</v>
      </c>
      <c r="K139" t="s">
        <v>67</v>
      </c>
      <c r="L139" t="s">
        <v>111</v>
      </c>
      <c r="M139" t="s">
        <v>112</v>
      </c>
      <c r="N139" t="s">
        <v>113</v>
      </c>
      <c r="O139" t="s">
        <v>69</v>
      </c>
      <c r="P139" t="str">
        <f>"2170733531                    "</f>
        <v xml:space="preserve">2170733531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3.27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35.979999999999997</v>
      </c>
      <c r="BM139">
        <v>5.4</v>
      </c>
      <c r="BN139">
        <v>41.38</v>
      </c>
      <c r="BO139">
        <v>41.38</v>
      </c>
      <c r="BQ139" t="s">
        <v>70</v>
      </c>
      <c r="BR139" t="s">
        <v>71</v>
      </c>
      <c r="BS139" s="1">
        <v>43928</v>
      </c>
      <c r="BT139" s="2">
        <v>0.41666666666666669</v>
      </c>
      <c r="BU139" t="s">
        <v>115</v>
      </c>
      <c r="BV139" t="s">
        <v>80</v>
      </c>
      <c r="BY139">
        <v>1200</v>
      </c>
      <c r="CC139" t="s">
        <v>112</v>
      </c>
      <c r="CD139">
        <v>1684</v>
      </c>
      <c r="CE139" t="s">
        <v>73</v>
      </c>
      <c r="CF139" s="1">
        <v>43929</v>
      </c>
      <c r="CI139">
        <v>1</v>
      </c>
      <c r="CJ139">
        <v>1</v>
      </c>
      <c r="CK139">
        <v>22</v>
      </c>
      <c r="CL139" t="s">
        <v>74</v>
      </c>
    </row>
    <row r="140" spans="1:90" x14ac:dyDescent="0.25">
      <c r="A140" t="s">
        <v>61</v>
      </c>
      <c r="B140" t="s">
        <v>62</v>
      </c>
      <c r="C140" t="s">
        <v>63</v>
      </c>
      <c r="E140" t="str">
        <f>"FES1162744023"</f>
        <v>FES1162744023</v>
      </c>
      <c r="F140" s="1">
        <v>43923</v>
      </c>
      <c r="G140">
        <v>202010</v>
      </c>
      <c r="H140" t="s">
        <v>64</v>
      </c>
      <c r="I140" t="s">
        <v>65</v>
      </c>
      <c r="J140" t="s">
        <v>66</v>
      </c>
      <c r="K140" t="s">
        <v>67</v>
      </c>
      <c r="L140" t="s">
        <v>177</v>
      </c>
      <c r="M140" t="s">
        <v>178</v>
      </c>
      <c r="N140" t="s">
        <v>179</v>
      </c>
      <c r="O140" t="s">
        <v>69</v>
      </c>
      <c r="P140" t="str">
        <f>"2170735409                    "</f>
        <v xml:space="preserve">2170735409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10.46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5</v>
      </c>
      <c r="BJ140">
        <v>3.2</v>
      </c>
      <c r="BK140">
        <v>5</v>
      </c>
      <c r="BL140">
        <v>115.09</v>
      </c>
      <c r="BM140">
        <v>17.260000000000002</v>
      </c>
      <c r="BN140">
        <v>132.35</v>
      </c>
      <c r="BO140">
        <v>132.35</v>
      </c>
      <c r="BQ140" t="s">
        <v>70</v>
      </c>
      <c r="BR140" t="s">
        <v>71</v>
      </c>
      <c r="BS140" s="1">
        <v>43927</v>
      </c>
      <c r="BT140" s="2">
        <v>0.4375</v>
      </c>
      <c r="BU140" t="s">
        <v>325</v>
      </c>
      <c r="BV140" t="s">
        <v>74</v>
      </c>
      <c r="BW140" t="s">
        <v>85</v>
      </c>
      <c r="BX140" t="s">
        <v>128</v>
      </c>
      <c r="BY140">
        <v>15795.46</v>
      </c>
      <c r="BZ140" t="s">
        <v>23</v>
      </c>
      <c r="CC140" t="s">
        <v>178</v>
      </c>
      <c r="CD140">
        <v>4302</v>
      </c>
      <c r="CE140" t="s">
        <v>91</v>
      </c>
      <c r="CF140" s="1">
        <v>43929</v>
      </c>
      <c r="CI140">
        <v>1</v>
      </c>
      <c r="CJ140">
        <v>2</v>
      </c>
      <c r="CK140">
        <v>21</v>
      </c>
      <c r="CL140" t="s">
        <v>74</v>
      </c>
    </row>
    <row r="141" spans="1:90" x14ac:dyDescent="0.25">
      <c r="A141" t="s">
        <v>61</v>
      </c>
      <c r="B141" t="s">
        <v>62</v>
      </c>
      <c r="C141" t="s">
        <v>63</v>
      </c>
      <c r="E141" t="str">
        <f>"FES1162744160"</f>
        <v>FES1162744160</v>
      </c>
      <c r="F141" s="1">
        <v>43927</v>
      </c>
      <c r="G141">
        <v>202010</v>
      </c>
      <c r="H141" t="s">
        <v>64</v>
      </c>
      <c r="I141" t="s">
        <v>65</v>
      </c>
      <c r="J141" t="s">
        <v>66</v>
      </c>
      <c r="K141" t="s">
        <v>67</v>
      </c>
      <c r="L141" t="s">
        <v>92</v>
      </c>
      <c r="M141" t="s">
        <v>93</v>
      </c>
      <c r="N141" t="s">
        <v>94</v>
      </c>
      <c r="O141" t="s">
        <v>69</v>
      </c>
      <c r="P141" t="str">
        <f>"2170734890                    "</f>
        <v xml:space="preserve">2170734890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4.1900000000000004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1.1000000000000001</v>
      </c>
      <c r="BJ141">
        <v>0.9</v>
      </c>
      <c r="BK141">
        <v>1.5</v>
      </c>
      <c r="BL141">
        <v>46.06</v>
      </c>
      <c r="BM141">
        <v>6.91</v>
      </c>
      <c r="BN141">
        <v>52.97</v>
      </c>
      <c r="BO141">
        <v>52.97</v>
      </c>
      <c r="BQ141" t="s">
        <v>70</v>
      </c>
      <c r="BR141" t="s">
        <v>71</v>
      </c>
      <c r="BS141" s="1">
        <v>43928</v>
      </c>
      <c r="BT141" s="2">
        <v>0.51527777777777783</v>
      </c>
      <c r="BU141" t="s">
        <v>189</v>
      </c>
      <c r="BV141" t="s">
        <v>74</v>
      </c>
      <c r="BW141" t="s">
        <v>96</v>
      </c>
      <c r="BX141" t="s">
        <v>97</v>
      </c>
      <c r="BY141">
        <v>4387.8900000000003</v>
      </c>
      <c r="CA141" t="s">
        <v>190</v>
      </c>
      <c r="CC141" t="s">
        <v>93</v>
      </c>
      <c r="CD141">
        <v>7441</v>
      </c>
      <c r="CE141" t="s">
        <v>91</v>
      </c>
      <c r="CF141" s="1">
        <v>43928</v>
      </c>
      <c r="CI141">
        <v>1</v>
      </c>
      <c r="CJ141">
        <v>1</v>
      </c>
      <c r="CK141">
        <v>21</v>
      </c>
      <c r="CL141" t="s">
        <v>74</v>
      </c>
    </row>
    <row r="142" spans="1:90" x14ac:dyDescent="0.25">
      <c r="A142" t="s">
        <v>61</v>
      </c>
      <c r="B142" t="s">
        <v>62</v>
      </c>
      <c r="C142" t="s">
        <v>63</v>
      </c>
      <c r="E142" t="str">
        <f>"FES1162744019"</f>
        <v>FES1162744019</v>
      </c>
      <c r="F142" s="1">
        <v>43927</v>
      </c>
      <c r="G142">
        <v>202010</v>
      </c>
      <c r="H142" t="s">
        <v>64</v>
      </c>
      <c r="I142" t="s">
        <v>65</v>
      </c>
      <c r="J142" t="s">
        <v>66</v>
      </c>
      <c r="K142" t="s">
        <v>67</v>
      </c>
      <c r="L142" t="s">
        <v>385</v>
      </c>
      <c r="M142" t="s">
        <v>386</v>
      </c>
      <c r="N142" t="s">
        <v>387</v>
      </c>
      <c r="O142" t="s">
        <v>69</v>
      </c>
      <c r="P142" t="str">
        <f>"2170734960                    "</f>
        <v xml:space="preserve">2170734960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5.89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</v>
      </c>
      <c r="BJ142">
        <v>1</v>
      </c>
      <c r="BK142">
        <v>1</v>
      </c>
      <c r="BL142">
        <v>64.77</v>
      </c>
      <c r="BM142">
        <v>9.7200000000000006</v>
      </c>
      <c r="BN142">
        <v>74.489999999999995</v>
      </c>
      <c r="BO142">
        <v>74.489999999999995</v>
      </c>
      <c r="BQ142" t="s">
        <v>109</v>
      </c>
      <c r="BR142" t="s">
        <v>71</v>
      </c>
      <c r="BS142" s="1">
        <v>43928</v>
      </c>
      <c r="BT142" s="2">
        <v>0.4375</v>
      </c>
      <c r="BU142" t="s">
        <v>224</v>
      </c>
      <c r="BV142" t="s">
        <v>80</v>
      </c>
      <c r="BY142">
        <v>4959</v>
      </c>
      <c r="CC142" t="s">
        <v>386</v>
      </c>
      <c r="CD142">
        <v>1871</v>
      </c>
      <c r="CE142" t="s">
        <v>91</v>
      </c>
      <c r="CF142" s="1">
        <v>43929</v>
      </c>
      <c r="CI142">
        <v>1</v>
      </c>
      <c r="CJ142">
        <v>1</v>
      </c>
      <c r="CK142">
        <v>24</v>
      </c>
      <c r="CL142" t="s">
        <v>74</v>
      </c>
    </row>
    <row r="143" spans="1:90" x14ac:dyDescent="0.25">
      <c r="A143" t="s">
        <v>61</v>
      </c>
      <c r="B143" t="s">
        <v>62</v>
      </c>
      <c r="C143" t="s">
        <v>63</v>
      </c>
      <c r="E143" t="str">
        <f>"FES1162744114"</f>
        <v>FES1162744114</v>
      </c>
      <c r="F143" s="1">
        <v>43924</v>
      </c>
      <c r="G143">
        <v>202010</v>
      </c>
      <c r="H143" t="s">
        <v>64</v>
      </c>
      <c r="I143" t="s">
        <v>65</v>
      </c>
      <c r="J143" t="s">
        <v>66</v>
      </c>
      <c r="K143" t="s">
        <v>67</v>
      </c>
      <c r="L143" t="s">
        <v>238</v>
      </c>
      <c r="M143" t="s">
        <v>239</v>
      </c>
      <c r="N143" t="s">
        <v>388</v>
      </c>
      <c r="O143" t="s">
        <v>69</v>
      </c>
      <c r="P143" t="str">
        <f>"2170735564                    "</f>
        <v xml:space="preserve">2170735564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16.739999999999998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5</v>
      </c>
      <c r="BJ143">
        <v>7.9</v>
      </c>
      <c r="BK143">
        <v>8</v>
      </c>
      <c r="BL143">
        <v>184.13</v>
      </c>
      <c r="BM143">
        <v>27.62</v>
      </c>
      <c r="BN143">
        <v>211.75</v>
      </c>
      <c r="BO143">
        <v>211.75</v>
      </c>
      <c r="BQ143" t="s">
        <v>78</v>
      </c>
      <c r="BR143" t="s">
        <v>71</v>
      </c>
      <c r="BS143" s="1">
        <v>43927</v>
      </c>
      <c r="BT143" s="2">
        <v>0.41666666666666669</v>
      </c>
      <c r="BU143" t="s">
        <v>389</v>
      </c>
      <c r="BV143" t="s">
        <v>80</v>
      </c>
      <c r="BY143">
        <v>39569.4</v>
      </c>
      <c r="BZ143" t="s">
        <v>23</v>
      </c>
      <c r="CA143" t="s">
        <v>297</v>
      </c>
      <c r="CC143" t="s">
        <v>239</v>
      </c>
      <c r="CD143">
        <v>5201</v>
      </c>
      <c r="CE143" t="s">
        <v>91</v>
      </c>
      <c r="CF143" s="1">
        <v>43927</v>
      </c>
      <c r="CI143">
        <v>1</v>
      </c>
      <c r="CJ143">
        <v>1</v>
      </c>
      <c r="CK143">
        <v>21</v>
      </c>
      <c r="CL143" t="s">
        <v>74</v>
      </c>
    </row>
    <row r="144" spans="1:90" x14ac:dyDescent="0.25">
      <c r="A144" t="s">
        <v>61</v>
      </c>
      <c r="B144" t="s">
        <v>62</v>
      </c>
      <c r="C144" t="s">
        <v>63</v>
      </c>
      <c r="E144" t="str">
        <f>"FES1162744049"</f>
        <v>FES1162744049</v>
      </c>
      <c r="F144" s="1">
        <v>43927</v>
      </c>
      <c r="G144">
        <v>202010</v>
      </c>
      <c r="H144" t="s">
        <v>64</v>
      </c>
      <c r="I144" t="s">
        <v>65</v>
      </c>
      <c r="J144" t="s">
        <v>66</v>
      </c>
      <c r="K144" t="s">
        <v>67</v>
      </c>
      <c r="L144" t="s">
        <v>368</v>
      </c>
      <c r="M144" t="s">
        <v>369</v>
      </c>
      <c r="N144" t="s">
        <v>390</v>
      </c>
      <c r="O144" t="s">
        <v>69</v>
      </c>
      <c r="P144" t="str">
        <f>"2170735486                    "</f>
        <v xml:space="preserve">2170735486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3.27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1.6</v>
      </c>
      <c r="BJ144">
        <v>0.6</v>
      </c>
      <c r="BK144">
        <v>2</v>
      </c>
      <c r="BL144">
        <v>35.979999999999997</v>
      </c>
      <c r="BM144">
        <v>5.4</v>
      </c>
      <c r="BN144">
        <v>41.38</v>
      </c>
      <c r="BO144">
        <v>41.38</v>
      </c>
      <c r="BQ144" t="s">
        <v>70</v>
      </c>
      <c r="BR144" t="s">
        <v>71</v>
      </c>
      <c r="BS144" s="1">
        <v>43928</v>
      </c>
      <c r="BT144" s="2">
        <v>0.34652777777777777</v>
      </c>
      <c r="BU144" t="s">
        <v>391</v>
      </c>
      <c r="BV144" t="s">
        <v>80</v>
      </c>
      <c r="BY144">
        <v>3071.62</v>
      </c>
      <c r="CA144" t="s">
        <v>392</v>
      </c>
      <c r="CC144" t="s">
        <v>369</v>
      </c>
      <c r="CD144">
        <v>1406</v>
      </c>
      <c r="CE144" t="s">
        <v>393</v>
      </c>
      <c r="CF144" s="1">
        <v>43928</v>
      </c>
      <c r="CI144">
        <v>1</v>
      </c>
      <c r="CJ144">
        <v>1</v>
      </c>
      <c r="CK144">
        <v>22</v>
      </c>
      <c r="CL144" t="s">
        <v>74</v>
      </c>
    </row>
    <row r="145" spans="1:90" x14ac:dyDescent="0.25">
      <c r="A145" t="s">
        <v>61</v>
      </c>
      <c r="B145" t="s">
        <v>62</v>
      </c>
      <c r="C145" t="s">
        <v>63</v>
      </c>
      <c r="E145" t="str">
        <f>"009935712249"</f>
        <v>009935712249</v>
      </c>
      <c r="F145" s="1">
        <v>43927</v>
      </c>
      <c r="G145">
        <v>202010</v>
      </c>
      <c r="H145" t="s">
        <v>64</v>
      </c>
      <c r="I145" t="s">
        <v>65</v>
      </c>
      <c r="J145" t="s">
        <v>66</v>
      </c>
      <c r="K145" t="s">
        <v>67</v>
      </c>
      <c r="L145" t="s">
        <v>238</v>
      </c>
      <c r="M145" t="s">
        <v>239</v>
      </c>
      <c r="N145" t="s">
        <v>295</v>
      </c>
      <c r="O145" t="s">
        <v>69</v>
      </c>
      <c r="P145" t="str">
        <f>"1162744044                    "</f>
        <v xml:space="preserve">1162744044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4.1900000000000004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46.06</v>
      </c>
      <c r="BM145">
        <v>6.91</v>
      </c>
      <c r="BN145">
        <v>52.97</v>
      </c>
      <c r="BO145">
        <v>52.97</v>
      </c>
      <c r="BP145" t="s">
        <v>394</v>
      </c>
      <c r="BQ145" t="s">
        <v>78</v>
      </c>
      <c r="BR145" t="s">
        <v>71</v>
      </c>
      <c r="BS145" s="1">
        <v>43928</v>
      </c>
      <c r="BT145" s="2">
        <v>0.36249999999999999</v>
      </c>
      <c r="BU145" t="s">
        <v>296</v>
      </c>
      <c r="BV145" t="s">
        <v>80</v>
      </c>
      <c r="BY145">
        <v>1200</v>
      </c>
      <c r="CA145" t="s">
        <v>297</v>
      </c>
      <c r="CC145" t="s">
        <v>239</v>
      </c>
      <c r="CD145">
        <v>5201</v>
      </c>
      <c r="CE145" t="s">
        <v>73</v>
      </c>
      <c r="CF145" s="1">
        <v>43928</v>
      </c>
      <c r="CI145">
        <v>1</v>
      </c>
      <c r="CJ145">
        <v>1</v>
      </c>
      <c r="CK145">
        <v>21</v>
      </c>
      <c r="CL145" t="s">
        <v>74</v>
      </c>
    </row>
    <row r="146" spans="1:90" x14ac:dyDescent="0.25">
      <c r="A146" t="s">
        <v>61</v>
      </c>
      <c r="B146" t="s">
        <v>62</v>
      </c>
      <c r="C146" t="s">
        <v>63</v>
      </c>
      <c r="E146" t="str">
        <f>"FES1162744147"</f>
        <v>FES1162744147</v>
      </c>
      <c r="F146" s="1">
        <v>43927</v>
      </c>
      <c r="G146">
        <v>202010</v>
      </c>
      <c r="H146" t="s">
        <v>64</v>
      </c>
      <c r="I146" t="s">
        <v>65</v>
      </c>
      <c r="J146" t="s">
        <v>66</v>
      </c>
      <c r="K146" t="s">
        <v>67</v>
      </c>
      <c r="L146" t="s">
        <v>111</v>
      </c>
      <c r="M146" t="s">
        <v>112</v>
      </c>
      <c r="N146" t="s">
        <v>113</v>
      </c>
      <c r="O146" t="s">
        <v>69</v>
      </c>
      <c r="P146" t="str">
        <f>"2170733436                    "</f>
        <v xml:space="preserve">2170733436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3.27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35.979999999999997</v>
      </c>
      <c r="BM146">
        <v>5.4</v>
      </c>
      <c r="BN146">
        <v>41.38</v>
      </c>
      <c r="BO146">
        <v>41.38</v>
      </c>
      <c r="BQ146" t="s">
        <v>78</v>
      </c>
      <c r="BR146" t="s">
        <v>71</v>
      </c>
      <c r="BS146" s="1">
        <v>43928</v>
      </c>
      <c r="BT146" s="2">
        <v>0.41666666666666669</v>
      </c>
      <c r="BU146" t="s">
        <v>115</v>
      </c>
      <c r="BV146" t="s">
        <v>80</v>
      </c>
      <c r="BY146">
        <v>1200</v>
      </c>
      <c r="CC146" t="s">
        <v>112</v>
      </c>
      <c r="CD146">
        <v>1684</v>
      </c>
      <c r="CE146" t="s">
        <v>73</v>
      </c>
      <c r="CF146" s="1">
        <v>43929</v>
      </c>
      <c r="CI146">
        <v>1</v>
      </c>
      <c r="CJ146">
        <v>1</v>
      </c>
      <c r="CK146">
        <v>22</v>
      </c>
      <c r="CL146" t="s">
        <v>74</v>
      </c>
    </row>
    <row r="147" spans="1:90" x14ac:dyDescent="0.25">
      <c r="A147" t="s">
        <v>61</v>
      </c>
      <c r="B147" t="s">
        <v>62</v>
      </c>
      <c r="C147" t="s">
        <v>63</v>
      </c>
      <c r="E147" t="str">
        <f>"FES1162744009"</f>
        <v>FES1162744009</v>
      </c>
      <c r="F147" s="1">
        <v>43927</v>
      </c>
      <c r="G147">
        <v>202010</v>
      </c>
      <c r="H147" t="s">
        <v>64</v>
      </c>
      <c r="I147" t="s">
        <v>65</v>
      </c>
      <c r="J147" t="s">
        <v>66</v>
      </c>
      <c r="K147" t="s">
        <v>67</v>
      </c>
      <c r="L147" t="s">
        <v>64</v>
      </c>
      <c r="M147" t="s">
        <v>65</v>
      </c>
      <c r="N147" t="s">
        <v>219</v>
      </c>
      <c r="O147" t="s">
        <v>69</v>
      </c>
      <c r="P147" t="str">
        <f>"2170734511                    "</f>
        <v xml:space="preserve">2170734511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3.27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35.979999999999997</v>
      </c>
      <c r="BM147">
        <v>5.4</v>
      </c>
      <c r="BN147">
        <v>41.38</v>
      </c>
      <c r="BO147">
        <v>41.38</v>
      </c>
      <c r="BQ147" t="s">
        <v>70</v>
      </c>
      <c r="BR147" t="s">
        <v>71</v>
      </c>
      <c r="BS147" s="1">
        <v>43928</v>
      </c>
      <c r="BT147" s="2">
        <v>0.41666666666666669</v>
      </c>
      <c r="BU147" t="s">
        <v>220</v>
      </c>
      <c r="BV147" t="s">
        <v>80</v>
      </c>
      <c r="BY147">
        <v>1200</v>
      </c>
      <c r="CA147" t="s">
        <v>193</v>
      </c>
      <c r="CC147" t="s">
        <v>65</v>
      </c>
      <c r="CD147">
        <v>1601</v>
      </c>
      <c r="CE147" t="s">
        <v>73</v>
      </c>
      <c r="CF147" s="1">
        <v>43929</v>
      </c>
      <c r="CI147">
        <v>1</v>
      </c>
      <c r="CJ147">
        <v>1</v>
      </c>
      <c r="CK147">
        <v>22</v>
      </c>
      <c r="CL147" t="s">
        <v>74</v>
      </c>
    </row>
    <row r="148" spans="1:90" x14ac:dyDescent="0.25">
      <c r="A148" t="s">
        <v>61</v>
      </c>
      <c r="B148" t="s">
        <v>62</v>
      </c>
      <c r="C148" t="s">
        <v>63</v>
      </c>
      <c r="E148" t="str">
        <f>"FES1162744289"</f>
        <v>FES1162744289</v>
      </c>
      <c r="F148" s="1">
        <v>43927</v>
      </c>
      <c r="G148">
        <v>202010</v>
      </c>
      <c r="H148" t="s">
        <v>64</v>
      </c>
      <c r="I148" t="s">
        <v>65</v>
      </c>
      <c r="J148" t="s">
        <v>66</v>
      </c>
      <c r="K148" t="s">
        <v>67</v>
      </c>
      <c r="L148" t="s">
        <v>92</v>
      </c>
      <c r="M148" t="s">
        <v>93</v>
      </c>
      <c r="N148" t="s">
        <v>204</v>
      </c>
      <c r="O148" t="s">
        <v>69</v>
      </c>
      <c r="P148" t="str">
        <f>"2170735628                    "</f>
        <v xml:space="preserve">2170735628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36.61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8</v>
      </c>
      <c r="BJ148">
        <v>17.3</v>
      </c>
      <c r="BK148">
        <v>17.5</v>
      </c>
      <c r="BL148">
        <v>402.74</v>
      </c>
      <c r="BM148">
        <v>60.41</v>
      </c>
      <c r="BN148">
        <v>463.15</v>
      </c>
      <c r="BO148">
        <v>463.15</v>
      </c>
      <c r="BQ148" t="s">
        <v>78</v>
      </c>
      <c r="BR148" t="s">
        <v>71</v>
      </c>
      <c r="BS148" s="1">
        <v>43928</v>
      </c>
      <c r="BT148" s="2">
        <v>0.35486111111111113</v>
      </c>
      <c r="BU148" t="s">
        <v>395</v>
      </c>
      <c r="BV148" t="s">
        <v>80</v>
      </c>
      <c r="BY148">
        <v>86454.01</v>
      </c>
      <c r="CA148" t="s">
        <v>167</v>
      </c>
      <c r="CC148" t="s">
        <v>93</v>
      </c>
      <c r="CD148">
        <v>7530</v>
      </c>
      <c r="CE148" t="s">
        <v>91</v>
      </c>
      <c r="CF148" s="1">
        <v>43928</v>
      </c>
      <c r="CI148">
        <v>1</v>
      </c>
      <c r="CJ148">
        <v>1</v>
      </c>
      <c r="CK148">
        <v>21</v>
      </c>
      <c r="CL148" t="s">
        <v>74</v>
      </c>
    </row>
    <row r="149" spans="1:90" x14ac:dyDescent="0.25">
      <c r="A149" t="s">
        <v>61</v>
      </c>
      <c r="B149" t="s">
        <v>62</v>
      </c>
      <c r="C149" t="s">
        <v>63</v>
      </c>
      <c r="E149" t="str">
        <f>"FES1162744039"</f>
        <v>FES1162744039</v>
      </c>
      <c r="F149" s="1">
        <v>43923</v>
      </c>
      <c r="G149">
        <v>202010</v>
      </c>
      <c r="H149" t="s">
        <v>64</v>
      </c>
      <c r="I149" t="s">
        <v>65</v>
      </c>
      <c r="J149" t="s">
        <v>66</v>
      </c>
      <c r="K149" t="s">
        <v>67</v>
      </c>
      <c r="L149" t="s">
        <v>92</v>
      </c>
      <c r="M149" t="s">
        <v>93</v>
      </c>
      <c r="N149" t="s">
        <v>94</v>
      </c>
      <c r="O149" t="s">
        <v>69</v>
      </c>
      <c r="P149" t="str">
        <f>"2170735455                    "</f>
        <v xml:space="preserve">2170735455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4.1900000000000004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46.06</v>
      </c>
      <c r="BM149">
        <v>6.91</v>
      </c>
      <c r="BN149">
        <v>52.97</v>
      </c>
      <c r="BO149">
        <v>52.97</v>
      </c>
      <c r="BQ149" t="s">
        <v>70</v>
      </c>
      <c r="BR149" t="s">
        <v>71</v>
      </c>
      <c r="BS149" s="1">
        <v>43924</v>
      </c>
      <c r="BT149" s="2">
        <v>0.3888888888888889</v>
      </c>
      <c r="BU149" t="s">
        <v>367</v>
      </c>
      <c r="BV149" t="s">
        <v>80</v>
      </c>
      <c r="BY149">
        <v>1200</v>
      </c>
      <c r="BZ149" t="s">
        <v>23</v>
      </c>
      <c r="CA149" t="s">
        <v>98</v>
      </c>
      <c r="CC149" t="s">
        <v>93</v>
      </c>
      <c r="CD149">
        <v>7441</v>
      </c>
      <c r="CE149" t="s">
        <v>73</v>
      </c>
      <c r="CF149" s="1">
        <v>43924</v>
      </c>
      <c r="CI149">
        <v>1</v>
      </c>
      <c r="CJ149">
        <v>1</v>
      </c>
      <c r="CK149">
        <v>21</v>
      </c>
      <c r="CL149" t="s">
        <v>74</v>
      </c>
    </row>
    <row r="150" spans="1:90" x14ac:dyDescent="0.25">
      <c r="A150" t="s">
        <v>61</v>
      </c>
      <c r="B150" t="s">
        <v>62</v>
      </c>
      <c r="C150" t="s">
        <v>63</v>
      </c>
      <c r="E150" t="str">
        <f>"FES1162744255"</f>
        <v>FES1162744255</v>
      </c>
      <c r="F150" s="1">
        <v>43927</v>
      </c>
      <c r="G150">
        <v>202010</v>
      </c>
      <c r="H150" t="s">
        <v>64</v>
      </c>
      <c r="I150" t="s">
        <v>65</v>
      </c>
      <c r="J150" t="s">
        <v>66</v>
      </c>
      <c r="K150" t="s">
        <v>67</v>
      </c>
      <c r="L150" t="s">
        <v>199</v>
      </c>
      <c r="M150" t="s">
        <v>200</v>
      </c>
      <c r="N150" t="s">
        <v>201</v>
      </c>
      <c r="O150" t="s">
        <v>69</v>
      </c>
      <c r="P150" t="str">
        <f>"2170735578                    "</f>
        <v xml:space="preserve">2170735578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3.27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0.9</v>
      </c>
      <c r="BK150">
        <v>1</v>
      </c>
      <c r="BL150">
        <v>35.979999999999997</v>
      </c>
      <c r="BM150">
        <v>5.4</v>
      </c>
      <c r="BN150">
        <v>41.38</v>
      </c>
      <c r="BO150">
        <v>41.38</v>
      </c>
      <c r="BQ150" t="s">
        <v>78</v>
      </c>
      <c r="BR150" t="s">
        <v>71</v>
      </c>
      <c r="BS150" s="1">
        <v>43929</v>
      </c>
      <c r="BT150" s="2">
        <v>0.41666666666666669</v>
      </c>
      <c r="BU150" t="s">
        <v>202</v>
      </c>
      <c r="BV150" t="s">
        <v>74</v>
      </c>
      <c r="BW150" t="s">
        <v>85</v>
      </c>
      <c r="BX150" t="s">
        <v>203</v>
      </c>
      <c r="BY150">
        <v>4500</v>
      </c>
      <c r="CC150" t="s">
        <v>200</v>
      </c>
      <c r="CD150">
        <v>1559</v>
      </c>
      <c r="CE150" t="s">
        <v>91</v>
      </c>
      <c r="CF150" s="1">
        <v>43930</v>
      </c>
      <c r="CI150">
        <v>1</v>
      </c>
      <c r="CJ150">
        <v>2</v>
      </c>
      <c r="CK150">
        <v>22</v>
      </c>
      <c r="CL150" t="s">
        <v>74</v>
      </c>
    </row>
    <row r="151" spans="1:90" x14ac:dyDescent="0.25">
      <c r="A151" t="s">
        <v>61</v>
      </c>
      <c r="B151" t="s">
        <v>62</v>
      </c>
      <c r="C151" t="s">
        <v>63</v>
      </c>
      <c r="E151" t="str">
        <f>"FES1162743954"</f>
        <v>FES1162743954</v>
      </c>
      <c r="F151" s="1">
        <v>43923</v>
      </c>
      <c r="G151">
        <v>202010</v>
      </c>
      <c r="H151" t="s">
        <v>64</v>
      </c>
      <c r="I151" t="s">
        <v>65</v>
      </c>
      <c r="J151" t="s">
        <v>66</v>
      </c>
      <c r="K151" t="s">
        <v>67</v>
      </c>
      <c r="L151" t="s">
        <v>238</v>
      </c>
      <c r="M151" t="s">
        <v>239</v>
      </c>
      <c r="N151" t="s">
        <v>240</v>
      </c>
      <c r="O151" t="s">
        <v>69</v>
      </c>
      <c r="P151" t="str">
        <f>"2170735240                    "</f>
        <v xml:space="preserve">2170735240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7.33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3.2</v>
      </c>
      <c r="BJ151">
        <v>1.4</v>
      </c>
      <c r="BK151">
        <v>3.5</v>
      </c>
      <c r="BL151">
        <v>80.58</v>
      </c>
      <c r="BM151">
        <v>12.09</v>
      </c>
      <c r="BN151">
        <v>92.67</v>
      </c>
      <c r="BO151">
        <v>92.67</v>
      </c>
      <c r="BQ151" t="s">
        <v>70</v>
      </c>
      <c r="BR151" t="s">
        <v>71</v>
      </c>
      <c r="BS151" s="1">
        <v>43924</v>
      </c>
      <c r="BT151" s="2">
        <v>0.40208333333333335</v>
      </c>
      <c r="BU151" t="s">
        <v>396</v>
      </c>
      <c r="BV151" t="s">
        <v>80</v>
      </c>
      <c r="BY151">
        <v>6831.76</v>
      </c>
      <c r="BZ151" t="s">
        <v>23</v>
      </c>
      <c r="CA151" t="s">
        <v>397</v>
      </c>
      <c r="CC151" t="s">
        <v>239</v>
      </c>
      <c r="CD151">
        <v>5200</v>
      </c>
      <c r="CE151" t="s">
        <v>91</v>
      </c>
      <c r="CF151" s="1">
        <v>43924</v>
      </c>
      <c r="CI151">
        <v>1</v>
      </c>
      <c r="CJ151">
        <v>1</v>
      </c>
      <c r="CK151">
        <v>21</v>
      </c>
      <c r="CL151" t="s">
        <v>74</v>
      </c>
    </row>
    <row r="152" spans="1:90" x14ac:dyDescent="0.25">
      <c r="A152" t="s">
        <v>61</v>
      </c>
      <c r="B152" t="s">
        <v>62</v>
      </c>
      <c r="C152" t="s">
        <v>63</v>
      </c>
      <c r="E152" t="str">
        <f>"FES1162744238"</f>
        <v>FES1162744238</v>
      </c>
      <c r="F152" s="1">
        <v>43927</v>
      </c>
      <c r="G152">
        <v>202010</v>
      </c>
      <c r="H152" t="s">
        <v>64</v>
      </c>
      <c r="I152" t="s">
        <v>65</v>
      </c>
      <c r="J152" t="s">
        <v>66</v>
      </c>
      <c r="K152" t="s">
        <v>67</v>
      </c>
      <c r="L152" t="s">
        <v>104</v>
      </c>
      <c r="M152" t="s">
        <v>105</v>
      </c>
      <c r="N152" t="s">
        <v>251</v>
      </c>
      <c r="O152" t="s">
        <v>69</v>
      </c>
      <c r="P152" t="str">
        <f>"2170735060                    "</f>
        <v xml:space="preserve">2170735060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5.89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64.77</v>
      </c>
      <c r="BM152">
        <v>9.7200000000000006</v>
      </c>
      <c r="BN152">
        <v>74.489999999999995</v>
      </c>
      <c r="BO152">
        <v>74.489999999999995</v>
      </c>
      <c r="BQ152" t="s">
        <v>70</v>
      </c>
      <c r="BR152" t="s">
        <v>71</v>
      </c>
      <c r="BS152" s="1">
        <v>43928</v>
      </c>
      <c r="BT152" s="2">
        <v>0.41666666666666669</v>
      </c>
      <c r="BU152" t="s">
        <v>356</v>
      </c>
      <c r="BV152" t="s">
        <v>80</v>
      </c>
      <c r="BY152">
        <v>1200</v>
      </c>
      <c r="CC152" t="s">
        <v>105</v>
      </c>
      <c r="CD152">
        <v>1759</v>
      </c>
      <c r="CE152" t="s">
        <v>73</v>
      </c>
      <c r="CF152" s="1">
        <v>43929</v>
      </c>
      <c r="CI152">
        <v>1</v>
      </c>
      <c r="CJ152">
        <v>1</v>
      </c>
      <c r="CK152">
        <v>24</v>
      </c>
      <c r="CL152" t="s">
        <v>74</v>
      </c>
    </row>
    <row r="153" spans="1:90" x14ac:dyDescent="0.25">
      <c r="A153" t="s">
        <v>61</v>
      </c>
      <c r="B153" t="s">
        <v>62</v>
      </c>
      <c r="C153" t="s">
        <v>63</v>
      </c>
      <c r="E153" t="str">
        <f>"FES1162743962"</f>
        <v>FES1162743962</v>
      </c>
      <c r="F153" s="1">
        <v>43923</v>
      </c>
      <c r="G153">
        <v>202010</v>
      </c>
      <c r="H153" t="s">
        <v>64</v>
      </c>
      <c r="I153" t="s">
        <v>65</v>
      </c>
      <c r="J153" t="s">
        <v>66</v>
      </c>
      <c r="K153" t="s">
        <v>67</v>
      </c>
      <c r="L153" t="s">
        <v>238</v>
      </c>
      <c r="M153" t="s">
        <v>239</v>
      </c>
      <c r="N153" t="s">
        <v>388</v>
      </c>
      <c r="O153" t="s">
        <v>69</v>
      </c>
      <c r="P153" t="str">
        <f>"2170733441                    "</f>
        <v xml:space="preserve">2170733441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4.1900000000000004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46.06</v>
      </c>
      <c r="BM153">
        <v>6.91</v>
      </c>
      <c r="BN153">
        <v>52.97</v>
      </c>
      <c r="BO153">
        <v>52.97</v>
      </c>
      <c r="BQ153" t="s">
        <v>78</v>
      </c>
      <c r="BR153" t="s">
        <v>71</v>
      </c>
      <c r="BS153" s="1">
        <v>43924</v>
      </c>
      <c r="BT153" s="2">
        <v>0.4375</v>
      </c>
      <c r="BU153" t="s">
        <v>398</v>
      </c>
      <c r="BV153" t="s">
        <v>80</v>
      </c>
      <c r="BY153">
        <v>1200</v>
      </c>
      <c r="BZ153" t="s">
        <v>23</v>
      </c>
      <c r="CA153" t="s">
        <v>291</v>
      </c>
      <c r="CC153" t="s">
        <v>239</v>
      </c>
      <c r="CD153">
        <v>5201</v>
      </c>
      <c r="CE153" t="s">
        <v>73</v>
      </c>
      <c r="CF153" s="1">
        <v>43924</v>
      </c>
      <c r="CI153">
        <v>1</v>
      </c>
      <c r="CJ153">
        <v>1</v>
      </c>
      <c r="CK153">
        <v>21</v>
      </c>
      <c r="CL153" t="s">
        <v>74</v>
      </c>
    </row>
    <row r="154" spans="1:90" x14ac:dyDescent="0.25">
      <c r="A154" t="s">
        <v>61</v>
      </c>
      <c r="B154" t="s">
        <v>62</v>
      </c>
      <c r="C154" t="s">
        <v>63</v>
      </c>
      <c r="E154" t="str">
        <f>"FES1162744088"</f>
        <v>FES1162744088</v>
      </c>
      <c r="F154" s="1">
        <v>43923</v>
      </c>
      <c r="G154">
        <v>202010</v>
      </c>
      <c r="H154" t="s">
        <v>64</v>
      </c>
      <c r="I154" t="s">
        <v>65</v>
      </c>
      <c r="J154" t="s">
        <v>66</v>
      </c>
      <c r="K154" t="s">
        <v>67</v>
      </c>
      <c r="L154" t="s">
        <v>92</v>
      </c>
      <c r="M154" t="s">
        <v>93</v>
      </c>
      <c r="N154" t="s">
        <v>94</v>
      </c>
      <c r="O154" t="s">
        <v>69</v>
      </c>
      <c r="P154" t="str">
        <f>"2170735506                    "</f>
        <v xml:space="preserve">2170735506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4.1900000000000004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1.1000000000000001</v>
      </c>
      <c r="BJ154">
        <v>1.8</v>
      </c>
      <c r="BK154">
        <v>2</v>
      </c>
      <c r="BL154">
        <v>46.06</v>
      </c>
      <c r="BM154">
        <v>6.91</v>
      </c>
      <c r="BN154">
        <v>52.97</v>
      </c>
      <c r="BO154">
        <v>52.97</v>
      </c>
      <c r="BQ154" t="s">
        <v>70</v>
      </c>
      <c r="BR154" t="s">
        <v>71</v>
      </c>
      <c r="BS154" s="1">
        <v>43924</v>
      </c>
      <c r="BT154" s="2">
        <v>0.3888888888888889</v>
      </c>
      <c r="BU154" t="s">
        <v>367</v>
      </c>
      <c r="BV154" t="s">
        <v>80</v>
      </c>
      <c r="BY154">
        <v>9180.6</v>
      </c>
      <c r="BZ154" t="s">
        <v>23</v>
      </c>
      <c r="CA154" t="s">
        <v>98</v>
      </c>
      <c r="CC154" t="s">
        <v>93</v>
      </c>
      <c r="CD154">
        <v>7441</v>
      </c>
      <c r="CE154" t="s">
        <v>73</v>
      </c>
      <c r="CF154" s="1">
        <v>43924</v>
      </c>
      <c r="CI154">
        <v>1</v>
      </c>
      <c r="CJ154">
        <v>1</v>
      </c>
      <c r="CK154">
        <v>21</v>
      </c>
      <c r="CL154" t="s">
        <v>74</v>
      </c>
    </row>
    <row r="155" spans="1:90" x14ac:dyDescent="0.25">
      <c r="A155" t="s">
        <v>61</v>
      </c>
      <c r="B155" t="s">
        <v>62</v>
      </c>
      <c r="C155" t="s">
        <v>63</v>
      </c>
      <c r="E155" t="str">
        <f>"FES1162744034"</f>
        <v>FES1162744034</v>
      </c>
      <c r="F155" s="1">
        <v>43923</v>
      </c>
      <c r="G155">
        <v>202010</v>
      </c>
      <c r="H155" t="s">
        <v>64</v>
      </c>
      <c r="I155" t="s">
        <v>65</v>
      </c>
      <c r="J155" t="s">
        <v>66</v>
      </c>
      <c r="K155" t="s">
        <v>67</v>
      </c>
      <c r="L155" t="s">
        <v>238</v>
      </c>
      <c r="M155" t="s">
        <v>239</v>
      </c>
      <c r="N155" t="s">
        <v>240</v>
      </c>
      <c r="O155" t="s">
        <v>69</v>
      </c>
      <c r="P155" t="str">
        <f>"2170735442                    "</f>
        <v xml:space="preserve">2170735442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4.1900000000000004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46.06</v>
      </c>
      <c r="BM155">
        <v>6.91</v>
      </c>
      <c r="BN155">
        <v>52.97</v>
      </c>
      <c r="BO155">
        <v>52.97</v>
      </c>
      <c r="BQ155" t="s">
        <v>70</v>
      </c>
      <c r="BR155" t="s">
        <v>71</v>
      </c>
      <c r="BS155" s="1">
        <v>43924</v>
      </c>
      <c r="BT155" s="2">
        <v>0.40138888888888885</v>
      </c>
      <c r="BU155" t="s">
        <v>396</v>
      </c>
      <c r="BV155" t="s">
        <v>80</v>
      </c>
      <c r="BY155">
        <v>1200</v>
      </c>
      <c r="BZ155" t="s">
        <v>23</v>
      </c>
      <c r="CA155" t="s">
        <v>397</v>
      </c>
      <c r="CC155" t="s">
        <v>239</v>
      </c>
      <c r="CD155">
        <v>5200</v>
      </c>
      <c r="CE155" t="s">
        <v>73</v>
      </c>
      <c r="CF155" s="1">
        <v>43924</v>
      </c>
      <c r="CI155">
        <v>1</v>
      </c>
      <c r="CJ155">
        <v>1</v>
      </c>
      <c r="CK155">
        <v>21</v>
      </c>
      <c r="CL155" t="s">
        <v>74</v>
      </c>
    </row>
    <row r="156" spans="1:90" x14ac:dyDescent="0.25">
      <c r="A156" t="s">
        <v>61</v>
      </c>
      <c r="B156" t="s">
        <v>62</v>
      </c>
      <c r="C156" t="s">
        <v>63</v>
      </c>
      <c r="E156" t="str">
        <f>"FES1162744116"</f>
        <v>FES1162744116</v>
      </c>
      <c r="F156" s="1">
        <v>43927</v>
      </c>
      <c r="G156">
        <v>202010</v>
      </c>
      <c r="H156" t="s">
        <v>64</v>
      </c>
      <c r="I156" t="s">
        <v>65</v>
      </c>
      <c r="J156" t="s">
        <v>66</v>
      </c>
      <c r="K156" t="s">
        <v>67</v>
      </c>
      <c r="L156" t="s">
        <v>225</v>
      </c>
      <c r="M156" t="s">
        <v>226</v>
      </c>
      <c r="N156" t="s">
        <v>227</v>
      </c>
      <c r="O156" t="s">
        <v>69</v>
      </c>
      <c r="P156" t="str">
        <f>"2170728543                    "</f>
        <v xml:space="preserve">2170728543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8.11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89.23</v>
      </c>
      <c r="BM156">
        <v>13.38</v>
      </c>
      <c r="BN156">
        <v>102.61</v>
      </c>
      <c r="BO156">
        <v>102.61</v>
      </c>
      <c r="BQ156" t="s">
        <v>78</v>
      </c>
      <c r="BR156" t="s">
        <v>71</v>
      </c>
      <c r="BS156" s="1">
        <v>43928</v>
      </c>
      <c r="BT156" s="2">
        <v>0.4375</v>
      </c>
      <c r="BU156" t="s">
        <v>228</v>
      </c>
      <c r="BV156" t="s">
        <v>80</v>
      </c>
      <c r="BY156">
        <v>1200</v>
      </c>
      <c r="CC156" t="s">
        <v>226</v>
      </c>
      <c r="CD156">
        <v>1947</v>
      </c>
      <c r="CE156" t="s">
        <v>73</v>
      </c>
      <c r="CF156" s="1">
        <v>43929</v>
      </c>
      <c r="CI156">
        <v>1</v>
      </c>
      <c r="CJ156">
        <v>1</v>
      </c>
      <c r="CK156">
        <v>23</v>
      </c>
      <c r="CL156" t="s">
        <v>74</v>
      </c>
    </row>
    <row r="157" spans="1:90" x14ac:dyDescent="0.25">
      <c r="A157" t="s">
        <v>61</v>
      </c>
      <c r="B157" t="s">
        <v>62</v>
      </c>
      <c r="C157" t="s">
        <v>63</v>
      </c>
      <c r="E157" t="str">
        <f>"009935712250"</f>
        <v>009935712250</v>
      </c>
      <c r="F157" s="1">
        <v>43927</v>
      </c>
      <c r="G157">
        <v>202010</v>
      </c>
      <c r="H157" t="s">
        <v>64</v>
      </c>
      <c r="I157" t="s">
        <v>65</v>
      </c>
      <c r="J157" t="s">
        <v>66</v>
      </c>
      <c r="K157" t="s">
        <v>67</v>
      </c>
      <c r="L157" t="s">
        <v>120</v>
      </c>
      <c r="M157" t="s">
        <v>121</v>
      </c>
      <c r="N157" t="s">
        <v>308</v>
      </c>
      <c r="O157" t="s">
        <v>69</v>
      </c>
      <c r="P157" t="str">
        <f>"1162730433                    "</f>
        <v xml:space="preserve">1162730433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4.1900000000000004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1.4</v>
      </c>
      <c r="BJ157">
        <v>2</v>
      </c>
      <c r="BK157">
        <v>2</v>
      </c>
      <c r="BL157">
        <v>46.06</v>
      </c>
      <c r="BM157">
        <v>6.91</v>
      </c>
      <c r="BN157">
        <v>52.97</v>
      </c>
      <c r="BO157">
        <v>52.97</v>
      </c>
      <c r="BP157" t="s">
        <v>399</v>
      </c>
      <c r="BQ157" t="s">
        <v>78</v>
      </c>
      <c r="BR157" t="s">
        <v>71</v>
      </c>
      <c r="BS157" s="1">
        <v>43943</v>
      </c>
      <c r="BT157" s="2">
        <v>0.70833333333333337</v>
      </c>
      <c r="BU157" t="s">
        <v>400</v>
      </c>
      <c r="BV157" t="s">
        <v>74</v>
      </c>
      <c r="BW157" t="s">
        <v>85</v>
      </c>
      <c r="BX157" t="s">
        <v>128</v>
      </c>
      <c r="BY157">
        <v>10140.14</v>
      </c>
      <c r="CA157" t="s">
        <v>401</v>
      </c>
      <c r="CC157" t="s">
        <v>121</v>
      </c>
      <c r="CD157">
        <v>4019</v>
      </c>
      <c r="CE157" t="s">
        <v>91</v>
      </c>
      <c r="CF157" s="1">
        <v>43943</v>
      </c>
      <c r="CI157">
        <v>1</v>
      </c>
      <c r="CJ157">
        <v>12</v>
      </c>
      <c r="CK157">
        <v>21</v>
      </c>
      <c r="CL157" t="s">
        <v>74</v>
      </c>
    </row>
    <row r="158" spans="1:90" x14ac:dyDescent="0.25">
      <c r="A158" t="s">
        <v>61</v>
      </c>
      <c r="B158" t="s">
        <v>62</v>
      </c>
      <c r="C158" t="s">
        <v>63</v>
      </c>
      <c r="E158" t="str">
        <f>"FES1162744258"</f>
        <v>FES1162744258</v>
      </c>
      <c r="F158" s="1">
        <v>43927</v>
      </c>
      <c r="G158">
        <v>202010</v>
      </c>
      <c r="H158" t="s">
        <v>64</v>
      </c>
      <c r="I158" t="s">
        <v>65</v>
      </c>
      <c r="J158" t="s">
        <v>66</v>
      </c>
      <c r="K158" t="s">
        <v>67</v>
      </c>
      <c r="L158" t="s">
        <v>92</v>
      </c>
      <c r="M158" t="s">
        <v>93</v>
      </c>
      <c r="N158" t="s">
        <v>402</v>
      </c>
      <c r="O158" t="s">
        <v>69</v>
      </c>
      <c r="P158" t="str">
        <f>"2170732925                    "</f>
        <v xml:space="preserve">2170732925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9.42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4.3</v>
      </c>
      <c r="BJ158">
        <v>4.3</v>
      </c>
      <c r="BK158">
        <v>4.5</v>
      </c>
      <c r="BL158">
        <v>103.59</v>
      </c>
      <c r="BM158">
        <v>15.54</v>
      </c>
      <c r="BN158">
        <v>119.13</v>
      </c>
      <c r="BO158">
        <v>119.13</v>
      </c>
      <c r="BQ158" t="s">
        <v>109</v>
      </c>
      <c r="BR158" t="s">
        <v>71</v>
      </c>
      <c r="BS158" s="1">
        <v>43928</v>
      </c>
      <c r="BT158" s="2">
        <v>0.39097222222222222</v>
      </c>
      <c r="BU158" t="s">
        <v>403</v>
      </c>
      <c r="BV158" t="s">
        <v>80</v>
      </c>
      <c r="BY158">
        <v>21713.45</v>
      </c>
      <c r="CA158" t="s">
        <v>190</v>
      </c>
      <c r="CC158" t="s">
        <v>93</v>
      </c>
      <c r="CD158">
        <v>7460</v>
      </c>
      <c r="CE158" t="s">
        <v>91</v>
      </c>
      <c r="CF158" s="1">
        <v>43928</v>
      </c>
      <c r="CI158">
        <v>1</v>
      </c>
      <c r="CJ158">
        <v>1</v>
      </c>
      <c r="CK158">
        <v>21</v>
      </c>
      <c r="CL158" t="s">
        <v>74</v>
      </c>
    </row>
    <row r="159" spans="1:90" x14ac:dyDescent="0.25">
      <c r="A159" t="s">
        <v>61</v>
      </c>
      <c r="B159" t="s">
        <v>62</v>
      </c>
      <c r="C159" t="s">
        <v>63</v>
      </c>
      <c r="E159" t="str">
        <f>"FES1162744085"</f>
        <v>FES1162744085</v>
      </c>
      <c r="F159" s="1">
        <v>43923</v>
      </c>
      <c r="G159">
        <v>202010</v>
      </c>
      <c r="H159" t="s">
        <v>64</v>
      </c>
      <c r="I159" t="s">
        <v>65</v>
      </c>
      <c r="J159" t="s">
        <v>66</v>
      </c>
      <c r="K159" t="s">
        <v>67</v>
      </c>
      <c r="L159" t="s">
        <v>273</v>
      </c>
      <c r="M159" t="s">
        <v>274</v>
      </c>
      <c r="N159" t="s">
        <v>275</v>
      </c>
      <c r="O159" t="s">
        <v>69</v>
      </c>
      <c r="P159" t="str">
        <f>"2170735505                    "</f>
        <v xml:space="preserve">2170735505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15.44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3</v>
      </c>
      <c r="BJ159">
        <v>4</v>
      </c>
      <c r="BK159">
        <v>4</v>
      </c>
      <c r="BL159">
        <v>169.84</v>
      </c>
      <c r="BM159">
        <v>25.48</v>
      </c>
      <c r="BN159">
        <v>195.32</v>
      </c>
      <c r="BO159">
        <v>195.32</v>
      </c>
      <c r="BQ159" t="s">
        <v>78</v>
      </c>
      <c r="BR159" t="s">
        <v>71</v>
      </c>
      <c r="BS159" s="1">
        <v>43924</v>
      </c>
      <c r="BT159" s="2">
        <v>0.55625000000000002</v>
      </c>
      <c r="BU159" t="s">
        <v>276</v>
      </c>
      <c r="BV159" t="s">
        <v>80</v>
      </c>
      <c r="BY159">
        <v>20005.63</v>
      </c>
      <c r="BZ159" t="s">
        <v>23</v>
      </c>
      <c r="CA159" t="s">
        <v>277</v>
      </c>
      <c r="CC159" t="s">
        <v>274</v>
      </c>
      <c r="CD159">
        <v>9445</v>
      </c>
      <c r="CE159" t="s">
        <v>91</v>
      </c>
      <c r="CF159" s="1">
        <v>43924</v>
      </c>
      <c r="CI159">
        <v>3</v>
      </c>
      <c r="CJ159">
        <v>1</v>
      </c>
      <c r="CK159">
        <v>23</v>
      </c>
      <c r="CL159" t="s">
        <v>74</v>
      </c>
    </row>
    <row r="160" spans="1:90" x14ac:dyDescent="0.25">
      <c r="A160" t="s">
        <v>61</v>
      </c>
      <c r="B160" t="s">
        <v>62</v>
      </c>
      <c r="C160" t="s">
        <v>63</v>
      </c>
      <c r="E160" t="str">
        <f>"FES1162744151"</f>
        <v>FES1162744151</v>
      </c>
      <c r="F160" s="1">
        <v>43924</v>
      </c>
      <c r="G160">
        <v>202010</v>
      </c>
      <c r="H160" t="s">
        <v>64</v>
      </c>
      <c r="I160" t="s">
        <v>65</v>
      </c>
      <c r="J160" t="s">
        <v>66</v>
      </c>
      <c r="K160" t="s">
        <v>67</v>
      </c>
      <c r="L160" t="s">
        <v>92</v>
      </c>
      <c r="M160" t="s">
        <v>93</v>
      </c>
      <c r="N160" t="s">
        <v>311</v>
      </c>
      <c r="O160" t="s">
        <v>69</v>
      </c>
      <c r="P160" t="str">
        <f>"2170734132                    "</f>
        <v xml:space="preserve">2170734132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4.1900000000000004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2</v>
      </c>
      <c r="BJ160">
        <v>1.6</v>
      </c>
      <c r="BK160">
        <v>2</v>
      </c>
      <c r="BL160">
        <v>46.06</v>
      </c>
      <c r="BM160">
        <v>6.91</v>
      </c>
      <c r="BN160">
        <v>52.97</v>
      </c>
      <c r="BO160">
        <v>52.97</v>
      </c>
      <c r="BQ160" t="s">
        <v>70</v>
      </c>
      <c r="BR160" t="s">
        <v>71</v>
      </c>
      <c r="BS160" s="1">
        <v>43928</v>
      </c>
      <c r="BT160" s="2">
        <v>0.41666666666666669</v>
      </c>
      <c r="BU160" t="s">
        <v>312</v>
      </c>
      <c r="BV160" t="s">
        <v>74</v>
      </c>
      <c r="BW160" t="s">
        <v>96</v>
      </c>
      <c r="BX160" t="s">
        <v>97</v>
      </c>
      <c r="BY160">
        <v>8109.36</v>
      </c>
      <c r="CC160" t="s">
        <v>93</v>
      </c>
      <c r="CD160">
        <v>7441</v>
      </c>
      <c r="CE160" t="s">
        <v>73</v>
      </c>
      <c r="CF160" s="1">
        <v>43929</v>
      </c>
      <c r="CI160">
        <v>1</v>
      </c>
      <c r="CJ160">
        <v>2</v>
      </c>
      <c r="CK160">
        <v>21</v>
      </c>
      <c r="CL160" t="s">
        <v>74</v>
      </c>
    </row>
    <row r="161" spans="1:90" x14ac:dyDescent="0.25">
      <c r="A161" t="s">
        <v>61</v>
      </c>
      <c r="B161" t="s">
        <v>62</v>
      </c>
      <c r="C161" t="s">
        <v>63</v>
      </c>
      <c r="E161" t="str">
        <f>"FES1162743997"</f>
        <v>FES1162743997</v>
      </c>
      <c r="F161" s="1">
        <v>43923</v>
      </c>
      <c r="G161">
        <v>202010</v>
      </c>
      <c r="H161" t="s">
        <v>64</v>
      </c>
      <c r="I161" t="s">
        <v>65</v>
      </c>
      <c r="J161" t="s">
        <v>66</v>
      </c>
      <c r="K161" t="s">
        <v>67</v>
      </c>
      <c r="L161" t="s">
        <v>92</v>
      </c>
      <c r="M161" t="s">
        <v>93</v>
      </c>
      <c r="N161" t="s">
        <v>311</v>
      </c>
      <c r="O161" t="s">
        <v>69</v>
      </c>
      <c r="P161" t="str">
        <f>"2170735364                    "</f>
        <v xml:space="preserve">2170735364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4.1900000000000004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46.06</v>
      </c>
      <c r="BM161">
        <v>6.91</v>
      </c>
      <c r="BN161">
        <v>52.97</v>
      </c>
      <c r="BO161">
        <v>52.97</v>
      </c>
      <c r="BQ161" t="s">
        <v>70</v>
      </c>
      <c r="BR161" t="s">
        <v>71</v>
      </c>
      <c r="BS161" s="1">
        <v>43927</v>
      </c>
      <c r="BT161" s="2">
        <v>0.625</v>
      </c>
      <c r="BU161" t="s">
        <v>312</v>
      </c>
      <c r="BV161" t="s">
        <v>74</v>
      </c>
      <c r="BW161" t="s">
        <v>96</v>
      </c>
      <c r="BX161" t="s">
        <v>97</v>
      </c>
      <c r="BY161">
        <v>1200</v>
      </c>
      <c r="BZ161" t="s">
        <v>23</v>
      </c>
      <c r="CC161" t="s">
        <v>93</v>
      </c>
      <c r="CD161">
        <v>7441</v>
      </c>
      <c r="CE161" t="s">
        <v>73</v>
      </c>
      <c r="CI161">
        <v>1</v>
      </c>
      <c r="CJ161">
        <v>2</v>
      </c>
      <c r="CK161">
        <v>21</v>
      </c>
      <c r="CL161" t="s">
        <v>74</v>
      </c>
    </row>
    <row r="162" spans="1:90" x14ac:dyDescent="0.25">
      <c r="A162" t="s">
        <v>61</v>
      </c>
      <c r="B162" t="s">
        <v>62</v>
      </c>
      <c r="C162" t="s">
        <v>63</v>
      </c>
      <c r="E162" t="str">
        <f>"FES1162744093"</f>
        <v>FES1162744093</v>
      </c>
      <c r="F162" s="1">
        <v>43924</v>
      </c>
      <c r="G162">
        <v>202010</v>
      </c>
      <c r="H162" t="s">
        <v>64</v>
      </c>
      <c r="I162" t="s">
        <v>65</v>
      </c>
      <c r="J162" t="s">
        <v>66</v>
      </c>
      <c r="K162" t="s">
        <v>67</v>
      </c>
      <c r="L162" t="s">
        <v>120</v>
      </c>
      <c r="M162" t="s">
        <v>121</v>
      </c>
      <c r="N162" t="s">
        <v>404</v>
      </c>
      <c r="O162" t="s">
        <v>69</v>
      </c>
      <c r="P162" t="str">
        <f>"2170735527                    "</f>
        <v xml:space="preserve">2170735527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27.2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13</v>
      </c>
      <c r="BJ162">
        <v>4.0999999999999996</v>
      </c>
      <c r="BK162">
        <v>13</v>
      </c>
      <c r="BL162">
        <v>299.19</v>
      </c>
      <c r="BM162">
        <v>44.88</v>
      </c>
      <c r="BN162">
        <v>344.07</v>
      </c>
      <c r="BO162">
        <v>344.07</v>
      </c>
      <c r="BQ162" t="s">
        <v>405</v>
      </c>
      <c r="BR162" t="s">
        <v>71</v>
      </c>
      <c r="BS162" s="1">
        <v>43929</v>
      </c>
      <c r="BT162" s="2">
        <v>0.41666666666666669</v>
      </c>
      <c r="BU162" t="s">
        <v>373</v>
      </c>
      <c r="BV162" t="s">
        <v>74</v>
      </c>
      <c r="BW162" t="s">
        <v>124</v>
      </c>
      <c r="BX162" t="s">
        <v>125</v>
      </c>
      <c r="BY162">
        <v>20358</v>
      </c>
      <c r="CC162" t="s">
        <v>121</v>
      </c>
      <c r="CD162">
        <v>4068</v>
      </c>
      <c r="CE162" t="s">
        <v>91</v>
      </c>
      <c r="CF162" s="1">
        <v>43935</v>
      </c>
      <c r="CI162">
        <v>1</v>
      </c>
      <c r="CJ162">
        <v>3</v>
      </c>
      <c r="CK162">
        <v>21</v>
      </c>
      <c r="CL162" t="s">
        <v>74</v>
      </c>
    </row>
    <row r="163" spans="1:90" x14ac:dyDescent="0.25">
      <c r="A163" t="s">
        <v>61</v>
      </c>
      <c r="B163" t="s">
        <v>62</v>
      </c>
      <c r="C163" t="s">
        <v>63</v>
      </c>
      <c r="E163" t="str">
        <f>"FES1162744041"</f>
        <v>FES1162744041</v>
      </c>
      <c r="F163" s="1">
        <v>43923</v>
      </c>
      <c r="G163">
        <v>202010</v>
      </c>
      <c r="H163" t="s">
        <v>64</v>
      </c>
      <c r="I163" t="s">
        <v>65</v>
      </c>
      <c r="J163" t="s">
        <v>66</v>
      </c>
      <c r="K163" t="s">
        <v>67</v>
      </c>
      <c r="L163" t="s">
        <v>92</v>
      </c>
      <c r="M163" t="s">
        <v>93</v>
      </c>
      <c r="N163" t="s">
        <v>165</v>
      </c>
      <c r="O163" t="s">
        <v>69</v>
      </c>
      <c r="P163" t="str">
        <f>"2170735460                    "</f>
        <v xml:space="preserve">2170735460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4.1900000000000004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46.06</v>
      </c>
      <c r="BM163">
        <v>6.91</v>
      </c>
      <c r="BN163">
        <v>52.97</v>
      </c>
      <c r="BO163">
        <v>52.97</v>
      </c>
      <c r="BQ163" t="s">
        <v>70</v>
      </c>
      <c r="BR163" t="s">
        <v>71</v>
      </c>
      <c r="BS163" s="1">
        <v>43924</v>
      </c>
      <c r="BT163" s="2">
        <v>0.30069444444444443</v>
      </c>
      <c r="BU163" t="s">
        <v>166</v>
      </c>
      <c r="BV163" t="s">
        <v>80</v>
      </c>
      <c r="BY163">
        <v>1200</v>
      </c>
      <c r="BZ163" t="s">
        <v>23</v>
      </c>
      <c r="CA163" t="s">
        <v>167</v>
      </c>
      <c r="CC163" t="s">
        <v>93</v>
      </c>
      <c r="CD163">
        <v>7530</v>
      </c>
      <c r="CE163" t="s">
        <v>73</v>
      </c>
      <c r="CF163" s="1">
        <v>43924</v>
      </c>
      <c r="CI163">
        <v>1</v>
      </c>
      <c r="CJ163">
        <v>1</v>
      </c>
      <c r="CK163">
        <v>21</v>
      </c>
      <c r="CL163" t="s">
        <v>74</v>
      </c>
    </row>
    <row r="164" spans="1:90" x14ac:dyDescent="0.25">
      <c r="A164" t="s">
        <v>61</v>
      </c>
      <c r="B164" t="s">
        <v>62</v>
      </c>
      <c r="C164" t="s">
        <v>63</v>
      </c>
      <c r="E164" t="str">
        <f>"FES1162744295"</f>
        <v>FES1162744295</v>
      </c>
      <c r="F164" s="1">
        <v>43927</v>
      </c>
      <c r="G164">
        <v>202010</v>
      </c>
      <c r="H164" t="s">
        <v>64</v>
      </c>
      <c r="I164" t="s">
        <v>65</v>
      </c>
      <c r="J164" t="s">
        <v>66</v>
      </c>
      <c r="K164" t="s">
        <v>67</v>
      </c>
      <c r="L164" t="s">
        <v>104</v>
      </c>
      <c r="M164" t="s">
        <v>105</v>
      </c>
      <c r="N164" t="s">
        <v>251</v>
      </c>
      <c r="O164" t="s">
        <v>69</v>
      </c>
      <c r="P164" t="str">
        <f>"2170735060                    "</f>
        <v xml:space="preserve">2170735060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5.89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64.77</v>
      </c>
      <c r="BM164">
        <v>9.7200000000000006</v>
      </c>
      <c r="BN164">
        <v>74.489999999999995</v>
      </c>
      <c r="BO164">
        <v>74.489999999999995</v>
      </c>
      <c r="BQ164" t="s">
        <v>70</v>
      </c>
      <c r="BR164" t="s">
        <v>71</v>
      </c>
      <c r="BS164" s="1">
        <v>43928</v>
      </c>
      <c r="BT164" s="2">
        <v>0.41666666666666669</v>
      </c>
      <c r="BU164" t="s">
        <v>356</v>
      </c>
      <c r="BV164" t="s">
        <v>80</v>
      </c>
      <c r="BY164">
        <v>1200</v>
      </c>
      <c r="CC164" t="s">
        <v>105</v>
      </c>
      <c r="CD164">
        <v>1759</v>
      </c>
      <c r="CE164" t="s">
        <v>73</v>
      </c>
      <c r="CF164" s="1">
        <v>43929</v>
      </c>
      <c r="CI164">
        <v>1</v>
      </c>
      <c r="CJ164">
        <v>1</v>
      </c>
      <c r="CK164">
        <v>24</v>
      </c>
      <c r="CL164" t="s">
        <v>74</v>
      </c>
    </row>
    <row r="165" spans="1:90" x14ac:dyDescent="0.25">
      <c r="A165" t="s">
        <v>61</v>
      </c>
      <c r="B165" t="s">
        <v>62</v>
      </c>
      <c r="C165" t="s">
        <v>63</v>
      </c>
      <c r="E165" t="str">
        <f>"RFES1162743905"</f>
        <v>RFES1162743905</v>
      </c>
      <c r="F165" s="1">
        <v>43923</v>
      </c>
      <c r="G165">
        <v>202010</v>
      </c>
      <c r="H165" t="s">
        <v>351</v>
      </c>
      <c r="I165" t="s">
        <v>352</v>
      </c>
      <c r="J165" t="s">
        <v>353</v>
      </c>
      <c r="K165" t="s">
        <v>67</v>
      </c>
      <c r="L165" t="s">
        <v>64</v>
      </c>
      <c r="M165" t="s">
        <v>65</v>
      </c>
      <c r="N165" t="s">
        <v>66</v>
      </c>
      <c r="O165" t="s">
        <v>69</v>
      </c>
      <c r="P165" t="str">
        <f>"2170734394                    "</f>
        <v xml:space="preserve">2170734394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11.78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</v>
      </c>
      <c r="BJ165">
        <v>2.6</v>
      </c>
      <c r="BK165">
        <v>3</v>
      </c>
      <c r="BL165">
        <v>129.54</v>
      </c>
      <c r="BM165">
        <v>19.43</v>
      </c>
      <c r="BN165">
        <v>148.97</v>
      </c>
      <c r="BO165">
        <v>148.97</v>
      </c>
      <c r="BQ165" t="s">
        <v>71</v>
      </c>
      <c r="BR165" t="s">
        <v>354</v>
      </c>
      <c r="BS165" s="1">
        <v>43924</v>
      </c>
      <c r="BT165" s="2">
        <v>0.35694444444444445</v>
      </c>
      <c r="BU165" t="s">
        <v>243</v>
      </c>
      <c r="BV165" t="s">
        <v>80</v>
      </c>
      <c r="BY165">
        <v>13194.72</v>
      </c>
      <c r="BZ165" t="s">
        <v>23</v>
      </c>
      <c r="CC165" t="s">
        <v>65</v>
      </c>
      <c r="CD165">
        <v>1601</v>
      </c>
      <c r="CE165" t="s">
        <v>73</v>
      </c>
      <c r="CF165" s="1">
        <v>43924</v>
      </c>
      <c r="CI165">
        <v>1</v>
      </c>
      <c r="CJ165">
        <v>1</v>
      </c>
      <c r="CK165">
        <v>23</v>
      </c>
      <c r="CL165" t="s">
        <v>74</v>
      </c>
    </row>
    <row r="166" spans="1:90" x14ac:dyDescent="0.25">
      <c r="A166" t="s">
        <v>61</v>
      </c>
      <c r="B166" t="s">
        <v>62</v>
      </c>
      <c r="C166" t="s">
        <v>63</v>
      </c>
      <c r="E166" t="str">
        <f>"FES1162744227"</f>
        <v>FES1162744227</v>
      </c>
      <c r="F166" s="1">
        <v>43927</v>
      </c>
      <c r="G166">
        <v>202010</v>
      </c>
      <c r="H166" t="s">
        <v>64</v>
      </c>
      <c r="I166" t="s">
        <v>65</v>
      </c>
      <c r="J166" t="s">
        <v>66</v>
      </c>
      <c r="K166" t="s">
        <v>67</v>
      </c>
      <c r="L166" t="s">
        <v>298</v>
      </c>
      <c r="M166" t="s">
        <v>299</v>
      </c>
      <c r="N166" t="s">
        <v>300</v>
      </c>
      <c r="O166" t="s">
        <v>69</v>
      </c>
      <c r="P166" t="str">
        <f>"2170734269                    "</f>
        <v xml:space="preserve">2170734269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8.11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89.23</v>
      </c>
      <c r="BM166">
        <v>13.38</v>
      </c>
      <c r="BN166">
        <v>102.61</v>
      </c>
      <c r="BO166">
        <v>102.61</v>
      </c>
      <c r="BQ166" t="s">
        <v>78</v>
      </c>
      <c r="BR166" t="s">
        <v>71</v>
      </c>
      <c r="BS166" s="1">
        <v>43928</v>
      </c>
      <c r="BT166" s="2">
        <v>0.6333333333333333</v>
      </c>
      <c r="BU166" t="s">
        <v>301</v>
      </c>
      <c r="BV166" t="s">
        <v>80</v>
      </c>
      <c r="BY166">
        <v>1200</v>
      </c>
      <c r="CA166" t="s">
        <v>137</v>
      </c>
      <c r="CC166" t="s">
        <v>299</v>
      </c>
      <c r="CD166">
        <v>4380</v>
      </c>
      <c r="CE166" t="s">
        <v>73</v>
      </c>
      <c r="CF166" s="1">
        <v>43935</v>
      </c>
      <c r="CI166">
        <v>1</v>
      </c>
      <c r="CJ166">
        <v>1</v>
      </c>
      <c r="CK166">
        <v>23</v>
      </c>
      <c r="CL166" t="s">
        <v>74</v>
      </c>
    </row>
    <row r="167" spans="1:90" x14ac:dyDescent="0.25">
      <c r="A167" t="s">
        <v>61</v>
      </c>
      <c r="B167" t="s">
        <v>62</v>
      </c>
      <c r="C167" t="s">
        <v>63</v>
      </c>
      <c r="E167" t="str">
        <f>"RFES1162743625"</f>
        <v>RFES1162743625</v>
      </c>
      <c r="F167" s="1">
        <v>43923</v>
      </c>
      <c r="G167">
        <v>202010</v>
      </c>
      <c r="H167" t="s">
        <v>406</v>
      </c>
      <c r="I167" t="s">
        <v>407</v>
      </c>
      <c r="J167" t="s">
        <v>408</v>
      </c>
      <c r="K167" t="s">
        <v>67</v>
      </c>
      <c r="L167" t="s">
        <v>64</v>
      </c>
      <c r="M167" t="s">
        <v>65</v>
      </c>
      <c r="N167" t="s">
        <v>66</v>
      </c>
      <c r="O167" t="s">
        <v>69</v>
      </c>
      <c r="P167" t="str">
        <f>"2170735024                    "</f>
        <v xml:space="preserve">2170735024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6.41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5.7</v>
      </c>
      <c r="BJ167">
        <v>3.1</v>
      </c>
      <c r="BK167">
        <v>6</v>
      </c>
      <c r="BL167">
        <v>70.48</v>
      </c>
      <c r="BM167">
        <v>10.57</v>
      </c>
      <c r="BN167">
        <v>81.05</v>
      </c>
      <c r="BO167">
        <v>81.05</v>
      </c>
      <c r="BQ167" t="s">
        <v>71</v>
      </c>
      <c r="BR167" t="s">
        <v>70</v>
      </c>
      <c r="BS167" s="1">
        <v>43924</v>
      </c>
      <c r="BT167" s="2">
        <v>0.35694444444444445</v>
      </c>
      <c r="BU167" t="s">
        <v>243</v>
      </c>
      <c r="BV167" t="s">
        <v>80</v>
      </c>
      <c r="BY167">
        <v>15324.64</v>
      </c>
      <c r="BZ167" t="s">
        <v>23</v>
      </c>
      <c r="CC167" t="s">
        <v>65</v>
      </c>
      <c r="CD167">
        <v>1601</v>
      </c>
      <c r="CE167" t="s">
        <v>91</v>
      </c>
      <c r="CF167" s="1">
        <v>43924</v>
      </c>
      <c r="CI167">
        <v>1</v>
      </c>
      <c r="CJ167">
        <v>1</v>
      </c>
      <c r="CK167">
        <v>22</v>
      </c>
      <c r="CL167" t="s">
        <v>74</v>
      </c>
    </row>
    <row r="168" spans="1:90" x14ac:dyDescent="0.25">
      <c r="A168" t="s">
        <v>61</v>
      </c>
      <c r="B168" t="s">
        <v>62</v>
      </c>
      <c r="C168" t="s">
        <v>63</v>
      </c>
      <c r="E168" t="str">
        <f>"FES1162744215"</f>
        <v>FES1162744215</v>
      </c>
      <c r="F168" s="1">
        <v>43927</v>
      </c>
      <c r="G168">
        <v>202010</v>
      </c>
      <c r="H168" t="s">
        <v>64</v>
      </c>
      <c r="I168" t="s">
        <v>65</v>
      </c>
      <c r="J168" t="s">
        <v>66</v>
      </c>
      <c r="K168" t="s">
        <v>67</v>
      </c>
      <c r="L168" t="s">
        <v>116</v>
      </c>
      <c r="M168" t="s">
        <v>117</v>
      </c>
      <c r="N168" t="s">
        <v>118</v>
      </c>
      <c r="O168" t="s">
        <v>69</v>
      </c>
      <c r="P168" t="str">
        <f>"2170733908                    "</f>
        <v xml:space="preserve">2170733908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8.11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89.23</v>
      </c>
      <c r="BM168">
        <v>13.38</v>
      </c>
      <c r="BN168">
        <v>102.61</v>
      </c>
      <c r="BO168">
        <v>102.61</v>
      </c>
      <c r="BQ168" t="s">
        <v>78</v>
      </c>
      <c r="BR168" t="s">
        <v>71</v>
      </c>
      <c r="BS168" s="1">
        <v>43928</v>
      </c>
      <c r="BT168" s="2">
        <v>0.41666666666666669</v>
      </c>
      <c r="BU168" t="s">
        <v>409</v>
      </c>
      <c r="BV168" t="s">
        <v>80</v>
      </c>
      <c r="BY168">
        <v>1200</v>
      </c>
      <c r="CC168" t="s">
        <v>117</v>
      </c>
      <c r="CD168">
        <v>7300</v>
      </c>
      <c r="CE168" t="s">
        <v>73</v>
      </c>
      <c r="CF168" s="1">
        <v>43929</v>
      </c>
      <c r="CI168">
        <v>1</v>
      </c>
      <c r="CJ168">
        <v>1</v>
      </c>
      <c r="CK168">
        <v>23</v>
      </c>
      <c r="CL168" t="s">
        <v>74</v>
      </c>
    </row>
    <row r="169" spans="1:90" x14ac:dyDescent="0.25">
      <c r="A169" t="s">
        <v>61</v>
      </c>
      <c r="B169" t="s">
        <v>62</v>
      </c>
      <c r="C169" t="s">
        <v>63</v>
      </c>
      <c r="E169" t="str">
        <f>"RFES1162742852"</f>
        <v>RFES1162742852</v>
      </c>
      <c r="F169" s="1">
        <v>43922</v>
      </c>
      <c r="G169">
        <v>202010</v>
      </c>
      <c r="H169" t="s">
        <v>270</v>
      </c>
      <c r="I169" t="s">
        <v>271</v>
      </c>
      <c r="J169" t="s">
        <v>272</v>
      </c>
      <c r="K169" t="s">
        <v>67</v>
      </c>
      <c r="L169" t="s">
        <v>64</v>
      </c>
      <c r="M169" t="s">
        <v>65</v>
      </c>
      <c r="N169" t="s">
        <v>66</v>
      </c>
      <c r="O169" t="s">
        <v>69</v>
      </c>
      <c r="P169" t="str">
        <f>"2170734238                    "</f>
        <v xml:space="preserve">2170734238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3.27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</v>
      </c>
      <c r="BJ169">
        <v>0.9</v>
      </c>
      <c r="BK169">
        <v>1</v>
      </c>
      <c r="BL169">
        <v>35.979999999999997</v>
      </c>
      <c r="BM169">
        <v>5.4</v>
      </c>
      <c r="BN169">
        <v>41.38</v>
      </c>
      <c r="BO169">
        <v>41.38</v>
      </c>
      <c r="BQ169" t="s">
        <v>71</v>
      </c>
      <c r="BR169" t="s">
        <v>70</v>
      </c>
      <c r="BS169" s="1">
        <v>43923</v>
      </c>
      <c r="BT169" s="2">
        <v>0.35416666666666669</v>
      </c>
      <c r="BU169" t="s">
        <v>243</v>
      </c>
      <c r="BV169" t="s">
        <v>80</v>
      </c>
      <c r="BY169">
        <v>4567.71</v>
      </c>
      <c r="BZ169" t="s">
        <v>23</v>
      </c>
      <c r="CC169" t="s">
        <v>65</v>
      </c>
      <c r="CD169">
        <v>1601</v>
      </c>
      <c r="CE169" t="s">
        <v>73</v>
      </c>
      <c r="CF169" s="1">
        <v>43924</v>
      </c>
      <c r="CI169">
        <v>1</v>
      </c>
      <c r="CJ169">
        <v>1</v>
      </c>
      <c r="CK169">
        <v>22</v>
      </c>
      <c r="CL169" t="s">
        <v>74</v>
      </c>
    </row>
    <row r="170" spans="1:90" x14ac:dyDescent="0.25">
      <c r="A170" t="s">
        <v>61</v>
      </c>
      <c r="B170" t="s">
        <v>62</v>
      </c>
      <c r="C170" t="s">
        <v>63</v>
      </c>
      <c r="E170" t="str">
        <f>"FES1162744133"</f>
        <v>FES1162744133</v>
      </c>
      <c r="F170" s="1">
        <v>43927</v>
      </c>
      <c r="G170">
        <v>202010</v>
      </c>
      <c r="H170" t="s">
        <v>64</v>
      </c>
      <c r="I170" t="s">
        <v>65</v>
      </c>
      <c r="J170" t="s">
        <v>66</v>
      </c>
      <c r="K170" t="s">
        <v>67</v>
      </c>
      <c r="L170" t="s">
        <v>64</v>
      </c>
      <c r="M170" t="s">
        <v>65</v>
      </c>
      <c r="N170" t="s">
        <v>313</v>
      </c>
      <c r="O170" t="s">
        <v>69</v>
      </c>
      <c r="P170" t="str">
        <f>"2170732792                    "</f>
        <v xml:space="preserve">2170732792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4.0599999999999996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2.7</v>
      </c>
      <c r="BJ170">
        <v>0.9</v>
      </c>
      <c r="BK170">
        <v>3</v>
      </c>
      <c r="BL170">
        <v>44.61</v>
      </c>
      <c r="BM170">
        <v>6.69</v>
      </c>
      <c r="BN170">
        <v>51.3</v>
      </c>
      <c r="BO170">
        <v>51.3</v>
      </c>
      <c r="BQ170" t="s">
        <v>70</v>
      </c>
      <c r="BR170" t="s">
        <v>71</v>
      </c>
      <c r="BS170" s="1">
        <v>43928</v>
      </c>
      <c r="BT170" s="2">
        <v>0.40625</v>
      </c>
      <c r="BU170" t="s">
        <v>314</v>
      </c>
      <c r="BV170" t="s">
        <v>80</v>
      </c>
      <c r="BY170">
        <v>4353.3599999999997</v>
      </c>
      <c r="CA170" t="s">
        <v>193</v>
      </c>
      <c r="CC170" t="s">
        <v>65</v>
      </c>
      <c r="CD170">
        <v>1624</v>
      </c>
      <c r="CE170" t="s">
        <v>91</v>
      </c>
      <c r="CF170" s="1">
        <v>43929</v>
      </c>
      <c r="CI170">
        <v>1</v>
      </c>
      <c r="CJ170">
        <v>1</v>
      </c>
      <c r="CK170">
        <v>22</v>
      </c>
      <c r="CL170" t="s">
        <v>74</v>
      </c>
    </row>
    <row r="171" spans="1:90" x14ac:dyDescent="0.25">
      <c r="A171" t="s">
        <v>61</v>
      </c>
      <c r="B171" t="s">
        <v>62</v>
      </c>
      <c r="C171" t="s">
        <v>63</v>
      </c>
      <c r="E171" t="str">
        <f>"FES1162744103"</f>
        <v>FES1162744103</v>
      </c>
      <c r="F171" s="1">
        <v>43927</v>
      </c>
      <c r="G171">
        <v>202010</v>
      </c>
      <c r="H171" t="s">
        <v>64</v>
      </c>
      <c r="I171" t="s">
        <v>65</v>
      </c>
      <c r="J171" t="s">
        <v>66</v>
      </c>
      <c r="K171" t="s">
        <v>67</v>
      </c>
      <c r="L171" t="s">
        <v>64</v>
      </c>
      <c r="M171" t="s">
        <v>65</v>
      </c>
      <c r="N171" t="s">
        <v>313</v>
      </c>
      <c r="O171" t="s">
        <v>69</v>
      </c>
      <c r="P171" t="str">
        <f>"2170735151                    "</f>
        <v xml:space="preserve">2170735151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3.27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35.979999999999997</v>
      </c>
      <c r="BM171">
        <v>5.4</v>
      </c>
      <c r="BN171">
        <v>41.38</v>
      </c>
      <c r="BO171">
        <v>41.38</v>
      </c>
      <c r="BQ171" t="s">
        <v>78</v>
      </c>
      <c r="BR171" t="s">
        <v>71</v>
      </c>
      <c r="BS171" s="1">
        <v>43928</v>
      </c>
      <c r="BT171" s="2">
        <v>0.40625</v>
      </c>
      <c r="BU171" t="s">
        <v>314</v>
      </c>
      <c r="BV171" t="s">
        <v>80</v>
      </c>
      <c r="BY171">
        <v>1200</v>
      </c>
      <c r="CA171" t="s">
        <v>193</v>
      </c>
      <c r="CC171" t="s">
        <v>65</v>
      </c>
      <c r="CD171">
        <v>1624</v>
      </c>
      <c r="CE171" t="s">
        <v>73</v>
      </c>
      <c r="CF171" s="1">
        <v>43929</v>
      </c>
      <c r="CI171">
        <v>1</v>
      </c>
      <c r="CJ171">
        <v>1</v>
      </c>
      <c r="CK171">
        <v>22</v>
      </c>
      <c r="CL171" t="s">
        <v>74</v>
      </c>
    </row>
    <row r="172" spans="1:90" x14ac:dyDescent="0.25">
      <c r="A172" t="s">
        <v>61</v>
      </c>
      <c r="B172" t="s">
        <v>62</v>
      </c>
      <c r="C172" t="s">
        <v>63</v>
      </c>
      <c r="E172" t="str">
        <f>"FES1162744224"</f>
        <v>FES1162744224</v>
      </c>
      <c r="F172" s="1">
        <v>43927</v>
      </c>
      <c r="G172">
        <v>202010</v>
      </c>
      <c r="H172" t="s">
        <v>64</v>
      </c>
      <c r="I172" t="s">
        <v>65</v>
      </c>
      <c r="J172" t="s">
        <v>66</v>
      </c>
      <c r="K172" t="s">
        <v>67</v>
      </c>
      <c r="L172" t="s">
        <v>385</v>
      </c>
      <c r="M172" t="s">
        <v>386</v>
      </c>
      <c r="N172" t="s">
        <v>410</v>
      </c>
      <c r="O172" t="s">
        <v>69</v>
      </c>
      <c r="P172" t="str">
        <f>"2170734061                    "</f>
        <v xml:space="preserve">2170734061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5.89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64.77</v>
      </c>
      <c r="BM172">
        <v>9.7200000000000006</v>
      </c>
      <c r="BN172">
        <v>74.489999999999995</v>
      </c>
      <c r="BO172">
        <v>74.489999999999995</v>
      </c>
      <c r="BQ172" t="s">
        <v>78</v>
      </c>
      <c r="BR172" t="s">
        <v>71</v>
      </c>
      <c r="BS172" s="1">
        <v>43928</v>
      </c>
      <c r="BT172" s="2">
        <v>0.4375</v>
      </c>
      <c r="BU172" t="s">
        <v>411</v>
      </c>
      <c r="BV172" t="s">
        <v>80</v>
      </c>
      <c r="BY172">
        <v>1200</v>
      </c>
      <c r="CC172" t="s">
        <v>386</v>
      </c>
      <c r="CD172">
        <v>1873</v>
      </c>
      <c r="CE172" t="s">
        <v>73</v>
      </c>
      <c r="CF172" s="1">
        <v>43929</v>
      </c>
      <c r="CI172">
        <v>1</v>
      </c>
      <c r="CJ172">
        <v>1</v>
      </c>
      <c r="CK172">
        <v>24</v>
      </c>
      <c r="CL172" t="s">
        <v>74</v>
      </c>
    </row>
    <row r="173" spans="1:90" x14ac:dyDescent="0.25">
      <c r="A173" t="s">
        <v>61</v>
      </c>
      <c r="B173" t="s">
        <v>62</v>
      </c>
      <c r="C173" t="s">
        <v>63</v>
      </c>
      <c r="E173" t="str">
        <f>"FES1162744107"</f>
        <v>FES1162744107</v>
      </c>
      <c r="F173" s="1">
        <v>43927</v>
      </c>
      <c r="G173">
        <v>202010</v>
      </c>
      <c r="H173" t="s">
        <v>64</v>
      </c>
      <c r="I173" t="s">
        <v>65</v>
      </c>
      <c r="J173" t="s">
        <v>66</v>
      </c>
      <c r="K173" t="s">
        <v>67</v>
      </c>
      <c r="L173" t="s">
        <v>75</v>
      </c>
      <c r="M173" t="s">
        <v>76</v>
      </c>
      <c r="N173" t="s">
        <v>108</v>
      </c>
      <c r="O173" t="s">
        <v>69</v>
      </c>
      <c r="P173" t="str">
        <f>"2170735551                    "</f>
        <v xml:space="preserve">2170735551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3.27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35.979999999999997</v>
      </c>
      <c r="BM173">
        <v>5.4</v>
      </c>
      <c r="BN173">
        <v>41.38</v>
      </c>
      <c r="BO173">
        <v>41.38</v>
      </c>
      <c r="BQ173" t="s">
        <v>109</v>
      </c>
      <c r="BR173" t="s">
        <v>71</v>
      </c>
      <c r="BS173" s="1">
        <v>43928</v>
      </c>
      <c r="BT173" s="2">
        <v>0.41666666666666669</v>
      </c>
      <c r="BU173" t="s">
        <v>110</v>
      </c>
      <c r="BV173" t="s">
        <v>80</v>
      </c>
      <c r="BY173">
        <v>1200</v>
      </c>
      <c r="CC173" t="s">
        <v>76</v>
      </c>
      <c r="CD173">
        <v>1459</v>
      </c>
      <c r="CE173" t="s">
        <v>73</v>
      </c>
      <c r="CF173" s="1">
        <v>43929</v>
      </c>
      <c r="CI173">
        <v>1</v>
      </c>
      <c r="CJ173">
        <v>1</v>
      </c>
      <c r="CK173">
        <v>22</v>
      </c>
      <c r="CL173" t="s">
        <v>74</v>
      </c>
    </row>
    <row r="174" spans="1:90" x14ac:dyDescent="0.25">
      <c r="A174" t="s">
        <v>61</v>
      </c>
      <c r="B174" t="s">
        <v>62</v>
      </c>
      <c r="C174" t="s">
        <v>63</v>
      </c>
      <c r="E174" t="str">
        <f>"FES1162744078"</f>
        <v>FES1162744078</v>
      </c>
      <c r="F174" s="1">
        <v>43924</v>
      </c>
      <c r="G174">
        <v>202010</v>
      </c>
      <c r="H174" t="s">
        <v>64</v>
      </c>
      <c r="I174" t="s">
        <v>65</v>
      </c>
      <c r="J174" t="s">
        <v>66</v>
      </c>
      <c r="K174" t="s">
        <v>67</v>
      </c>
      <c r="L174" t="s">
        <v>120</v>
      </c>
      <c r="M174" t="s">
        <v>121</v>
      </c>
      <c r="N174" t="s">
        <v>412</v>
      </c>
      <c r="O174" t="s">
        <v>69</v>
      </c>
      <c r="P174" t="str">
        <f>"2170735419                    "</f>
        <v xml:space="preserve">2170735419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6.28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1.6</v>
      </c>
      <c r="BJ174">
        <v>3</v>
      </c>
      <c r="BK174">
        <v>3</v>
      </c>
      <c r="BL174">
        <v>69.069999999999993</v>
      </c>
      <c r="BM174">
        <v>10.36</v>
      </c>
      <c r="BN174">
        <v>79.430000000000007</v>
      </c>
      <c r="BO174">
        <v>79.430000000000007</v>
      </c>
      <c r="BQ174" t="s">
        <v>78</v>
      </c>
      <c r="BR174" t="s">
        <v>71</v>
      </c>
      <c r="BS174" s="1">
        <v>43929</v>
      </c>
      <c r="BT174" s="2">
        <v>0.41666666666666669</v>
      </c>
      <c r="BU174" t="s">
        <v>413</v>
      </c>
      <c r="BV174" t="s">
        <v>74</v>
      </c>
      <c r="BW174" t="s">
        <v>124</v>
      </c>
      <c r="BX174" t="s">
        <v>125</v>
      </c>
      <c r="BY174">
        <v>15210.34</v>
      </c>
      <c r="CC174" t="s">
        <v>121</v>
      </c>
      <c r="CD174">
        <v>4072</v>
      </c>
      <c r="CE174" t="s">
        <v>91</v>
      </c>
      <c r="CF174" s="1">
        <v>43935</v>
      </c>
      <c r="CI174">
        <v>1</v>
      </c>
      <c r="CJ174">
        <v>3</v>
      </c>
      <c r="CK174">
        <v>21</v>
      </c>
      <c r="CL174" t="s">
        <v>74</v>
      </c>
    </row>
    <row r="175" spans="1:90" x14ac:dyDescent="0.25">
      <c r="A175" t="s">
        <v>61</v>
      </c>
      <c r="B175" t="s">
        <v>62</v>
      </c>
      <c r="C175" t="s">
        <v>63</v>
      </c>
      <c r="E175" t="str">
        <f>"FES1162744279"</f>
        <v>FES1162744279</v>
      </c>
      <c r="F175" s="1">
        <v>43927</v>
      </c>
      <c r="G175">
        <v>202010</v>
      </c>
      <c r="H175" t="s">
        <v>64</v>
      </c>
      <c r="I175" t="s">
        <v>65</v>
      </c>
      <c r="J175" t="s">
        <v>66</v>
      </c>
      <c r="K175" t="s">
        <v>67</v>
      </c>
      <c r="L175" t="s">
        <v>298</v>
      </c>
      <c r="M175" t="s">
        <v>299</v>
      </c>
      <c r="N175" t="s">
        <v>300</v>
      </c>
      <c r="O175" t="s">
        <v>69</v>
      </c>
      <c r="P175" t="str">
        <f>"2170735609                    "</f>
        <v xml:space="preserve">2170735609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8.11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89.23</v>
      </c>
      <c r="BM175">
        <v>13.38</v>
      </c>
      <c r="BN175">
        <v>102.61</v>
      </c>
      <c r="BO175">
        <v>102.61</v>
      </c>
      <c r="BQ175" t="s">
        <v>78</v>
      </c>
      <c r="BR175" t="s">
        <v>71</v>
      </c>
      <c r="BS175" s="1">
        <v>43928</v>
      </c>
      <c r="BT175" s="2">
        <v>0.6333333333333333</v>
      </c>
      <c r="BU175" t="s">
        <v>301</v>
      </c>
      <c r="BV175" t="s">
        <v>80</v>
      </c>
      <c r="BY175">
        <v>1200</v>
      </c>
      <c r="CA175" t="s">
        <v>137</v>
      </c>
      <c r="CC175" t="s">
        <v>299</v>
      </c>
      <c r="CD175">
        <v>4380</v>
      </c>
      <c r="CE175" t="s">
        <v>73</v>
      </c>
      <c r="CF175" s="1">
        <v>43935</v>
      </c>
      <c r="CI175">
        <v>1</v>
      </c>
      <c r="CJ175">
        <v>1</v>
      </c>
      <c r="CK175">
        <v>23</v>
      </c>
      <c r="CL175" t="s">
        <v>74</v>
      </c>
    </row>
    <row r="176" spans="1:90" x14ac:dyDescent="0.25">
      <c r="A176" t="s">
        <v>61</v>
      </c>
      <c r="B176" t="s">
        <v>62</v>
      </c>
      <c r="C176" t="s">
        <v>63</v>
      </c>
      <c r="E176" t="str">
        <f>"FES1162744007"</f>
        <v>FES1162744007</v>
      </c>
      <c r="F176" s="1">
        <v>43927</v>
      </c>
      <c r="G176">
        <v>202010</v>
      </c>
      <c r="H176" t="s">
        <v>64</v>
      </c>
      <c r="I176" t="s">
        <v>65</v>
      </c>
      <c r="J176" t="s">
        <v>66</v>
      </c>
      <c r="K176" t="s">
        <v>67</v>
      </c>
      <c r="L176" t="s">
        <v>133</v>
      </c>
      <c r="M176" t="s">
        <v>134</v>
      </c>
      <c r="N176" t="s">
        <v>135</v>
      </c>
      <c r="O176" t="s">
        <v>69</v>
      </c>
      <c r="P176" t="str">
        <f>"2170733209                    "</f>
        <v xml:space="preserve">2170733209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8.11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1.5</v>
      </c>
      <c r="BJ176">
        <v>0.9</v>
      </c>
      <c r="BK176">
        <v>1.5</v>
      </c>
      <c r="BL176">
        <v>89.23</v>
      </c>
      <c r="BM176">
        <v>13.38</v>
      </c>
      <c r="BN176">
        <v>102.61</v>
      </c>
      <c r="BO176">
        <v>102.61</v>
      </c>
      <c r="BQ176" t="s">
        <v>70</v>
      </c>
      <c r="BR176" t="s">
        <v>71</v>
      </c>
      <c r="BS176" s="1">
        <v>43928</v>
      </c>
      <c r="BT176" s="2">
        <v>0.63194444444444442</v>
      </c>
      <c r="BU176" t="s">
        <v>136</v>
      </c>
      <c r="BV176" t="s">
        <v>80</v>
      </c>
      <c r="BY176">
        <v>4539</v>
      </c>
      <c r="CA176" t="s">
        <v>137</v>
      </c>
      <c r="CC176" t="s">
        <v>134</v>
      </c>
      <c r="CD176">
        <v>4450</v>
      </c>
      <c r="CE176" t="s">
        <v>91</v>
      </c>
      <c r="CF176" s="1">
        <v>43935</v>
      </c>
      <c r="CI176">
        <v>1</v>
      </c>
      <c r="CJ176">
        <v>1</v>
      </c>
      <c r="CK176">
        <v>23</v>
      </c>
      <c r="CL176" t="s">
        <v>74</v>
      </c>
    </row>
    <row r="177" spans="1:90" x14ac:dyDescent="0.25">
      <c r="A177" t="s">
        <v>61</v>
      </c>
      <c r="B177" t="s">
        <v>62</v>
      </c>
      <c r="C177" t="s">
        <v>63</v>
      </c>
      <c r="E177" t="str">
        <f>"FES1162744293"</f>
        <v>FES1162744293</v>
      </c>
      <c r="F177" s="1">
        <v>43927</v>
      </c>
      <c r="G177">
        <v>202010</v>
      </c>
      <c r="H177" t="s">
        <v>64</v>
      </c>
      <c r="I177" t="s">
        <v>65</v>
      </c>
      <c r="J177" t="s">
        <v>66</v>
      </c>
      <c r="K177" t="s">
        <v>67</v>
      </c>
      <c r="L177" t="s">
        <v>151</v>
      </c>
      <c r="M177" t="s">
        <v>152</v>
      </c>
      <c r="N177" t="s">
        <v>414</v>
      </c>
      <c r="O177" t="s">
        <v>69</v>
      </c>
      <c r="P177" t="str">
        <f>"2170735633                    "</f>
        <v xml:space="preserve">2170735633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4.1900000000000004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46.06</v>
      </c>
      <c r="BM177">
        <v>6.91</v>
      </c>
      <c r="BN177">
        <v>52.97</v>
      </c>
      <c r="BO177">
        <v>52.97</v>
      </c>
      <c r="BQ177" t="s">
        <v>78</v>
      </c>
      <c r="BR177" t="s">
        <v>71</v>
      </c>
      <c r="BS177" s="1">
        <v>43942</v>
      </c>
      <c r="BT177" s="2">
        <v>0.5</v>
      </c>
      <c r="BU177" t="s">
        <v>415</v>
      </c>
      <c r="BY177">
        <v>1200</v>
      </c>
      <c r="CC177" t="s">
        <v>152</v>
      </c>
      <c r="CD177">
        <v>3201</v>
      </c>
      <c r="CE177" t="s">
        <v>73</v>
      </c>
      <c r="CF177" s="1">
        <v>43944</v>
      </c>
      <c r="CI177">
        <v>1</v>
      </c>
      <c r="CJ177">
        <v>11</v>
      </c>
      <c r="CK177">
        <v>21</v>
      </c>
      <c r="CL177" t="s">
        <v>74</v>
      </c>
    </row>
    <row r="178" spans="1:90" x14ac:dyDescent="0.25">
      <c r="A178" t="s">
        <v>61</v>
      </c>
      <c r="B178" t="s">
        <v>62</v>
      </c>
      <c r="C178" t="s">
        <v>63</v>
      </c>
      <c r="E178" t="str">
        <f>"FES1162744087"</f>
        <v>FES1162744087</v>
      </c>
      <c r="F178" s="1">
        <v>43924</v>
      </c>
      <c r="G178">
        <v>202010</v>
      </c>
      <c r="H178" t="s">
        <v>64</v>
      </c>
      <c r="I178" t="s">
        <v>65</v>
      </c>
      <c r="J178" t="s">
        <v>66</v>
      </c>
      <c r="K178" t="s">
        <v>67</v>
      </c>
      <c r="L178" t="s">
        <v>151</v>
      </c>
      <c r="M178" t="s">
        <v>152</v>
      </c>
      <c r="N178" t="s">
        <v>414</v>
      </c>
      <c r="O178" t="s">
        <v>69</v>
      </c>
      <c r="P178" t="str">
        <f>"2170735503                    "</f>
        <v xml:space="preserve">2170735503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7.33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2.9</v>
      </c>
      <c r="BJ178">
        <v>3.1</v>
      </c>
      <c r="BK178">
        <v>3.5</v>
      </c>
      <c r="BL178">
        <v>80.58</v>
      </c>
      <c r="BM178">
        <v>12.09</v>
      </c>
      <c r="BN178">
        <v>92.67</v>
      </c>
      <c r="BO178">
        <v>92.67</v>
      </c>
      <c r="BQ178" t="s">
        <v>78</v>
      </c>
      <c r="BR178" t="s">
        <v>71</v>
      </c>
      <c r="BS178" s="1">
        <v>43927</v>
      </c>
      <c r="BT178" s="2">
        <v>0.41666666666666669</v>
      </c>
      <c r="BU178" t="s">
        <v>415</v>
      </c>
      <c r="BV178" t="s">
        <v>80</v>
      </c>
      <c r="BY178">
        <v>15694.35</v>
      </c>
      <c r="CC178" t="s">
        <v>152</v>
      </c>
      <c r="CD178">
        <v>3201</v>
      </c>
      <c r="CE178" t="s">
        <v>91</v>
      </c>
      <c r="CF178" s="1">
        <v>43936</v>
      </c>
      <c r="CI178">
        <v>1</v>
      </c>
      <c r="CJ178">
        <v>1</v>
      </c>
      <c r="CK178">
        <v>21</v>
      </c>
      <c r="CL178" t="s">
        <v>74</v>
      </c>
    </row>
    <row r="179" spans="1:90" x14ac:dyDescent="0.25">
      <c r="A179" t="s">
        <v>61</v>
      </c>
      <c r="B179" t="s">
        <v>62</v>
      </c>
      <c r="C179" t="s">
        <v>63</v>
      </c>
      <c r="E179" t="str">
        <f>"FES1162744021"</f>
        <v>FES1162744021</v>
      </c>
      <c r="F179" s="1">
        <v>43927</v>
      </c>
      <c r="G179">
        <v>202010</v>
      </c>
      <c r="H179" t="s">
        <v>64</v>
      </c>
      <c r="I179" t="s">
        <v>65</v>
      </c>
      <c r="J179" t="s">
        <v>66</v>
      </c>
      <c r="K179" t="s">
        <v>67</v>
      </c>
      <c r="L179" t="s">
        <v>416</v>
      </c>
      <c r="M179" t="s">
        <v>417</v>
      </c>
      <c r="N179" t="s">
        <v>418</v>
      </c>
      <c r="O179" t="s">
        <v>69</v>
      </c>
      <c r="P179" t="str">
        <f>"2170735308                    "</f>
        <v xml:space="preserve">2170735308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3.27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35.979999999999997</v>
      </c>
      <c r="BM179">
        <v>5.4</v>
      </c>
      <c r="BN179">
        <v>41.38</v>
      </c>
      <c r="BO179">
        <v>41.38</v>
      </c>
      <c r="BQ179" t="s">
        <v>78</v>
      </c>
      <c r="BR179" t="s">
        <v>71</v>
      </c>
      <c r="BS179" s="1">
        <v>43928</v>
      </c>
      <c r="BT179" s="2">
        <v>0.41319444444444442</v>
      </c>
      <c r="BU179" t="s">
        <v>419</v>
      </c>
      <c r="BV179" t="s">
        <v>80</v>
      </c>
      <c r="BY179">
        <v>1200</v>
      </c>
      <c r="CC179" t="s">
        <v>417</v>
      </c>
      <c r="CD179">
        <v>1724</v>
      </c>
      <c r="CE179" t="s">
        <v>73</v>
      </c>
      <c r="CF179" s="1">
        <v>43929</v>
      </c>
      <c r="CI179">
        <v>1</v>
      </c>
      <c r="CJ179">
        <v>1</v>
      </c>
      <c r="CK179">
        <v>22</v>
      </c>
      <c r="CL179" t="s">
        <v>74</v>
      </c>
    </row>
    <row r="180" spans="1:90" x14ac:dyDescent="0.25">
      <c r="A180" t="s">
        <v>61</v>
      </c>
      <c r="B180" t="s">
        <v>62</v>
      </c>
      <c r="C180" t="s">
        <v>63</v>
      </c>
      <c r="E180" t="str">
        <f>"RFES1162743272"</f>
        <v>RFES1162743272</v>
      </c>
      <c r="F180" s="1">
        <v>43922</v>
      </c>
      <c r="G180">
        <v>202010</v>
      </c>
      <c r="H180" t="s">
        <v>270</v>
      </c>
      <c r="I180" t="s">
        <v>271</v>
      </c>
      <c r="J180" t="s">
        <v>420</v>
      </c>
      <c r="K180" t="s">
        <v>67</v>
      </c>
      <c r="L180" t="s">
        <v>64</v>
      </c>
      <c r="M180" t="s">
        <v>65</v>
      </c>
      <c r="N180" t="s">
        <v>66</v>
      </c>
      <c r="O180" t="s">
        <v>69</v>
      </c>
      <c r="P180" t="str">
        <f>"2170734687                    "</f>
        <v xml:space="preserve">2170734687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6.8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6.2</v>
      </c>
      <c r="BJ180">
        <v>3.1</v>
      </c>
      <c r="BK180">
        <v>6.5</v>
      </c>
      <c r="BL180">
        <v>74.790000000000006</v>
      </c>
      <c r="BM180">
        <v>11.22</v>
      </c>
      <c r="BN180">
        <v>86.01</v>
      </c>
      <c r="BO180">
        <v>86.01</v>
      </c>
      <c r="BQ180" t="s">
        <v>71</v>
      </c>
      <c r="BR180" t="s">
        <v>421</v>
      </c>
      <c r="BS180" s="1">
        <v>43923</v>
      </c>
      <c r="BT180" s="2">
        <v>0.35416666666666669</v>
      </c>
      <c r="BU180" t="s">
        <v>243</v>
      </c>
      <c r="BV180" t="s">
        <v>80</v>
      </c>
      <c r="BY180">
        <v>15543.67</v>
      </c>
      <c r="BZ180" t="s">
        <v>23</v>
      </c>
      <c r="CC180" t="s">
        <v>65</v>
      </c>
      <c r="CD180">
        <v>1601</v>
      </c>
      <c r="CE180" t="s">
        <v>91</v>
      </c>
      <c r="CF180" s="1">
        <v>43924</v>
      </c>
      <c r="CI180">
        <v>1</v>
      </c>
      <c r="CJ180">
        <v>1</v>
      </c>
      <c r="CK180">
        <v>22</v>
      </c>
      <c r="CL180" t="s">
        <v>74</v>
      </c>
    </row>
    <row r="181" spans="1:90" x14ac:dyDescent="0.25">
      <c r="A181" t="s">
        <v>61</v>
      </c>
      <c r="B181" t="s">
        <v>62</v>
      </c>
      <c r="C181" t="s">
        <v>63</v>
      </c>
      <c r="E181" t="str">
        <f>"RFES1162743941"</f>
        <v>RFES1162743941</v>
      </c>
      <c r="F181" s="1">
        <v>43922</v>
      </c>
      <c r="G181">
        <v>202010</v>
      </c>
      <c r="H181" t="s">
        <v>422</v>
      </c>
      <c r="I181" t="s">
        <v>423</v>
      </c>
      <c r="J181" t="s">
        <v>424</v>
      </c>
      <c r="K181" t="s">
        <v>67</v>
      </c>
      <c r="L181" t="s">
        <v>64</v>
      </c>
      <c r="M181" t="s">
        <v>65</v>
      </c>
      <c r="N181" t="s">
        <v>66</v>
      </c>
      <c r="O181" t="s">
        <v>69</v>
      </c>
      <c r="P181" t="str">
        <f>"2170735294                    "</f>
        <v xml:space="preserve">2170735294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5.89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1</v>
      </c>
      <c r="BJ181">
        <v>1.2</v>
      </c>
      <c r="BK181">
        <v>1.5</v>
      </c>
      <c r="BL181">
        <v>64.77</v>
      </c>
      <c r="BM181">
        <v>9.7200000000000006</v>
      </c>
      <c r="BN181">
        <v>74.489999999999995</v>
      </c>
      <c r="BO181">
        <v>74.489999999999995</v>
      </c>
      <c r="BQ181" t="s">
        <v>71</v>
      </c>
      <c r="BR181" t="s">
        <v>70</v>
      </c>
      <c r="BS181" s="1">
        <v>43923</v>
      </c>
      <c r="BT181" s="2">
        <v>0.35416666666666669</v>
      </c>
      <c r="BU181" t="s">
        <v>243</v>
      </c>
      <c r="BV181" t="s">
        <v>80</v>
      </c>
      <c r="BY181">
        <v>6163.11</v>
      </c>
      <c r="BZ181" t="s">
        <v>23</v>
      </c>
      <c r="CA181" t="s">
        <v>425</v>
      </c>
      <c r="CC181" t="s">
        <v>65</v>
      </c>
      <c r="CD181">
        <v>1601</v>
      </c>
      <c r="CE181" t="s">
        <v>73</v>
      </c>
      <c r="CF181" s="1">
        <v>43924</v>
      </c>
      <c r="CI181">
        <v>1</v>
      </c>
      <c r="CJ181">
        <v>1</v>
      </c>
      <c r="CK181">
        <v>24</v>
      </c>
      <c r="CL181" t="s">
        <v>74</v>
      </c>
    </row>
    <row r="182" spans="1:90" x14ac:dyDescent="0.25">
      <c r="A182" t="s">
        <v>61</v>
      </c>
      <c r="B182" t="s">
        <v>62</v>
      </c>
      <c r="C182" t="s">
        <v>63</v>
      </c>
      <c r="E182" t="str">
        <f>"RFES1162743935"</f>
        <v>RFES1162743935</v>
      </c>
      <c r="F182" s="1">
        <v>43922</v>
      </c>
      <c r="G182">
        <v>202010</v>
      </c>
      <c r="H182" t="s">
        <v>422</v>
      </c>
      <c r="I182" t="s">
        <v>423</v>
      </c>
      <c r="J182" t="s">
        <v>424</v>
      </c>
      <c r="K182" t="s">
        <v>67</v>
      </c>
      <c r="L182" t="s">
        <v>64</v>
      </c>
      <c r="M182" t="s">
        <v>65</v>
      </c>
      <c r="N182" t="s">
        <v>66</v>
      </c>
      <c r="O182" t="s">
        <v>69</v>
      </c>
      <c r="P182" t="str">
        <f>"2170735287                    "</f>
        <v xml:space="preserve">2170735287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5.89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</v>
      </c>
      <c r="BJ182">
        <v>0.7</v>
      </c>
      <c r="BK182">
        <v>1</v>
      </c>
      <c r="BL182">
        <v>64.77</v>
      </c>
      <c r="BM182">
        <v>9.7200000000000006</v>
      </c>
      <c r="BN182">
        <v>74.489999999999995</v>
      </c>
      <c r="BO182">
        <v>74.489999999999995</v>
      </c>
      <c r="BQ182" t="s">
        <v>71</v>
      </c>
      <c r="BR182" t="s">
        <v>70</v>
      </c>
      <c r="BS182" s="1">
        <v>43923</v>
      </c>
      <c r="BT182" s="2">
        <v>0.35416666666666669</v>
      </c>
      <c r="BU182" t="s">
        <v>243</v>
      </c>
      <c r="BV182" t="s">
        <v>80</v>
      </c>
      <c r="BY182">
        <v>3700.76</v>
      </c>
      <c r="BZ182" t="s">
        <v>23</v>
      </c>
      <c r="CC182" t="s">
        <v>65</v>
      </c>
      <c r="CD182">
        <v>1601</v>
      </c>
      <c r="CE182" t="s">
        <v>73</v>
      </c>
      <c r="CF182" s="1">
        <v>43924</v>
      </c>
      <c r="CI182">
        <v>1</v>
      </c>
      <c r="CJ182">
        <v>1</v>
      </c>
      <c r="CK182">
        <v>24</v>
      </c>
      <c r="CL182" t="s">
        <v>74</v>
      </c>
    </row>
    <row r="183" spans="1:90" x14ac:dyDescent="0.25">
      <c r="A183" t="s">
        <v>61</v>
      </c>
      <c r="B183" t="s">
        <v>62</v>
      </c>
      <c r="C183" t="s">
        <v>63</v>
      </c>
      <c r="E183" t="str">
        <f>"FES1162744189"</f>
        <v>FES1162744189</v>
      </c>
      <c r="F183" s="1">
        <v>43927</v>
      </c>
      <c r="G183">
        <v>202010</v>
      </c>
      <c r="H183" t="s">
        <v>64</v>
      </c>
      <c r="I183" t="s">
        <v>65</v>
      </c>
      <c r="J183" t="s">
        <v>66</v>
      </c>
      <c r="K183" t="s">
        <v>67</v>
      </c>
      <c r="L183" t="s">
        <v>368</v>
      </c>
      <c r="M183" t="s">
        <v>369</v>
      </c>
      <c r="N183" t="s">
        <v>426</v>
      </c>
      <c r="O183" t="s">
        <v>69</v>
      </c>
      <c r="P183" t="str">
        <f>"2170733184                    "</f>
        <v xml:space="preserve">2170733184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4.45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1.6</v>
      </c>
      <c r="BJ183">
        <v>3.4</v>
      </c>
      <c r="BK183">
        <v>3.5</v>
      </c>
      <c r="BL183">
        <v>48.92</v>
      </c>
      <c r="BM183">
        <v>7.34</v>
      </c>
      <c r="BN183">
        <v>56.26</v>
      </c>
      <c r="BO183">
        <v>56.26</v>
      </c>
      <c r="BQ183" t="s">
        <v>78</v>
      </c>
      <c r="BR183" t="s">
        <v>71</v>
      </c>
      <c r="BS183" s="1">
        <v>43928</v>
      </c>
      <c r="BT183" s="2">
        <v>0.37222222222222223</v>
      </c>
      <c r="BU183" t="s">
        <v>427</v>
      </c>
      <c r="BV183" t="s">
        <v>80</v>
      </c>
      <c r="BY183">
        <v>16959.099999999999</v>
      </c>
      <c r="CA183" t="s">
        <v>428</v>
      </c>
      <c r="CC183" t="s">
        <v>369</v>
      </c>
      <c r="CD183">
        <v>1428</v>
      </c>
      <c r="CE183" t="s">
        <v>91</v>
      </c>
      <c r="CF183" s="1">
        <v>43928</v>
      </c>
      <c r="CI183">
        <v>1</v>
      </c>
      <c r="CJ183">
        <v>1</v>
      </c>
      <c r="CK183">
        <v>22</v>
      </c>
      <c r="CL183" t="s">
        <v>74</v>
      </c>
    </row>
    <row r="184" spans="1:90" x14ac:dyDescent="0.25">
      <c r="A184" t="s">
        <v>61</v>
      </c>
      <c r="B184" t="s">
        <v>62</v>
      </c>
      <c r="C184" t="s">
        <v>63</v>
      </c>
      <c r="E184" t="str">
        <f>"FES1162744096"</f>
        <v>FES1162744096</v>
      </c>
      <c r="F184" s="1">
        <v>43923</v>
      </c>
      <c r="G184">
        <v>202010</v>
      </c>
      <c r="H184" t="s">
        <v>64</v>
      </c>
      <c r="I184" t="s">
        <v>65</v>
      </c>
      <c r="J184" t="s">
        <v>66</v>
      </c>
      <c r="K184" t="s">
        <v>67</v>
      </c>
      <c r="L184" t="s">
        <v>92</v>
      </c>
      <c r="M184" t="s">
        <v>93</v>
      </c>
      <c r="N184" t="s">
        <v>94</v>
      </c>
      <c r="O184" t="s">
        <v>69</v>
      </c>
      <c r="P184" t="str">
        <f>"2170735532                    "</f>
        <v xml:space="preserve">2170735532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4.1900000000000004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2</v>
      </c>
      <c r="BJ184">
        <v>0.9</v>
      </c>
      <c r="BK184">
        <v>2</v>
      </c>
      <c r="BL184">
        <v>46.06</v>
      </c>
      <c r="BM184">
        <v>6.91</v>
      </c>
      <c r="BN184">
        <v>52.97</v>
      </c>
      <c r="BO184">
        <v>52.97</v>
      </c>
      <c r="BQ184" t="s">
        <v>70</v>
      </c>
      <c r="BR184" t="s">
        <v>71</v>
      </c>
      <c r="BS184" s="1">
        <v>43924</v>
      </c>
      <c r="BT184" s="2">
        <v>0.3888888888888889</v>
      </c>
      <c r="BU184" t="s">
        <v>367</v>
      </c>
      <c r="BV184" t="s">
        <v>80</v>
      </c>
      <c r="BY184">
        <v>4402.25</v>
      </c>
      <c r="BZ184" t="s">
        <v>23</v>
      </c>
      <c r="CA184" t="s">
        <v>98</v>
      </c>
      <c r="CC184" t="s">
        <v>93</v>
      </c>
      <c r="CD184">
        <v>7441</v>
      </c>
      <c r="CE184" t="s">
        <v>91</v>
      </c>
      <c r="CF184" s="1">
        <v>43924</v>
      </c>
      <c r="CI184">
        <v>1</v>
      </c>
      <c r="CJ184">
        <v>1</v>
      </c>
      <c r="CK184">
        <v>21</v>
      </c>
      <c r="CL184" t="s">
        <v>74</v>
      </c>
    </row>
    <row r="185" spans="1:90" x14ac:dyDescent="0.25">
      <c r="A185" t="s">
        <v>61</v>
      </c>
      <c r="B185" t="s">
        <v>62</v>
      </c>
      <c r="C185" t="s">
        <v>63</v>
      </c>
      <c r="E185" t="str">
        <f>"RFES1162743810"</f>
        <v>RFES1162743810</v>
      </c>
      <c r="F185" s="1">
        <v>43922</v>
      </c>
      <c r="G185">
        <v>202010</v>
      </c>
      <c r="H185" t="s">
        <v>75</v>
      </c>
      <c r="I185" t="s">
        <v>76</v>
      </c>
      <c r="J185" t="s">
        <v>181</v>
      </c>
      <c r="K185" t="s">
        <v>67</v>
      </c>
      <c r="L185" t="s">
        <v>64</v>
      </c>
      <c r="M185" t="s">
        <v>65</v>
      </c>
      <c r="N185" t="s">
        <v>66</v>
      </c>
      <c r="O185" t="s">
        <v>69</v>
      </c>
      <c r="P185" t="str">
        <f>"2170733485                    "</f>
        <v xml:space="preserve">2170733485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3.66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1.6</v>
      </c>
      <c r="BJ185">
        <v>2.2000000000000002</v>
      </c>
      <c r="BK185">
        <v>2.5</v>
      </c>
      <c r="BL185">
        <v>40.29</v>
      </c>
      <c r="BM185">
        <v>6.04</v>
      </c>
      <c r="BN185">
        <v>46.33</v>
      </c>
      <c r="BO185">
        <v>46.33</v>
      </c>
      <c r="BQ185" t="s">
        <v>71</v>
      </c>
      <c r="BR185" t="s">
        <v>70</v>
      </c>
      <c r="BS185" s="1">
        <v>43923</v>
      </c>
      <c r="BT185" s="2">
        <v>0.35416666666666669</v>
      </c>
      <c r="BU185" t="s">
        <v>243</v>
      </c>
      <c r="BV185" t="s">
        <v>80</v>
      </c>
      <c r="BY185">
        <v>11230.85</v>
      </c>
      <c r="BZ185" t="s">
        <v>23</v>
      </c>
      <c r="CC185" t="s">
        <v>65</v>
      </c>
      <c r="CD185">
        <v>1601</v>
      </c>
      <c r="CE185" t="s">
        <v>73</v>
      </c>
      <c r="CF185" s="1">
        <v>43924</v>
      </c>
      <c r="CI185">
        <v>1</v>
      </c>
      <c r="CJ185">
        <v>1</v>
      </c>
      <c r="CK185">
        <v>22</v>
      </c>
      <c r="CL185" t="s">
        <v>74</v>
      </c>
    </row>
    <row r="186" spans="1:90" x14ac:dyDescent="0.25">
      <c r="A186" t="s">
        <v>61</v>
      </c>
      <c r="B186" t="s">
        <v>62</v>
      </c>
      <c r="C186" t="s">
        <v>63</v>
      </c>
      <c r="E186" t="str">
        <f>"FES1162744181"</f>
        <v>FES1162744181</v>
      </c>
      <c r="F186" s="1">
        <v>43927</v>
      </c>
      <c r="G186">
        <v>202010</v>
      </c>
      <c r="H186" t="s">
        <v>64</v>
      </c>
      <c r="I186" t="s">
        <v>65</v>
      </c>
      <c r="J186" t="s">
        <v>66</v>
      </c>
      <c r="K186" t="s">
        <v>67</v>
      </c>
      <c r="L186" t="s">
        <v>225</v>
      </c>
      <c r="M186" t="s">
        <v>226</v>
      </c>
      <c r="N186" t="s">
        <v>227</v>
      </c>
      <c r="O186" t="s">
        <v>69</v>
      </c>
      <c r="P186" t="str">
        <f>"2170732730                    "</f>
        <v xml:space="preserve">2170732730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15.44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3.9</v>
      </c>
      <c r="BJ186">
        <v>1.8</v>
      </c>
      <c r="BK186">
        <v>4</v>
      </c>
      <c r="BL186">
        <v>169.84</v>
      </c>
      <c r="BM186">
        <v>25.48</v>
      </c>
      <c r="BN186">
        <v>195.32</v>
      </c>
      <c r="BO186">
        <v>195.32</v>
      </c>
      <c r="BQ186" t="s">
        <v>78</v>
      </c>
      <c r="BR186" t="s">
        <v>71</v>
      </c>
      <c r="BS186" s="1">
        <v>43928</v>
      </c>
      <c r="BT186" s="2">
        <v>0.4375</v>
      </c>
      <c r="BU186" t="s">
        <v>228</v>
      </c>
      <c r="BV186" t="s">
        <v>80</v>
      </c>
      <c r="BY186">
        <v>9218.16</v>
      </c>
      <c r="CC186" t="s">
        <v>226</v>
      </c>
      <c r="CD186">
        <v>1947</v>
      </c>
      <c r="CE186" t="s">
        <v>91</v>
      </c>
      <c r="CF186" s="1">
        <v>43929</v>
      </c>
      <c r="CI186">
        <v>1</v>
      </c>
      <c r="CJ186">
        <v>1</v>
      </c>
      <c r="CK186">
        <v>23</v>
      </c>
      <c r="CL186" t="s">
        <v>74</v>
      </c>
    </row>
    <row r="187" spans="1:90" x14ac:dyDescent="0.25">
      <c r="A187" t="s">
        <v>61</v>
      </c>
      <c r="B187" t="s">
        <v>62</v>
      </c>
      <c r="C187" t="s">
        <v>63</v>
      </c>
      <c r="E187" t="str">
        <f>"FES1162744179"</f>
        <v>FES1162744179</v>
      </c>
      <c r="F187" s="1">
        <v>43927</v>
      </c>
      <c r="G187">
        <v>202010</v>
      </c>
      <c r="H187" t="s">
        <v>64</v>
      </c>
      <c r="I187" t="s">
        <v>65</v>
      </c>
      <c r="J187" t="s">
        <v>66</v>
      </c>
      <c r="K187" t="s">
        <v>67</v>
      </c>
      <c r="L187" t="s">
        <v>177</v>
      </c>
      <c r="M187" t="s">
        <v>178</v>
      </c>
      <c r="N187" t="s">
        <v>179</v>
      </c>
      <c r="O187" t="s">
        <v>69</v>
      </c>
      <c r="P187" t="str">
        <f>"2170732582                    "</f>
        <v xml:space="preserve">2170732582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10.46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4.9000000000000004</v>
      </c>
      <c r="BJ187">
        <v>1.6</v>
      </c>
      <c r="BK187">
        <v>5</v>
      </c>
      <c r="BL187">
        <v>115.09</v>
      </c>
      <c r="BM187">
        <v>17.260000000000002</v>
      </c>
      <c r="BN187">
        <v>132.35</v>
      </c>
      <c r="BO187">
        <v>132.35</v>
      </c>
      <c r="BQ187" t="s">
        <v>70</v>
      </c>
      <c r="BR187" t="s">
        <v>71</v>
      </c>
      <c r="BS187" s="1">
        <v>43929</v>
      </c>
      <c r="BT187" s="2">
        <v>0.41666666666666669</v>
      </c>
      <c r="BU187" t="s">
        <v>180</v>
      </c>
      <c r="BV187" t="s">
        <v>74</v>
      </c>
      <c r="BW187" t="s">
        <v>124</v>
      </c>
      <c r="BX187" t="s">
        <v>125</v>
      </c>
      <c r="BY187">
        <v>7877.63</v>
      </c>
      <c r="CC187" t="s">
        <v>178</v>
      </c>
      <c r="CD187">
        <v>4302</v>
      </c>
      <c r="CE187" t="s">
        <v>91</v>
      </c>
      <c r="CF187" s="1">
        <v>43935</v>
      </c>
      <c r="CI187">
        <v>1</v>
      </c>
      <c r="CJ187">
        <v>2</v>
      </c>
      <c r="CK187">
        <v>21</v>
      </c>
      <c r="CL187" t="s">
        <v>74</v>
      </c>
    </row>
    <row r="188" spans="1:90" x14ac:dyDescent="0.25">
      <c r="A188" t="s">
        <v>61</v>
      </c>
      <c r="B188" t="s">
        <v>62</v>
      </c>
      <c r="C188" t="s">
        <v>63</v>
      </c>
      <c r="E188" t="str">
        <f>"FES1162744199"</f>
        <v>FES1162744199</v>
      </c>
      <c r="F188" s="1">
        <v>43927</v>
      </c>
      <c r="G188">
        <v>202010</v>
      </c>
      <c r="H188" t="s">
        <v>64</v>
      </c>
      <c r="I188" t="s">
        <v>65</v>
      </c>
      <c r="J188" t="s">
        <v>66</v>
      </c>
      <c r="K188" t="s">
        <v>67</v>
      </c>
      <c r="L188" t="s">
        <v>111</v>
      </c>
      <c r="M188" t="s">
        <v>112</v>
      </c>
      <c r="N188" t="s">
        <v>113</v>
      </c>
      <c r="O188" t="s">
        <v>69</v>
      </c>
      <c r="P188" t="str">
        <f>"2170733531                    "</f>
        <v xml:space="preserve">2170733531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3.27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2</v>
      </c>
      <c r="BJ188">
        <v>0.7</v>
      </c>
      <c r="BK188">
        <v>2</v>
      </c>
      <c r="BL188">
        <v>35.979999999999997</v>
      </c>
      <c r="BM188">
        <v>5.4</v>
      </c>
      <c r="BN188">
        <v>41.38</v>
      </c>
      <c r="BO188">
        <v>41.38</v>
      </c>
      <c r="BQ188" t="s">
        <v>78</v>
      </c>
      <c r="BR188" t="s">
        <v>71</v>
      </c>
      <c r="BS188" s="1">
        <v>43928</v>
      </c>
      <c r="BT188" s="2">
        <v>0.41666666666666669</v>
      </c>
      <c r="BU188" t="s">
        <v>115</v>
      </c>
      <c r="BV188" t="s">
        <v>80</v>
      </c>
      <c r="BY188">
        <v>3716.82</v>
      </c>
      <c r="CC188" t="s">
        <v>112</v>
      </c>
      <c r="CD188">
        <v>1684</v>
      </c>
      <c r="CE188" t="s">
        <v>91</v>
      </c>
      <c r="CF188" s="1">
        <v>43929</v>
      </c>
      <c r="CI188">
        <v>1</v>
      </c>
      <c r="CJ188">
        <v>1</v>
      </c>
      <c r="CK188">
        <v>22</v>
      </c>
      <c r="CL188" t="s">
        <v>74</v>
      </c>
    </row>
    <row r="189" spans="1:90" x14ac:dyDescent="0.25">
      <c r="A189" t="s">
        <v>61</v>
      </c>
      <c r="B189" t="s">
        <v>62</v>
      </c>
      <c r="C189" t="s">
        <v>63</v>
      </c>
      <c r="E189" t="str">
        <f>"FES1162744155"</f>
        <v>FES1162744155</v>
      </c>
      <c r="F189" s="1">
        <v>43927</v>
      </c>
      <c r="G189">
        <v>202010</v>
      </c>
      <c r="H189" t="s">
        <v>64</v>
      </c>
      <c r="I189" t="s">
        <v>65</v>
      </c>
      <c r="J189" t="s">
        <v>66</v>
      </c>
      <c r="K189" t="s">
        <v>67</v>
      </c>
      <c r="L189" t="s">
        <v>116</v>
      </c>
      <c r="M189" t="s">
        <v>117</v>
      </c>
      <c r="N189" t="s">
        <v>118</v>
      </c>
      <c r="O189" t="s">
        <v>69</v>
      </c>
      <c r="P189" t="str">
        <f>"2170734254                    "</f>
        <v xml:space="preserve">2170734254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8.11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89.23</v>
      </c>
      <c r="BM189">
        <v>13.38</v>
      </c>
      <c r="BN189">
        <v>102.61</v>
      </c>
      <c r="BO189">
        <v>102.61</v>
      </c>
      <c r="BQ189" t="s">
        <v>78</v>
      </c>
      <c r="BR189" t="s">
        <v>71</v>
      </c>
      <c r="BS189" s="1">
        <v>43928</v>
      </c>
      <c r="BT189" s="2">
        <v>0.41666666666666669</v>
      </c>
      <c r="BU189" t="s">
        <v>119</v>
      </c>
      <c r="BV189" t="s">
        <v>80</v>
      </c>
      <c r="BY189">
        <v>1200</v>
      </c>
      <c r="CC189" t="s">
        <v>117</v>
      </c>
      <c r="CD189">
        <v>7300</v>
      </c>
      <c r="CE189" t="s">
        <v>73</v>
      </c>
      <c r="CF189" s="1">
        <v>43929</v>
      </c>
      <c r="CI189">
        <v>1</v>
      </c>
      <c r="CJ189">
        <v>1</v>
      </c>
      <c r="CK189">
        <v>23</v>
      </c>
      <c r="CL189" t="s">
        <v>74</v>
      </c>
    </row>
    <row r="190" spans="1:90" x14ac:dyDescent="0.25">
      <c r="A190" t="s">
        <v>61</v>
      </c>
      <c r="B190" t="s">
        <v>62</v>
      </c>
      <c r="C190" t="s">
        <v>63</v>
      </c>
      <c r="E190" t="str">
        <f>"FES1162744071"</f>
        <v>FES1162744071</v>
      </c>
      <c r="F190" s="1">
        <v>43927</v>
      </c>
      <c r="G190">
        <v>202010</v>
      </c>
      <c r="H190" t="s">
        <v>64</v>
      </c>
      <c r="I190" t="s">
        <v>65</v>
      </c>
      <c r="J190" t="s">
        <v>66</v>
      </c>
      <c r="K190" t="s">
        <v>67</v>
      </c>
      <c r="L190" t="s">
        <v>120</v>
      </c>
      <c r="M190" t="s">
        <v>121</v>
      </c>
      <c r="N190" t="s">
        <v>247</v>
      </c>
      <c r="O190" t="s">
        <v>69</v>
      </c>
      <c r="P190" t="str">
        <f>"2170735180                    "</f>
        <v xml:space="preserve">2170735180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4.1900000000000004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46.06</v>
      </c>
      <c r="BM190">
        <v>6.91</v>
      </c>
      <c r="BN190">
        <v>52.97</v>
      </c>
      <c r="BO190">
        <v>52.97</v>
      </c>
      <c r="BQ190" t="s">
        <v>248</v>
      </c>
      <c r="BR190" t="s">
        <v>71</v>
      </c>
      <c r="BS190" s="1">
        <v>43929</v>
      </c>
      <c r="BT190" s="2">
        <v>0.4201388888888889</v>
      </c>
      <c r="BU190" t="s">
        <v>429</v>
      </c>
      <c r="BV190" t="s">
        <v>74</v>
      </c>
      <c r="BW190" t="s">
        <v>85</v>
      </c>
      <c r="BX190" t="s">
        <v>128</v>
      </c>
      <c r="BY190">
        <v>1200</v>
      </c>
      <c r="CA190" t="s">
        <v>430</v>
      </c>
      <c r="CC190" t="s">
        <v>121</v>
      </c>
      <c r="CD190">
        <v>4001</v>
      </c>
      <c r="CE190" t="s">
        <v>73</v>
      </c>
      <c r="CF190" s="1">
        <v>43935</v>
      </c>
      <c r="CI190">
        <v>1</v>
      </c>
      <c r="CJ190">
        <v>2</v>
      </c>
      <c r="CK190">
        <v>21</v>
      </c>
      <c r="CL190" t="s">
        <v>74</v>
      </c>
    </row>
    <row r="191" spans="1:90" x14ac:dyDescent="0.25">
      <c r="A191" t="s">
        <v>61</v>
      </c>
      <c r="B191" t="s">
        <v>62</v>
      </c>
      <c r="C191" t="s">
        <v>63</v>
      </c>
      <c r="E191" t="str">
        <f>"FES1162744219"</f>
        <v>FES1162744219</v>
      </c>
      <c r="F191" s="1">
        <v>43927</v>
      </c>
      <c r="G191">
        <v>202010</v>
      </c>
      <c r="H191" t="s">
        <v>64</v>
      </c>
      <c r="I191" t="s">
        <v>65</v>
      </c>
      <c r="J191" t="s">
        <v>66</v>
      </c>
      <c r="K191" t="s">
        <v>67</v>
      </c>
      <c r="L191" t="s">
        <v>120</v>
      </c>
      <c r="M191" t="s">
        <v>121</v>
      </c>
      <c r="N191" t="s">
        <v>278</v>
      </c>
      <c r="O191" t="s">
        <v>69</v>
      </c>
      <c r="P191" t="str">
        <f>"2170733954                    "</f>
        <v xml:space="preserve">2170733954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36.61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9.1</v>
      </c>
      <c r="BJ191">
        <v>17.3</v>
      </c>
      <c r="BK191">
        <v>17.5</v>
      </c>
      <c r="BL191">
        <v>402.74</v>
      </c>
      <c r="BM191">
        <v>60.41</v>
      </c>
      <c r="BN191">
        <v>463.15</v>
      </c>
      <c r="BO191">
        <v>463.15</v>
      </c>
      <c r="BQ191" t="s">
        <v>70</v>
      </c>
      <c r="BR191" t="s">
        <v>71</v>
      </c>
      <c r="BS191" s="1">
        <v>43929</v>
      </c>
      <c r="BT191" s="2">
        <v>0.41666666666666669</v>
      </c>
      <c r="BU191" t="s">
        <v>373</v>
      </c>
      <c r="BV191" t="s">
        <v>74</v>
      </c>
      <c r="BW191" t="s">
        <v>124</v>
      </c>
      <c r="BX191" t="s">
        <v>125</v>
      </c>
      <c r="BY191">
        <v>86694.6</v>
      </c>
      <c r="CC191" t="s">
        <v>121</v>
      </c>
      <c r="CD191">
        <v>4001</v>
      </c>
      <c r="CE191" t="s">
        <v>91</v>
      </c>
      <c r="CF191" s="1">
        <v>43935</v>
      </c>
      <c r="CI191">
        <v>1</v>
      </c>
      <c r="CJ191">
        <v>2</v>
      </c>
      <c r="CK191">
        <v>21</v>
      </c>
      <c r="CL191" t="s">
        <v>74</v>
      </c>
    </row>
    <row r="192" spans="1:90" x14ac:dyDescent="0.25">
      <c r="A192" t="s">
        <v>61</v>
      </c>
      <c r="B192" t="s">
        <v>62</v>
      </c>
      <c r="C192" t="s">
        <v>63</v>
      </c>
      <c r="E192" t="str">
        <f>"FES1162744191"</f>
        <v>FES1162744191</v>
      </c>
      <c r="F192" s="1">
        <v>43927</v>
      </c>
      <c r="G192">
        <v>202010</v>
      </c>
      <c r="H192" t="s">
        <v>64</v>
      </c>
      <c r="I192" t="s">
        <v>65</v>
      </c>
      <c r="J192" t="s">
        <v>66</v>
      </c>
      <c r="K192" t="s">
        <v>67</v>
      </c>
      <c r="L192" t="s">
        <v>262</v>
      </c>
      <c r="M192" t="s">
        <v>262</v>
      </c>
      <c r="N192" t="s">
        <v>431</v>
      </c>
      <c r="O192" t="s">
        <v>69</v>
      </c>
      <c r="P192" t="str">
        <f>"2170733243                    "</f>
        <v xml:space="preserve">2170733243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8.11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89.23</v>
      </c>
      <c r="BM192">
        <v>13.38</v>
      </c>
      <c r="BN192">
        <v>102.61</v>
      </c>
      <c r="BO192">
        <v>102.61</v>
      </c>
      <c r="BQ192" t="s">
        <v>70</v>
      </c>
      <c r="BR192" t="s">
        <v>71</v>
      </c>
      <c r="BS192" s="1">
        <v>43928</v>
      </c>
      <c r="BT192" s="2">
        <v>0.44166666666666665</v>
      </c>
      <c r="BU192" t="s">
        <v>432</v>
      </c>
      <c r="BV192" t="s">
        <v>80</v>
      </c>
      <c r="BY192">
        <v>1200</v>
      </c>
      <c r="CA192" t="s">
        <v>266</v>
      </c>
      <c r="CC192" t="s">
        <v>262</v>
      </c>
      <c r="CD192">
        <v>7646</v>
      </c>
      <c r="CE192" t="s">
        <v>73</v>
      </c>
      <c r="CF192" s="1">
        <v>43929</v>
      </c>
      <c r="CI192">
        <v>1</v>
      </c>
      <c r="CJ192">
        <v>1</v>
      </c>
      <c r="CK192">
        <v>23</v>
      </c>
      <c r="CL192" t="s">
        <v>74</v>
      </c>
    </row>
    <row r="193" spans="1:90" x14ac:dyDescent="0.25">
      <c r="A193" t="s">
        <v>61</v>
      </c>
      <c r="B193" t="s">
        <v>62</v>
      </c>
      <c r="C193" t="s">
        <v>63</v>
      </c>
      <c r="E193" t="str">
        <f>"RFES1162743714"</f>
        <v>RFES1162743714</v>
      </c>
      <c r="F193" s="1">
        <v>43927</v>
      </c>
      <c r="G193">
        <v>202010</v>
      </c>
      <c r="H193" t="s">
        <v>368</v>
      </c>
      <c r="I193" t="s">
        <v>369</v>
      </c>
      <c r="J193" t="s">
        <v>433</v>
      </c>
      <c r="K193" t="s">
        <v>67</v>
      </c>
      <c r="L193" t="s">
        <v>64</v>
      </c>
      <c r="M193" t="s">
        <v>65</v>
      </c>
      <c r="N193" t="s">
        <v>66</v>
      </c>
      <c r="O193" t="s">
        <v>69</v>
      </c>
      <c r="P193" t="str">
        <f>"2170735092                    "</f>
        <v xml:space="preserve">2170735092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3.27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35.979999999999997</v>
      </c>
      <c r="BM193">
        <v>5.4</v>
      </c>
      <c r="BN193">
        <v>41.38</v>
      </c>
      <c r="BO193">
        <v>41.38</v>
      </c>
      <c r="BQ193" t="s">
        <v>71</v>
      </c>
      <c r="BR193" t="s">
        <v>70</v>
      </c>
      <c r="BS193" s="1">
        <v>43928</v>
      </c>
      <c r="BT193" s="2">
        <v>0.38680555555555557</v>
      </c>
      <c r="BU193" t="s">
        <v>243</v>
      </c>
      <c r="BV193" t="s">
        <v>80</v>
      </c>
      <c r="BY193">
        <v>1200</v>
      </c>
      <c r="BZ193" t="s">
        <v>23</v>
      </c>
      <c r="CA193" t="s">
        <v>434</v>
      </c>
      <c r="CC193" t="s">
        <v>65</v>
      </c>
      <c r="CD193">
        <v>1601</v>
      </c>
      <c r="CE193" t="s">
        <v>73</v>
      </c>
      <c r="CF193" s="1">
        <v>43929</v>
      </c>
      <c r="CI193">
        <v>1</v>
      </c>
      <c r="CJ193">
        <v>1</v>
      </c>
      <c r="CK193">
        <v>22</v>
      </c>
      <c r="CL193" t="s">
        <v>74</v>
      </c>
    </row>
    <row r="194" spans="1:90" x14ac:dyDescent="0.25">
      <c r="A194" t="s">
        <v>61</v>
      </c>
      <c r="B194" t="s">
        <v>62</v>
      </c>
      <c r="C194" t="s">
        <v>63</v>
      </c>
      <c r="E194" t="str">
        <f>"FES1162743975"</f>
        <v>FES1162743975</v>
      </c>
      <c r="F194" s="1">
        <v>43927</v>
      </c>
      <c r="G194">
        <v>202010</v>
      </c>
      <c r="H194" t="s">
        <v>64</v>
      </c>
      <c r="I194" t="s">
        <v>65</v>
      </c>
      <c r="J194" t="s">
        <v>66</v>
      </c>
      <c r="K194" t="s">
        <v>67</v>
      </c>
      <c r="L194" t="s">
        <v>75</v>
      </c>
      <c r="M194" t="s">
        <v>76</v>
      </c>
      <c r="N194" t="s">
        <v>435</v>
      </c>
      <c r="O194" t="s">
        <v>69</v>
      </c>
      <c r="P194" t="str">
        <f>"2170735317                    "</f>
        <v xml:space="preserve">2170735317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11.5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8.6999999999999993</v>
      </c>
      <c r="BJ194">
        <v>12.1</v>
      </c>
      <c r="BK194">
        <v>12.5</v>
      </c>
      <c r="BL194">
        <v>126.53</v>
      </c>
      <c r="BM194">
        <v>18.98</v>
      </c>
      <c r="BN194">
        <v>145.51</v>
      </c>
      <c r="BO194">
        <v>145.51</v>
      </c>
      <c r="BQ194" t="s">
        <v>70</v>
      </c>
      <c r="BR194" t="s">
        <v>71</v>
      </c>
      <c r="BS194" s="1">
        <v>43928</v>
      </c>
      <c r="BT194" s="2">
        <v>0.36458333333333331</v>
      </c>
      <c r="BU194" t="s">
        <v>436</v>
      </c>
      <c r="BV194" t="s">
        <v>80</v>
      </c>
      <c r="BY194">
        <v>60254.46</v>
      </c>
      <c r="CA194" t="s">
        <v>437</v>
      </c>
      <c r="CC194" t="s">
        <v>76</v>
      </c>
      <c r="CD194">
        <v>1459</v>
      </c>
      <c r="CE194" t="s">
        <v>91</v>
      </c>
      <c r="CF194" s="1">
        <v>43928</v>
      </c>
      <c r="CI194">
        <v>1</v>
      </c>
      <c r="CJ194">
        <v>1</v>
      </c>
      <c r="CK194">
        <v>22</v>
      </c>
      <c r="CL194" t="s">
        <v>74</v>
      </c>
    </row>
    <row r="195" spans="1:90" x14ac:dyDescent="0.25">
      <c r="A195" t="s">
        <v>61</v>
      </c>
      <c r="B195" t="s">
        <v>62</v>
      </c>
      <c r="C195" t="s">
        <v>63</v>
      </c>
      <c r="E195" t="str">
        <f>"FES1162744235"</f>
        <v>FES1162744235</v>
      </c>
      <c r="F195" s="1">
        <v>43927</v>
      </c>
      <c r="G195">
        <v>202010</v>
      </c>
      <c r="H195" t="s">
        <v>64</v>
      </c>
      <c r="I195" t="s">
        <v>65</v>
      </c>
      <c r="J195" t="s">
        <v>66</v>
      </c>
      <c r="K195" t="s">
        <v>67</v>
      </c>
      <c r="L195" t="s">
        <v>92</v>
      </c>
      <c r="M195" t="s">
        <v>93</v>
      </c>
      <c r="N195" t="s">
        <v>94</v>
      </c>
      <c r="O195" t="s">
        <v>69</v>
      </c>
      <c r="P195" t="str">
        <f>"2170734806                    "</f>
        <v xml:space="preserve">2170734806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4.1900000000000004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46.06</v>
      </c>
      <c r="BM195">
        <v>6.91</v>
      </c>
      <c r="BN195">
        <v>52.97</v>
      </c>
      <c r="BO195">
        <v>52.97</v>
      </c>
      <c r="BQ195" t="s">
        <v>70</v>
      </c>
      <c r="BR195" t="s">
        <v>71</v>
      </c>
      <c r="BS195" s="1">
        <v>43928</v>
      </c>
      <c r="BT195" s="2">
        <v>0.51527777777777783</v>
      </c>
      <c r="BU195" t="s">
        <v>189</v>
      </c>
      <c r="BV195" t="s">
        <v>74</v>
      </c>
      <c r="BW195" t="s">
        <v>96</v>
      </c>
      <c r="BX195" t="s">
        <v>97</v>
      </c>
      <c r="BY195">
        <v>1200</v>
      </c>
      <c r="CA195" t="s">
        <v>190</v>
      </c>
      <c r="CC195" t="s">
        <v>93</v>
      </c>
      <c r="CD195">
        <v>7441</v>
      </c>
      <c r="CE195" t="s">
        <v>73</v>
      </c>
      <c r="CF195" s="1">
        <v>43928</v>
      </c>
      <c r="CI195">
        <v>1</v>
      </c>
      <c r="CJ195">
        <v>1</v>
      </c>
      <c r="CK195">
        <v>21</v>
      </c>
      <c r="CL195" t="s">
        <v>74</v>
      </c>
    </row>
    <row r="196" spans="1:90" x14ac:dyDescent="0.25">
      <c r="A196" t="s">
        <v>61</v>
      </c>
      <c r="B196" t="s">
        <v>62</v>
      </c>
      <c r="C196" t="s">
        <v>63</v>
      </c>
      <c r="E196" t="str">
        <f>"FES1162744139"</f>
        <v>FES1162744139</v>
      </c>
      <c r="F196" s="1">
        <v>43927</v>
      </c>
      <c r="G196">
        <v>202010</v>
      </c>
      <c r="H196" t="s">
        <v>64</v>
      </c>
      <c r="I196" t="s">
        <v>65</v>
      </c>
      <c r="J196" t="s">
        <v>66</v>
      </c>
      <c r="K196" t="s">
        <v>67</v>
      </c>
      <c r="L196" t="s">
        <v>184</v>
      </c>
      <c r="M196" t="s">
        <v>185</v>
      </c>
      <c r="N196" t="s">
        <v>186</v>
      </c>
      <c r="O196" t="s">
        <v>69</v>
      </c>
      <c r="P196" t="str">
        <f>"2170733166                    "</f>
        <v xml:space="preserve">2170733166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8.11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89.23</v>
      </c>
      <c r="BM196">
        <v>13.38</v>
      </c>
      <c r="BN196">
        <v>102.61</v>
      </c>
      <c r="BO196">
        <v>102.61</v>
      </c>
      <c r="BQ196" t="s">
        <v>70</v>
      </c>
      <c r="BR196" t="s">
        <v>71</v>
      </c>
      <c r="BS196" s="1">
        <v>43928</v>
      </c>
      <c r="BT196" s="2">
        <v>0.41597222222222219</v>
      </c>
      <c r="BU196" t="s">
        <v>187</v>
      </c>
      <c r="BV196" t="s">
        <v>80</v>
      </c>
      <c r="BY196">
        <v>1200</v>
      </c>
      <c r="CA196" t="s">
        <v>188</v>
      </c>
      <c r="CC196" t="s">
        <v>185</v>
      </c>
      <c r="CD196">
        <v>7130</v>
      </c>
      <c r="CE196" t="s">
        <v>73</v>
      </c>
      <c r="CF196" s="1">
        <v>43928</v>
      </c>
      <c r="CI196">
        <v>1</v>
      </c>
      <c r="CJ196">
        <v>1</v>
      </c>
      <c r="CK196">
        <v>23</v>
      </c>
      <c r="CL196" t="s">
        <v>74</v>
      </c>
    </row>
    <row r="197" spans="1:90" x14ac:dyDescent="0.25">
      <c r="A197" t="s">
        <v>61</v>
      </c>
      <c r="B197" t="s">
        <v>62</v>
      </c>
      <c r="C197" t="s">
        <v>63</v>
      </c>
      <c r="E197" t="str">
        <f>"FES1162744397"</f>
        <v>FES1162744397</v>
      </c>
      <c r="F197" s="1">
        <v>43928</v>
      </c>
      <c r="G197">
        <v>202010</v>
      </c>
      <c r="H197" t="s">
        <v>64</v>
      </c>
      <c r="I197" t="s">
        <v>65</v>
      </c>
      <c r="J197" t="s">
        <v>66</v>
      </c>
      <c r="K197" t="s">
        <v>67</v>
      </c>
      <c r="L197" t="s">
        <v>146</v>
      </c>
      <c r="M197" t="s">
        <v>147</v>
      </c>
      <c r="N197" t="s">
        <v>337</v>
      </c>
      <c r="O197" t="s">
        <v>69</v>
      </c>
      <c r="P197" t="str">
        <f>"2170735619                    "</f>
        <v xml:space="preserve">2170735619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9.42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4.2</v>
      </c>
      <c r="BJ197">
        <v>1.3</v>
      </c>
      <c r="BK197">
        <v>4.5</v>
      </c>
      <c r="BL197">
        <v>103.59</v>
      </c>
      <c r="BM197">
        <v>15.54</v>
      </c>
      <c r="BN197">
        <v>119.13</v>
      </c>
      <c r="BO197">
        <v>119.13</v>
      </c>
      <c r="BQ197" t="s">
        <v>78</v>
      </c>
      <c r="BR197" t="s">
        <v>71</v>
      </c>
      <c r="BS197" s="1">
        <v>43929</v>
      </c>
      <c r="BT197" s="2">
        <v>0.4458333333333333</v>
      </c>
      <c r="BU197" t="s">
        <v>338</v>
      </c>
      <c r="BV197" t="s">
        <v>74</v>
      </c>
      <c r="BW197" t="s">
        <v>96</v>
      </c>
      <c r="BX197" t="s">
        <v>339</v>
      </c>
      <c r="BY197">
        <v>6715.63</v>
      </c>
      <c r="CA197" t="s">
        <v>340</v>
      </c>
      <c r="CC197" t="s">
        <v>147</v>
      </c>
      <c r="CD197">
        <v>6014</v>
      </c>
      <c r="CE197" t="s">
        <v>91</v>
      </c>
      <c r="CF197" s="1">
        <v>43935</v>
      </c>
      <c r="CI197">
        <v>1</v>
      </c>
      <c r="CJ197">
        <v>1</v>
      </c>
      <c r="CK197">
        <v>21</v>
      </c>
      <c r="CL197" t="s">
        <v>74</v>
      </c>
    </row>
    <row r="198" spans="1:90" x14ac:dyDescent="0.25">
      <c r="A198" t="s">
        <v>61</v>
      </c>
      <c r="B198" t="s">
        <v>62</v>
      </c>
      <c r="C198" t="s">
        <v>63</v>
      </c>
      <c r="E198" t="str">
        <f>"009935712251"</f>
        <v>009935712251</v>
      </c>
      <c r="F198" s="1">
        <v>43929</v>
      </c>
      <c r="G198">
        <v>202010</v>
      </c>
      <c r="H198" t="s">
        <v>64</v>
      </c>
      <c r="I198" t="s">
        <v>65</v>
      </c>
      <c r="J198" t="s">
        <v>66</v>
      </c>
      <c r="K198" t="s">
        <v>67</v>
      </c>
      <c r="L198" t="s">
        <v>385</v>
      </c>
      <c r="M198" t="s">
        <v>386</v>
      </c>
      <c r="N198" t="s">
        <v>438</v>
      </c>
      <c r="O198" t="s">
        <v>69</v>
      </c>
      <c r="P198" t="str">
        <f>"1162743890                    "</f>
        <v xml:space="preserve">1162743890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8.76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2.7</v>
      </c>
      <c r="BJ198">
        <v>1.9</v>
      </c>
      <c r="BK198">
        <v>3</v>
      </c>
      <c r="BL198">
        <v>96.32</v>
      </c>
      <c r="BM198">
        <v>14.45</v>
      </c>
      <c r="BN198">
        <v>110.77</v>
      </c>
      <c r="BO198">
        <v>110.77</v>
      </c>
      <c r="BP198" t="s">
        <v>439</v>
      </c>
      <c r="BQ198" t="s">
        <v>440</v>
      </c>
      <c r="BR198" t="s">
        <v>71</v>
      </c>
      <c r="BS198" s="1">
        <v>43930</v>
      </c>
      <c r="BT198" s="2">
        <v>0.4375</v>
      </c>
      <c r="BU198" t="s">
        <v>441</v>
      </c>
      <c r="BV198" t="s">
        <v>80</v>
      </c>
      <c r="BY198">
        <v>9436.16</v>
      </c>
      <c r="CC198" t="s">
        <v>386</v>
      </c>
      <c r="CD198">
        <v>1939</v>
      </c>
      <c r="CE198" t="s">
        <v>91</v>
      </c>
      <c r="CF198" s="1">
        <v>43937</v>
      </c>
      <c r="CI198">
        <v>1</v>
      </c>
      <c r="CJ198">
        <v>1</v>
      </c>
      <c r="CK198">
        <v>24</v>
      </c>
      <c r="CL198" t="s">
        <v>74</v>
      </c>
    </row>
    <row r="199" spans="1:90" x14ac:dyDescent="0.25">
      <c r="A199" t="s">
        <v>61</v>
      </c>
      <c r="B199" t="s">
        <v>62</v>
      </c>
      <c r="C199" t="s">
        <v>63</v>
      </c>
      <c r="E199" t="str">
        <f>"FES1162744904"</f>
        <v>FES1162744904</v>
      </c>
      <c r="F199" s="1">
        <v>43937</v>
      </c>
      <c r="G199">
        <v>202010</v>
      </c>
      <c r="H199" t="s">
        <v>64</v>
      </c>
      <c r="I199" t="s">
        <v>65</v>
      </c>
      <c r="J199" t="s">
        <v>66</v>
      </c>
      <c r="K199" t="s">
        <v>67</v>
      </c>
      <c r="L199" t="s">
        <v>212</v>
      </c>
      <c r="M199" t="s">
        <v>213</v>
      </c>
      <c r="N199" t="s">
        <v>302</v>
      </c>
      <c r="O199" t="s">
        <v>69</v>
      </c>
      <c r="P199" t="str">
        <f>"2170736136                    "</f>
        <v xml:space="preserve">2170736136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12.56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5.8</v>
      </c>
      <c r="BJ199">
        <v>3.4</v>
      </c>
      <c r="BK199">
        <v>6</v>
      </c>
      <c r="BL199">
        <v>138.11000000000001</v>
      </c>
      <c r="BM199">
        <v>20.72</v>
      </c>
      <c r="BN199">
        <v>158.83000000000001</v>
      </c>
      <c r="BO199">
        <v>158.83000000000001</v>
      </c>
      <c r="BQ199" t="s">
        <v>78</v>
      </c>
      <c r="BR199" t="s">
        <v>71</v>
      </c>
      <c r="BS199" s="1">
        <v>43941</v>
      </c>
      <c r="BT199" s="2">
        <v>0.54166666666666663</v>
      </c>
      <c r="BU199" t="s">
        <v>303</v>
      </c>
      <c r="BV199" t="s">
        <v>74</v>
      </c>
      <c r="BW199" t="s">
        <v>85</v>
      </c>
      <c r="BX199" t="s">
        <v>128</v>
      </c>
      <c r="BY199">
        <v>16866.43</v>
      </c>
      <c r="CC199" t="s">
        <v>213</v>
      </c>
      <c r="CD199">
        <v>3610</v>
      </c>
      <c r="CE199" t="s">
        <v>91</v>
      </c>
      <c r="CF199" s="1">
        <v>43942</v>
      </c>
      <c r="CI199">
        <v>1</v>
      </c>
      <c r="CJ199">
        <v>2</v>
      </c>
      <c r="CK199">
        <v>21</v>
      </c>
      <c r="CL199" t="s">
        <v>74</v>
      </c>
    </row>
    <row r="200" spans="1:90" x14ac:dyDescent="0.25">
      <c r="A200" t="s">
        <v>61</v>
      </c>
      <c r="B200" t="s">
        <v>62</v>
      </c>
      <c r="C200" t="s">
        <v>63</v>
      </c>
      <c r="E200" t="str">
        <f>"FES1162744283"</f>
        <v>FES1162744283</v>
      </c>
      <c r="F200" s="1">
        <v>43927</v>
      </c>
      <c r="G200">
        <v>202010</v>
      </c>
      <c r="H200" t="s">
        <v>64</v>
      </c>
      <c r="I200" t="s">
        <v>65</v>
      </c>
      <c r="J200" t="s">
        <v>66</v>
      </c>
      <c r="K200" t="s">
        <v>67</v>
      </c>
      <c r="L200" t="s">
        <v>146</v>
      </c>
      <c r="M200" t="s">
        <v>147</v>
      </c>
      <c r="N200" t="s">
        <v>148</v>
      </c>
      <c r="O200" t="s">
        <v>69</v>
      </c>
      <c r="P200" t="str">
        <f>"2170733004                    "</f>
        <v xml:space="preserve">2170733004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4.1900000000000004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46.06</v>
      </c>
      <c r="BM200">
        <v>6.91</v>
      </c>
      <c r="BN200">
        <v>52.97</v>
      </c>
      <c r="BO200">
        <v>52.97</v>
      </c>
      <c r="BQ200" t="s">
        <v>78</v>
      </c>
      <c r="BR200" t="s">
        <v>71</v>
      </c>
      <c r="BS200" s="1">
        <v>43928</v>
      </c>
      <c r="BT200" s="2">
        <v>0.40347222222222223</v>
      </c>
      <c r="BU200" t="s">
        <v>442</v>
      </c>
      <c r="BV200" t="s">
        <v>80</v>
      </c>
      <c r="BY200">
        <v>1200</v>
      </c>
      <c r="CA200" t="s">
        <v>340</v>
      </c>
      <c r="CC200" t="s">
        <v>147</v>
      </c>
      <c r="CD200">
        <v>6014</v>
      </c>
      <c r="CE200" t="s">
        <v>73</v>
      </c>
      <c r="CF200" s="1">
        <v>43928</v>
      </c>
      <c r="CI200">
        <v>1</v>
      </c>
      <c r="CJ200">
        <v>1</v>
      </c>
      <c r="CK200">
        <v>21</v>
      </c>
      <c r="CL200" t="s">
        <v>74</v>
      </c>
    </row>
    <row r="201" spans="1:90" x14ac:dyDescent="0.25">
      <c r="A201" t="s">
        <v>61</v>
      </c>
      <c r="B201" t="s">
        <v>62</v>
      </c>
      <c r="C201" t="s">
        <v>63</v>
      </c>
      <c r="E201" t="str">
        <f>"FES1162744332"</f>
        <v>FES1162744332</v>
      </c>
      <c r="F201" s="1">
        <v>43927</v>
      </c>
      <c r="G201">
        <v>202010</v>
      </c>
      <c r="H201" t="s">
        <v>64</v>
      </c>
      <c r="I201" t="s">
        <v>65</v>
      </c>
      <c r="J201" t="s">
        <v>66</v>
      </c>
      <c r="K201" t="s">
        <v>67</v>
      </c>
      <c r="L201" t="s">
        <v>120</v>
      </c>
      <c r="M201" t="s">
        <v>121</v>
      </c>
      <c r="N201" t="s">
        <v>267</v>
      </c>
      <c r="O201" t="s">
        <v>69</v>
      </c>
      <c r="P201" t="str">
        <f>"2170733835                    "</f>
        <v xml:space="preserve">2170733835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4.1900000000000004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46.06</v>
      </c>
      <c r="BM201">
        <v>6.91</v>
      </c>
      <c r="BN201">
        <v>52.97</v>
      </c>
      <c r="BO201">
        <v>52.97</v>
      </c>
      <c r="BQ201" t="s">
        <v>268</v>
      </c>
      <c r="BR201" t="s">
        <v>71</v>
      </c>
      <c r="BS201" s="1">
        <v>43929</v>
      </c>
      <c r="BT201" s="2">
        <v>0.41666666666666669</v>
      </c>
      <c r="BU201" t="s">
        <v>269</v>
      </c>
      <c r="BV201" t="s">
        <v>74</v>
      </c>
      <c r="BW201" t="s">
        <v>124</v>
      </c>
      <c r="BX201" t="s">
        <v>125</v>
      </c>
      <c r="BY201">
        <v>1200</v>
      </c>
      <c r="CC201" t="s">
        <v>121</v>
      </c>
      <c r="CD201">
        <v>4064</v>
      </c>
      <c r="CE201" t="s">
        <v>73</v>
      </c>
      <c r="CF201" s="1">
        <v>43935</v>
      </c>
      <c r="CI201">
        <v>1</v>
      </c>
      <c r="CJ201">
        <v>2</v>
      </c>
      <c r="CK201">
        <v>21</v>
      </c>
      <c r="CL201" t="s">
        <v>74</v>
      </c>
    </row>
    <row r="202" spans="1:90" x14ac:dyDescent="0.25">
      <c r="A202" t="s">
        <v>61</v>
      </c>
      <c r="B202" t="s">
        <v>62</v>
      </c>
      <c r="C202" t="s">
        <v>63</v>
      </c>
      <c r="E202" t="str">
        <f>"FES1162744328"</f>
        <v>FES1162744328</v>
      </c>
      <c r="F202" s="1">
        <v>43927</v>
      </c>
      <c r="G202">
        <v>202010</v>
      </c>
      <c r="H202" t="s">
        <v>64</v>
      </c>
      <c r="I202" t="s">
        <v>65</v>
      </c>
      <c r="J202" t="s">
        <v>66</v>
      </c>
      <c r="K202" t="s">
        <v>67</v>
      </c>
      <c r="L202" t="s">
        <v>443</v>
      </c>
      <c r="M202" t="s">
        <v>444</v>
      </c>
      <c r="N202" t="s">
        <v>445</v>
      </c>
      <c r="O202" t="s">
        <v>69</v>
      </c>
      <c r="P202" t="str">
        <f>"2170735673                    "</f>
        <v xml:space="preserve">2170735673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6.41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5.6</v>
      </c>
      <c r="BJ202">
        <v>3</v>
      </c>
      <c r="BK202">
        <v>6</v>
      </c>
      <c r="BL202">
        <v>70.48</v>
      </c>
      <c r="BM202">
        <v>10.57</v>
      </c>
      <c r="BN202">
        <v>81.05</v>
      </c>
      <c r="BO202">
        <v>81.05</v>
      </c>
      <c r="BQ202" t="s">
        <v>78</v>
      </c>
      <c r="BR202" t="s">
        <v>71</v>
      </c>
      <c r="BS202" s="1">
        <v>43928</v>
      </c>
      <c r="BT202" s="2">
        <v>0.30069444444444443</v>
      </c>
      <c r="BU202" t="s">
        <v>446</v>
      </c>
      <c r="BV202" t="s">
        <v>80</v>
      </c>
      <c r="BY202">
        <v>15186.62</v>
      </c>
      <c r="CC202" t="s">
        <v>444</v>
      </c>
      <c r="CD202">
        <v>1449</v>
      </c>
      <c r="CE202" t="s">
        <v>91</v>
      </c>
      <c r="CF202" s="1">
        <v>43929</v>
      </c>
      <c r="CI202">
        <v>1</v>
      </c>
      <c r="CJ202">
        <v>1</v>
      </c>
      <c r="CK202">
        <v>22</v>
      </c>
      <c r="CL202" t="s">
        <v>74</v>
      </c>
    </row>
    <row r="203" spans="1:90" x14ac:dyDescent="0.25">
      <c r="A203" t="s">
        <v>61</v>
      </c>
      <c r="B203" t="s">
        <v>62</v>
      </c>
      <c r="C203" t="s">
        <v>63</v>
      </c>
      <c r="E203" t="str">
        <f>"FES1162744113"</f>
        <v>FES1162744113</v>
      </c>
      <c r="F203" s="1">
        <v>43927</v>
      </c>
      <c r="G203">
        <v>202010</v>
      </c>
      <c r="H203" t="s">
        <v>64</v>
      </c>
      <c r="I203" t="s">
        <v>65</v>
      </c>
      <c r="J203" t="s">
        <v>66</v>
      </c>
      <c r="K203" t="s">
        <v>67</v>
      </c>
      <c r="L203" t="s">
        <v>104</v>
      </c>
      <c r="M203" t="s">
        <v>105</v>
      </c>
      <c r="N203" t="s">
        <v>251</v>
      </c>
      <c r="O203" t="s">
        <v>69</v>
      </c>
      <c r="P203" t="str">
        <f>"2170735562                    "</f>
        <v xml:space="preserve">2170735562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7.32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2.2000000000000002</v>
      </c>
      <c r="BJ203">
        <v>1.6</v>
      </c>
      <c r="BK203">
        <v>2.5</v>
      </c>
      <c r="BL203">
        <v>80.540000000000006</v>
      </c>
      <c r="BM203">
        <v>12.08</v>
      </c>
      <c r="BN203">
        <v>92.62</v>
      </c>
      <c r="BO203">
        <v>92.62</v>
      </c>
      <c r="BQ203" t="s">
        <v>70</v>
      </c>
      <c r="BR203" t="s">
        <v>71</v>
      </c>
      <c r="BS203" s="1">
        <v>43928</v>
      </c>
      <c r="BT203" s="2">
        <v>0.4375</v>
      </c>
      <c r="BU203" t="s">
        <v>356</v>
      </c>
      <c r="BV203" t="s">
        <v>80</v>
      </c>
      <c r="BY203">
        <v>7762.71</v>
      </c>
      <c r="CC203" t="s">
        <v>105</v>
      </c>
      <c r="CD203">
        <v>1759</v>
      </c>
      <c r="CE203" t="s">
        <v>91</v>
      </c>
      <c r="CF203" s="1">
        <v>43929</v>
      </c>
      <c r="CI203">
        <v>1</v>
      </c>
      <c r="CJ203">
        <v>1</v>
      </c>
      <c r="CK203">
        <v>24</v>
      </c>
      <c r="CL203" t="s">
        <v>74</v>
      </c>
    </row>
    <row r="204" spans="1:90" x14ac:dyDescent="0.25">
      <c r="A204" t="s">
        <v>61</v>
      </c>
      <c r="B204" t="s">
        <v>62</v>
      </c>
      <c r="C204" t="s">
        <v>63</v>
      </c>
      <c r="E204" t="str">
        <f>"FES1162744330"</f>
        <v>FES1162744330</v>
      </c>
      <c r="F204" s="1">
        <v>43927</v>
      </c>
      <c r="G204">
        <v>202010</v>
      </c>
      <c r="H204" t="s">
        <v>64</v>
      </c>
      <c r="I204" t="s">
        <v>65</v>
      </c>
      <c r="J204" t="s">
        <v>66</v>
      </c>
      <c r="K204" t="s">
        <v>67</v>
      </c>
      <c r="L204" t="s">
        <v>92</v>
      </c>
      <c r="M204" t="s">
        <v>93</v>
      </c>
      <c r="N204" t="s">
        <v>94</v>
      </c>
      <c r="O204" t="s">
        <v>69</v>
      </c>
      <c r="P204" t="str">
        <f>"2170735675                    "</f>
        <v xml:space="preserve">2170735675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12.56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5.6</v>
      </c>
      <c r="BJ204">
        <v>3.5</v>
      </c>
      <c r="BK204">
        <v>6</v>
      </c>
      <c r="BL204">
        <v>138.11000000000001</v>
      </c>
      <c r="BM204">
        <v>20.72</v>
      </c>
      <c r="BN204">
        <v>158.83000000000001</v>
      </c>
      <c r="BO204">
        <v>158.83000000000001</v>
      </c>
      <c r="BQ204" t="s">
        <v>70</v>
      </c>
      <c r="BR204" t="s">
        <v>71</v>
      </c>
      <c r="BS204" s="1">
        <v>43928</v>
      </c>
      <c r="BT204" s="2">
        <v>0.5229166666666667</v>
      </c>
      <c r="BU204" t="s">
        <v>447</v>
      </c>
      <c r="BV204" t="s">
        <v>74</v>
      </c>
      <c r="BW204" t="s">
        <v>96</v>
      </c>
      <c r="BX204" t="s">
        <v>97</v>
      </c>
      <c r="BY204">
        <v>17495.810000000001</v>
      </c>
      <c r="CA204" t="s">
        <v>190</v>
      </c>
      <c r="CC204" t="s">
        <v>93</v>
      </c>
      <c r="CD204">
        <v>7441</v>
      </c>
      <c r="CE204" t="s">
        <v>91</v>
      </c>
      <c r="CF204" s="1">
        <v>43928</v>
      </c>
      <c r="CI204">
        <v>1</v>
      </c>
      <c r="CJ204">
        <v>1</v>
      </c>
      <c r="CK204">
        <v>21</v>
      </c>
      <c r="CL204" t="s">
        <v>74</v>
      </c>
    </row>
    <row r="205" spans="1:90" x14ac:dyDescent="0.25">
      <c r="A205" t="s">
        <v>61</v>
      </c>
      <c r="B205" t="s">
        <v>62</v>
      </c>
      <c r="C205" t="s">
        <v>63</v>
      </c>
      <c r="E205" t="str">
        <f>"FES1162744413"</f>
        <v>FES1162744413</v>
      </c>
      <c r="F205" s="1">
        <v>43928</v>
      </c>
      <c r="G205">
        <v>202010</v>
      </c>
      <c r="H205" t="s">
        <v>64</v>
      </c>
      <c r="I205" t="s">
        <v>65</v>
      </c>
      <c r="J205" t="s">
        <v>66</v>
      </c>
      <c r="K205" t="s">
        <v>67</v>
      </c>
      <c r="L205" t="s">
        <v>168</v>
      </c>
      <c r="M205" t="s">
        <v>169</v>
      </c>
      <c r="N205" t="s">
        <v>372</v>
      </c>
      <c r="O205" t="s">
        <v>69</v>
      </c>
      <c r="P205" t="str">
        <f>"2170735748                    "</f>
        <v xml:space="preserve">2170735748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7.33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3.5</v>
      </c>
      <c r="BJ205">
        <v>1.3</v>
      </c>
      <c r="BK205">
        <v>3.5</v>
      </c>
      <c r="BL205">
        <v>80.58</v>
      </c>
      <c r="BM205">
        <v>12.09</v>
      </c>
      <c r="BN205">
        <v>92.67</v>
      </c>
      <c r="BO205">
        <v>92.67</v>
      </c>
      <c r="BQ205" t="s">
        <v>78</v>
      </c>
      <c r="BR205" t="s">
        <v>71</v>
      </c>
      <c r="BS205" s="1">
        <v>43929</v>
      </c>
      <c r="BT205" s="2">
        <v>0.47916666666666669</v>
      </c>
      <c r="BU205" t="s">
        <v>448</v>
      </c>
      <c r="BV205" t="s">
        <v>74</v>
      </c>
      <c r="BW205" t="s">
        <v>85</v>
      </c>
      <c r="BX205" t="s">
        <v>128</v>
      </c>
      <c r="BY205">
        <v>6683.04</v>
      </c>
      <c r="CC205" t="s">
        <v>169</v>
      </c>
      <c r="CD205">
        <v>4026</v>
      </c>
      <c r="CE205" t="s">
        <v>91</v>
      </c>
      <c r="CF205" s="1">
        <v>43935</v>
      </c>
      <c r="CI205">
        <v>1</v>
      </c>
      <c r="CJ205">
        <v>1</v>
      </c>
      <c r="CK205">
        <v>21</v>
      </c>
      <c r="CL205" t="s">
        <v>74</v>
      </c>
    </row>
    <row r="206" spans="1:90" x14ac:dyDescent="0.25">
      <c r="A206" t="s">
        <v>61</v>
      </c>
      <c r="B206" t="s">
        <v>62</v>
      </c>
      <c r="C206" t="s">
        <v>63</v>
      </c>
      <c r="E206" t="str">
        <f>"FES1162744415"</f>
        <v>FES1162744415</v>
      </c>
      <c r="F206" s="1">
        <v>43928</v>
      </c>
      <c r="G206">
        <v>202010</v>
      </c>
      <c r="H206" t="s">
        <v>64</v>
      </c>
      <c r="I206" t="s">
        <v>65</v>
      </c>
      <c r="J206" t="s">
        <v>66</v>
      </c>
      <c r="K206" t="s">
        <v>67</v>
      </c>
      <c r="L206" t="s">
        <v>120</v>
      </c>
      <c r="M206" t="s">
        <v>121</v>
      </c>
      <c r="N206" t="s">
        <v>206</v>
      </c>
      <c r="O206" t="s">
        <v>69</v>
      </c>
      <c r="P206" t="str">
        <f>"2170735752                    "</f>
        <v xml:space="preserve">2170735752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4.1900000000000004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46.06</v>
      </c>
      <c r="BM206">
        <v>6.91</v>
      </c>
      <c r="BN206">
        <v>52.97</v>
      </c>
      <c r="BO206">
        <v>52.97</v>
      </c>
      <c r="BQ206" t="s">
        <v>78</v>
      </c>
      <c r="BR206" t="s">
        <v>71</v>
      </c>
      <c r="BS206" s="1">
        <v>43929</v>
      </c>
      <c r="BT206" s="2">
        <v>0.41666666666666669</v>
      </c>
      <c r="BU206" t="s">
        <v>449</v>
      </c>
      <c r="BV206" t="s">
        <v>80</v>
      </c>
      <c r="BY206">
        <v>1200</v>
      </c>
      <c r="CC206" t="s">
        <v>121</v>
      </c>
      <c r="CD206">
        <v>4094</v>
      </c>
      <c r="CE206" t="s">
        <v>73</v>
      </c>
      <c r="CF206" s="1">
        <v>43935</v>
      </c>
      <c r="CI206">
        <v>1</v>
      </c>
      <c r="CJ206">
        <v>1</v>
      </c>
      <c r="CK206">
        <v>21</v>
      </c>
      <c r="CL206" t="s">
        <v>74</v>
      </c>
    </row>
    <row r="207" spans="1:90" x14ac:dyDescent="0.25">
      <c r="A207" t="s">
        <v>61</v>
      </c>
      <c r="B207" t="s">
        <v>62</v>
      </c>
      <c r="C207" t="s">
        <v>63</v>
      </c>
      <c r="E207" t="str">
        <f>"FES1162743988"</f>
        <v>FES1162743988</v>
      </c>
      <c r="F207" s="1">
        <v>43930</v>
      </c>
      <c r="G207">
        <v>202010</v>
      </c>
      <c r="H207" t="s">
        <v>64</v>
      </c>
      <c r="I207" t="s">
        <v>65</v>
      </c>
      <c r="J207" t="s">
        <v>66</v>
      </c>
      <c r="K207" t="s">
        <v>67</v>
      </c>
      <c r="L207" t="s">
        <v>450</v>
      </c>
      <c r="M207" t="s">
        <v>451</v>
      </c>
      <c r="N207" t="s">
        <v>452</v>
      </c>
      <c r="O207" t="s">
        <v>69</v>
      </c>
      <c r="P207" t="str">
        <f>"2170735331                    "</f>
        <v xml:space="preserve">2170735331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4.1900000000000004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46.06</v>
      </c>
      <c r="BM207">
        <v>6.91</v>
      </c>
      <c r="BN207">
        <v>52.97</v>
      </c>
      <c r="BO207">
        <v>52.97</v>
      </c>
      <c r="BQ207" t="s">
        <v>78</v>
      </c>
      <c r="BR207" t="s">
        <v>71</v>
      </c>
      <c r="BS207" s="1">
        <v>43935</v>
      </c>
      <c r="BT207" s="2">
        <v>0.37847222222222227</v>
      </c>
      <c r="BU207" t="s">
        <v>453</v>
      </c>
      <c r="BV207" t="s">
        <v>80</v>
      </c>
      <c r="BY207">
        <v>1200</v>
      </c>
      <c r="CA207" t="s">
        <v>454</v>
      </c>
      <c r="CC207" t="s">
        <v>451</v>
      </c>
      <c r="CD207">
        <v>1240</v>
      </c>
      <c r="CE207" t="s">
        <v>73</v>
      </c>
      <c r="CF207" s="1">
        <v>43936</v>
      </c>
      <c r="CI207">
        <v>1</v>
      </c>
      <c r="CJ207">
        <v>2</v>
      </c>
      <c r="CK207">
        <v>21</v>
      </c>
      <c r="CL207" t="s">
        <v>74</v>
      </c>
    </row>
    <row r="208" spans="1:90" x14ac:dyDescent="0.25">
      <c r="A208" t="s">
        <v>61</v>
      </c>
      <c r="B208" t="s">
        <v>62</v>
      </c>
      <c r="C208" t="s">
        <v>63</v>
      </c>
      <c r="E208" t="str">
        <f>"FES1162744769"</f>
        <v>FES1162744769</v>
      </c>
      <c r="F208" s="1">
        <v>43936</v>
      </c>
      <c r="G208">
        <v>202010</v>
      </c>
      <c r="H208" t="s">
        <v>64</v>
      </c>
      <c r="I208" t="s">
        <v>65</v>
      </c>
      <c r="J208" t="s">
        <v>66</v>
      </c>
      <c r="K208" t="s">
        <v>67</v>
      </c>
      <c r="L208" t="s">
        <v>87</v>
      </c>
      <c r="M208" t="s">
        <v>88</v>
      </c>
      <c r="N208" t="s">
        <v>89</v>
      </c>
      <c r="O208" t="s">
        <v>69</v>
      </c>
      <c r="P208" t="str">
        <f>"2170736018                    "</f>
        <v xml:space="preserve">2170736018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31.93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2</v>
      </c>
      <c r="BI208">
        <v>8.5</v>
      </c>
      <c r="BJ208">
        <v>4.2</v>
      </c>
      <c r="BK208">
        <v>8.5</v>
      </c>
      <c r="BL208">
        <v>351.21</v>
      </c>
      <c r="BM208">
        <v>52.68</v>
      </c>
      <c r="BN208">
        <v>403.89</v>
      </c>
      <c r="BO208">
        <v>403.89</v>
      </c>
      <c r="BQ208" t="s">
        <v>70</v>
      </c>
      <c r="BR208" t="s">
        <v>71</v>
      </c>
      <c r="BS208" s="1">
        <v>43938</v>
      </c>
      <c r="BT208" s="2">
        <v>0.41666666666666669</v>
      </c>
      <c r="BU208" t="s">
        <v>455</v>
      </c>
      <c r="BV208" t="s">
        <v>80</v>
      </c>
      <c r="BY208">
        <v>20804.22</v>
      </c>
      <c r="CC208" t="s">
        <v>88</v>
      </c>
      <c r="CD208">
        <v>5099</v>
      </c>
      <c r="CE208" t="s">
        <v>381</v>
      </c>
      <c r="CF208" s="1">
        <v>43945</v>
      </c>
      <c r="CI208">
        <v>3</v>
      </c>
      <c r="CJ208">
        <v>2</v>
      </c>
      <c r="CK208">
        <v>23</v>
      </c>
      <c r="CL208" t="s">
        <v>74</v>
      </c>
    </row>
    <row r="209" spans="1:90" x14ac:dyDescent="0.25">
      <c r="A209" t="s">
        <v>61</v>
      </c>
      <c r="B209" t="s">
        <v>62</v>
      </c>
      <c r="C209" t="s">
        <v>63</v>
      </c>
      <c r="E209" t="str">
        <f>"FES1162744766"</f>
        <v>FES1162744766</v>
      </c>
      <c r="F209" s="1">
        <v>43936</v>
      </c>
      <c r="G209">
        <v>202010</v>
      </c>
      <c r="H209" t="s">
        <v>64</v>
      </c>
      <c r="I209" t="s">
        <v>65</v>
      </c>
      <c r="J209" t="s">
        <v>66</v>
      </c>
      <c r="K209" t="s">
        <v>67</v>
      </c>
      <c r="L209" t="s">
        <v>456</v>
      </c>
      <c r="M209" t="s">
        <v>457</v>
      </c>
      <c r="N209" t="s">
        <v>196</v>
      </c>
      <c r="O209" t="s">
        <v>69</v>
      </c>
      <c r="P209" t="str">
        <f>"2170735760                    "</f>
        <v xml:space="preserve">2170735760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31.7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2</v>
      </c>
      <c r="BI209">
        <v>8.1999999999999993</v>
      </c>
      <c r="BJ209">
        <v>10.9</v>
      </c>
      <c r="BK209">
        <v>11</v>
      </c>
      <c r="BL209">
        <v>348.7</v>
      </c>
      <c r="BM209">
        <v>52.31</v>
      </c>
      <c r="BN209">
        <v>401.01</v>
      </c>
      <c r="BO209">
        <v>401.01</v>
      </c>
      <c r="BQ209" t="s">
        <v>70</v>
      </c>
      <c r="BR209" t="s">
        <v>71</v>
      </c>
      <c r="BS209" s="1">
        <v>43937</v>
      </c>
      <c r="BT209" s="2">
        <v>0.4861111111111111</v>
      </c>
      <c r="BU209" t="s">
        <v>458</v>
      </c>
      <c r="BV209" t="s">
        <v>80</v>
      </c>
      <c r="BY209">
        <v>54603.72</v>
      </c>
      <c r="CC209" t="s">
        <v>457</v>
      </c>
      <c r="CD209">
        <v>407</v>
      </c>
      <c r="CE209" t="s">
        <v>381</v>
      </c>
      <c r="CF209" s="1">
        <v>43938</v>
      </c>
      <c r="CI209">
        <v>1</v>
      </c>
      <c r="CJ209">
        <v>1</v>
      </c>
      <c r="CK209">
        <v>24</v>
      </c>
      <c r="CL209" t="s">
        <v>74</v>
      </c>
    </row>
    <row r="210" spans="1:90" x14ac:dyDescent="0.25">
      <c r="A210" t="s">
        <v>61</v>
      </c>
      <c r="B210" t="s">
        <v>62</v>
      </c>
      <c r="C210" t="s">
        <v>63</v>
      </c>
      <c r="E210" t="str">
        <f>"FES1162744730"</f>
        <v>FES1162744730</v>
      </c>
      <c r="F210" s="1">
        <v>43935</v>
      </c>
      <c r="G210">
        <v>202010</v>
      </c>
      <c r="H210" t="s">
        <v>64</v>
      </c>
      <c r="I210" t="s">
        <v>65</v>
      </c>
      <c r="J210" t="s">
        <v>66</v>
      </c>
      <c r="K210" t="s">
        <v>67</v>
      </c>
      <c r="L210" t="s">
        <v>64</v>
      </c>
      <c r="M210" t="s">
        <v>65</v>
      </c>
      <c r="N210" t="s">
        <v>313</v>
      </c>
      <c r="O210" t="s">
        <v>69</v>
      </c>
      <c r="P210" t="str">
        <f>"2170735184                    "</f>
        <v xml:space="preserve">2170735184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13.46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12.4</v>
      </c>
      <c r="BJ210">
        <v>14.7</v>
      </c>
      <c r="BK210">
        <v>15</v>
      </c>
      <c r="BL210">
        <v>148.09</v>
      </c>
      <c r="BM210">
        <v>22.21</v>
      </c>
      <c r="BN210">
        <v>170.3</v>
      </c>
      <c r="BO210">
        <v>170.3</v>
      </c>
      <c r="BQ210" t="s">
        <v>78</v>
      </c>
      <c r="BR210" t="s">
        <v>71</v>
      </c>
      <c r="BS210" s="1">
        <v>43936</v>
      </c>
      <c r="BT210" s="2">
        <v>0.375</v>
      </c>
      <c r="BU210" t="s">
        <v>350</v>
      </c>
      <c r="BV210" t="s">
        <v>80</v>
      </c>
      <c r="BY210">
        <v>73333.69</v>
      </c>
      <c r="CA210" t="s">
        <v>193</v>
      </c>
      <c r="CC210" t="s">
        <v>65</v>
      </c>
      <c r="CD210">
        <v>1624</v>
      </c>
      <c r="CE210" t="s">
        <v>91</v>
      </c>
      <c r="CI210">
        <v>1</v>
      </c>
      <c r="CJ210">
        <v>1</v>
      </c>
      <c r="CK210">
        <v>22</v>
      </c>
      <c r="CL210" t="s">
        <v>74</v>
      </c>
    </row>
    <row r="211" spans="1:90" x14ac:dyDescent="0.25">
      <c r="A211" t="s">
        <v>61</v>
      </c>
      <c r="B211" t="s">
        <v>62</v>
      </c>
      <c r="C211" t="s">
        <v>63</v>
      </c>
      <c r="E211" t="str">
        <f>"FES1162744581"</f>
        <v>FES1162744581</v>
      </c>
      <c r="F211" s="1">
        <v>43930</v>
      </c>
      <c r="G211">
        <v>202010</v>
      </c>
      <c r="H211" t="s">
        <v>64</v>
      </c>
      <c r="I211" t="s">
        <v>65</v>
      </c>
      <c r="J211" t="s">
        <v>66</v>
      </c>
      <c r="K211" t="s">
        <v>67</v>
      </c>
      <c r="L211" t="s">
        <v>120</v>
      </c>
      <c r="M211" t="s">
        <v>121</v>
      </c>
      <c r="N211" t="s">
        <v>247</v>
      </c>
      <c r="O211" t="s">
        <v>69</v>
      </c>
      <c r="P211" t="str">
        <f>"2170735183                    "</f>
        <v xml:space="preserve">2170735183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4.1900000000000004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46.06</v>
      </c>
      <c r="BM211">
        <v>6.91</v>
      </c>
      <c r="BN211">
        <v>52.97</v>
      </c>
      <c r="BO211">
        <v>52.97</v>
      </c>
      <c r="BQ211" t="s">
        <v>248</v>
      </c>
      <c r="BR211" t="s">
        <v>71</v>
      </c>
      <c r="BS211" s="1">
        <v>43935</v>
      </c>
      <c r="BT211" s="2">
        <v>0.63958333333333328</v>
      </c>
      <c r="BU211" t="s">
        <v>249</v>
      </c>
      <c r="BV211" t="s">
        <v>74</v>
      </c>
      <c r="BW211" t="s">
        <v>85</v>
      </c>
      <c r="BX211" t="s">
        <v>128</v>
      </c>
      <c r="BY211">
        <v>1200</v>
      </c>
      <c r="CA211" t="s">
        <v>250</v>
      </c>
      <c r="CC211" t="s">
        <v>121</v>
      </c>
      <c r="CD211">
        <v>4001</v>
      </c>
      <c r="CE211" t="s">
        <v>73</v>
      </c>
      <c r="CF211" s="1">
        <v>43936</v>
      </c>
      <c r="CI211">
        <v>1</v>
      </c>
      <c r="CJ211">
        <v>3</v>
      </c>
      <c r="CK211">
        <v>21</v>
      </c>
      <c r="CL211" t="s">
        <v>74</v>
      </c>
    </row>
    <row r="212" spans="1:90" x14ac:dyDescent="0.25">
      <c r="A212" t="s">
        <v>61</v>
      </c>
      <c r="B212" t="s">
        <v>62</v>
      </c>
      <c r="C212" t="s">
        <v>63</v>
      </c>
      <c r="E212" t="str">
        <f>"FES1162744404"</f>
        <v>FES1162744404</v>
      </c>
      <c r="F212" s="1">
        <v>43928</v>
      </c>
      <c r="G212">
        <v>202010</v>
      </c>
      <c r="H212" t="s">
        <v>64</v>
      </c>
      <c r="I212" t="s">
        <v>65</v>
      </c>
      <c r="J212" t="s">
        <v>66</v>
      </c>
      <c r="K212" t="s">
        <v>67</v>
      </c>
      <c r="L212" t="s">
        <v>168</v>
      </c>
      <c r="M212" t="s">
        <v>169</v>
      </c>
      <c r="N212" t="s">
        <v>170</v>
      </c>
      <c r="O212" t="s">
        <v>69</v>
      </c>
      <c r="P212" t="str">
        <f>"2170735550                    "</f>
        <v xml:space="preserve">2170735550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4.1900000000000004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46.06</v>
      </c>
      <c r="BM212">
        <v>6.91</v>
      </c>
      <c r="BN212">
        <v>52.97</v>
      </c>
      <c r="BO212">
        <v>52.97</v>
      </c>
      <c r="BQ212" t="s">
        <v>78</v>
      </c>
      <c r="BR212" t="s">
        <v>71</v>
      </c>
      <c r="BS212" s="1">
        <v>43929</v>
      </c>
      <c r="BT212" s="2">
        <v>0.47916666666666669</v>
      </c>
      <c r="BU212" t="s">
        <v>459</v>
      </c>
      <c r="BV212" t="s">
        <v>74</v>
      </c>
      <c r="BW212" t="s">
        <v>85</v>
      </c>
      <c r="BX212" t="s">
        <v>128</v>
      </c>
      <c r="BY212">
        <v>1200</v>
      </c>
      <c r="CC212" t="s">
        <v>169</v>
      </c>
      <c r="CD212">
        <v>4026</v>
      </c>
      <c r="CE212" t="s">
        <v>73</v>
      </c>
      <c r="CF212" s="1">
        <v>43935</v>
      </c>
      <c r="CI212">
        <v>1</v>
      </c>
      <c r="CJ212">
        <v>1</v>
      </c>
      <c r="CK212">
        <v>21</v>
      </c>
      <c r="CL212" t="s">
        <v>74</v>
      </c>
    </row>
    <row r="213" spans="1:90" x14ac:dyDescent="0.25">
      <c r="A213" t="s">
        <v>61</v>
      </c>
      <c r="B213" t="s">
        <v>62</v>
      </c>
      <c r="C213" t="s">
        <v>63</v>
      </c>
      <c r="E213" t="str">
        <f>"FES1162744356"</f>
        <v>FES1162744356</v>
      </c>
      <c r="F213" s="1">
        <v>43929</v>
      </c>
      <c r="G213">
        <v>202010</v>
      </c>
      <c r="H213" t="s">
        <v>64</v>
      </c>
      <c r="I213" t="s">
        <v>65</v>
      </c>
      <c r="J213" t="s">
        <v>66</v>
      </c>
      <c r="K213" t="s">
        <v>67</v>
      </c>
      <c r="L213" t="s">
        <v>92</v>
      </c>
      <c r="M213" t="s">
        <v>93</v>
      </c>
      <c r="N213" t="s">
        <v>165</v>
      </c>
      <c r="O213" t="s">
        <v>69</v>
      </c>
      <c r="P213" t="str">
        <f>"2170735706                    "</f>
        <v xml:space="preserve">2170735706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4.1900000000000004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46.06</v>
      </c>
      <c r="BM213">
        <v>6.91</v>
      </c>
      <c r="BN213">
        <v>52.97</v>
      </c>
      <c r="BO213">
        <v>52.97</v>
      </c>
      <c r="BQ213" t="s">
        <v>70</v>
      </c>
      <c r="BR213" t="s">
        <v>71</v>
      </c>
      <c r="BS213" s="1">
        <v>43930</v>
      </c>
      <c r="BT213" s="2">
        <v>0.30486111111111108</v>
      </c>
      <c r="BU213" t="s">
        <v>166</v>
      </c>
      <c r="BV213" t="s">
        <v>80</v>
      </c>
      <c r="BY213">
        <v>1200</v>
      </c>
      <c r="CA213" t="s">
        <v>167</v>
      </c>
      <c r="CC213" t="s">
        <v>93</v>
      </c>
      <c r="CD213">
        <v>7530</v>
      </c>
      <c r="CE213" t="s">
        <v>73</v>
      </c>
      <c r="CF213" s="1">
        <v>43935</v>
      </c>
      <c r="CI213">
        <v>1</v>
      </c>
      <c r="CJ213">
        <v>0</v>
      </c>
      <c r="CK213">
        <v>21</v>
      </c>
      <c r="CL213" t="s">
        <v>74</v>
      </c>
    </row>
    <row r="214" spans="1:90" x14ac:dyDescent="0.25">
      <c r="A214" t="s">
        <v>61</v>
      </c>
      <c r="B214" t="s">
        <v>62</v>
      </c>
      <c r="C214" t="s">
        <v>63</v>
      </c>
      <c r="E214" t="str">
        <f>"FES1162744484"</f>
        <v>FES1162744484</v>
      </c>
      <c r="F214" s="1">
        <v>43929</v>
      </c>
      <c r="G214">
        <v>202010</v>
      </c>
      <c r="H214" t="s">
        <v>64</v>
      </c>
      <c r="I214" t="s">
        <v>65</v>
      </c>
      <c r="J214" t="s">
        <v>66</v>
      </c>
      <c r="K214" t="s">
        <v>67</v>
      </c>
      <c r="L214" t="s">
        <v>460</v>
      </c>
      <c r="M214" t="s">
        <v>461</v>
      </c>
      <c r="N214" t="s">
        <v>462</v>
      </c>
      <c r="O214" t="s">
        <v>69</v>
      </c>
      <c r="P214" t="str">
        <f>"2170735816                    "</f>
        <v xml:space="preserve">2170735816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10.19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2.8</v>
      </c>
      <c r="BJ214">
        <v>3.4</v>
      </c>
      <c r="BK214">
        <v>3.5</v>
      </c>
      <c r="BL214">
        <v>112.09</v>
      </c>
      <c r="BM214">
        <v>16.809999999999999</v>
      </c>
      <c r="BN214">
        <v>128.9</v>
      </c>
      <c r="BO214">
        <v>128.9</v>
      </c>
      <c r="BQ214" t="s">
        <v>78</v>
      </c>
      <c r="BR214" t="s">
        <v>71</v>
      </c>
      <c r="BS214" s="1">
        <v>43930</v>
      </c>
      <c r="BT214" s="2">
        <v>0.41666666666666669</v>
      </c>
      <c r="BU214" t="s">
        <v>463</v>
      </c>
      <c r="BV214" t="s">
        <v>80</v>
      </c>
      <c r="BY214">
        <v>17077.2</v>
      </c>
      <c r="CA214" t="s">
        <v>464</v>
      </c>
      <c r="CC214" t="s">
        <v>461</v>
      </c>
      <c r="CD214">
        <v>1438</v>
      </c>
      <c r="CE214" t="s">
        <v>91</v>
      </c>
      <c r="CF214" s="1">
        <v>43936</v>
      </c>
      <c r="CI214">
        <v>1</v>
      </c>
      <c r="CJ214">
        <v>1</v>
      </c>
      <c r="CK214">
        <v>24</v>
      </c>
      <c r="CL214" t="s">
        <v>74</v>
      </c>
    </row>
    <row r="215" spans="1:90" x14ac:dyDescent="0.25">
      <c r="A215" t="s">
        <v>61</v>
      </c>
      <c r="B215" t="s">
        <v>62</v>
      </c>
      <c r="C215" t="s">
        <v>63</v>
      </c>
      <c r="E215" t="str">
        <f>"RFES116274662"</f>
        <v>RFES116274662</v>
      </c>
      <c r="F215" s="1">
        <v>43928</v>
      </c>
      <c r="G215">
        <v>202010</v>
      </c>
      <c r="H215" t="s">
        <v>64</v>
      </c>
      <c r="I215" t="s">
        <v>65</v>
      </c>
      <c r="J215" t="s">
        <v>465</v>
      </c>
      <c r="K215" t="s">
        <v>67</v>
      </c>
      <c r="L215" t="s">
        <v>64</v>
      </c>
      <c r="M215" t="s">
        <v>65</v>
      </c>
      <c r="N215" t="s">
        <v>66</v>
      </c>
      <c r="O215" t="s">
        <v>69</v>
      </c>
      <c r="P215" t="str">
        <f>"2170734003                    "</f>
        <v xml:space="preserve">2170734003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3.27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35.979999999999997</v>
      </c>
      <c r="BM215">
        <v>5.4</v>
      </c>
      <c r="BN215">
        <v>41.38</v>
      </c>
      <c r="BO215">
        <v>41.38</v>
      </c>
      <c r="BQ215" t="s">
        <v>71</v>
      </c>
      <c r="BR215" t="s">
        <v>70</v>
      </c>
      <c r="BS215" s="1">
        <v>43929</v>
      </c>
      <c r="BT215" s="2">
        <v>0.38125000000000003</v>
      </c>
      <c r="BU215" t="s">
        <v>243</v>
      </c>
      <c r="BV215" t="s">
        <v>80</v>
      </c>
      <c r="BY215">
        <v>1200</v>
      </c>
      <c r="CA215" t="s">
        <v>466</v>
      </c>
      <c r="CC215" t="s">
        <v>65</v>
      </c>
      <c r="CD215">
        <v>1601</v>
      </c>
      <c r="CE215" t="s">
        <v>73</v>
      </c>
      <c r="CF215" s="1">
        <v>43930</v>
      </c>
      <c r="CI215">
        <v>1</v>
      </c>
      <c r="CJ215">
        <v>1</v>
      </c>
      <c r="CK215">
        <v>22</v>
      </c>
      <c r="CL215" t="s">
        <v>74</v>
      </c>
    </row>
    <row r="216" spans="1:90" x14ac:dyDescent="0.25">
      <c r="A216" t="s">
        <v>61</v>
      </c>
      <c r="B216" t="s">
        <v>62</v>
      </c>
      <c r="C216" t="s">
        <v>63</v>
      </c>
      <c r="E216" t="str">
        <f>"FES1162744425"</f>
        <v>FES1162744425</v>
      </c>
      <c r="F216" s="1">
        <v>43928</v>
      </c>
      <c r="G216">
        <v>202010</v>
      </c>
      <c r="H216" t="s">
        <v>64</v>
      </c>
      <c r="I216" t="s">
        <v>65</v>
      </c>
      <c r="J216" t="s">
        <v>66</v>
      </c>
      <c r="K216" t="s">
        <v>67</v>
      </c>
      <c r="L216" t="s">
        <v>177</v>
      </c>
      <c r="M216" t="s">
        <v>178</v>
      </c>
      <c r="N216" t="s">
        <v>179</v>
      </c>
      <c r="O216" t="s">
        <v>69</v>
      </c>
      <c r="P216" t="str">
        <f>"2170735126                    "</f>
        <v xml:space="preserve">2170735126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6.28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3</v>
      </c>
      <c r="BJ216">
        <v>1.7</v>
      </c>
      <c r="BK216">
        <v>3</v>
      </c>
      <c r="BL216">
        <v>69.069999999999993</v>
      </c>
      <c r="BM216">
        <v>10.36</v>
      </c>
      <c r="BN216">
        <v>79.430000000000007</v>
      </c>
      <c r="BO216">
        <v>79.430000000000007</v>
      </c>
      <c r="BQ216" t="s">
        <v>70</v>
      </c>
      <c r="BR216" t="s">
        <v>71</v>
      </c>
      <c r="BS216" s="1">
        <v>43929</v>
      </c>
      <c r="BT216" s="2">
        <v>0.45833333333333331</v>
      </c>
      <c r="BU216" t="s">
        <v>325</v>
      </c>
      <c r="BV216" t="s">
        <v>80</v>
      </c>
      <c r="BY216">
        <v>8647.59</v>
      </c>
      <c r="CC216" t="s">
        <v>178</v>
      </c>
      <c r="CD216">
        <v>4302</v>
      </c>
      <c r="CE216" t="s">
        <v>91</v>
      </c>
      <c r="CF216" s="1">
        <v>43935</v>
      </c>
      <c r="CI216">
        <v>1</v>
      </c>
      <c r="CJ216">
        <v>1</v>
      </c>
      <c r="CK216">
        <v>21</v>
      </c>
      <c r="CL216" t="s">
        <v>74</v>
      </c>
    </row>
    <row r="217" spans="1:90" x14ac:dyDescent="0.25">
      <c r="A217" t="s">
        <v>61</v>
      </c>
      <c r="B217" t="s">
        <v>62</v>
      </c>
      <c r="C217" t="s">
        <v>63</v>
      </c>
      <c r="E217" t="str">
        <f>"FES1162744424"</f>
        <v>FES1162744424</v>
      </c>
      <c r="F217" s="1">
        <v>43928</v>
      </c>
      <c r="G217">
        <v>202010</v>
      </c>
      <c r="H217" t="s">
        <v>64</v>
      </c>
      <c r="I217" t="s">
        <v>65</v>
      </c>
      <c r="J217" t="s">
        <v>66</v>
      </c>
      <c r="K217" t="s">
        <v>67</v>
      </c>
      <c r="L217" t="s">
        <v>116</v>
      </c>
      <c r="M217" t="s">
        <v>117</v>
      </c>
      <c r="N217" t="s">
        <v>118</v>
      </c>
      <c r="O217" t="s">
        <v>69</v>
      </c>
      <c r="P217" t="str">
        <f>"2170733806                    "</f>
        <v xml:space="preserve">2170733806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13.61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3.1</v>
      </c>
      <c r="BJ217">
        <v>1.7</v>
      </c>
      <c r="BK217">
        <v>3.5</v>
      </c>
      <c r="BL217">
        <v>149.69</v>
      </c>
      <c r="BM217">
        <v>22.45</v>
      </c>
      <c r="BN217">
        <v>172.14</v>
      </c>
      <c r="BO217">
        <v>172.14</v>
      </c>
      <c r="BQ217" t="s">
        <v>78</v>
      </c>
      <c r="BR217" t="s">
        <v>71</v>
      </c>
      <c r="BS217" s="1">
        <v>43929</v>
      </c>
      <c r="BT217" s="2">
        <v>0.41666666666666669</v>
      </c>
      <c r="BU217" t="s">
        <v>119</v>
      </c>
      <c r="BV217" t="s">
        <v>80</v>
      </c>
      <c r="BY217">
        <v>8597.83</v>
      </c>
      <c r="CC217" t="s">
        <v>117</v>
      </c>
      <c r="CD217">
        <v>7300</v>
      </c>
      <c r="CE217" t="s">
        <v>91</v>
      </c>
      <c r="CF217" s="1">
        <v>43930</v>
      </c>
      <c r="CI217">
        <v>1</v>
      </c>
      <c r="CJ217">
        <v>1</v>
      </c>
      <c r="CK217">
        <v>23</v>
      </c>
      <c r="CL217" t="s">
        <v>74</v>
      </c>
    </row>
    <row r="218" spans="1:90" x14ac:dyDescent="0.25">
      <c r="A218" t="s">
        <v>61</v>
      </c>
      <c r="B218" t="s">
        <v>62</v>
      </c>
      <c r="C218" t="s">
        <v>63</v>
      </c>
      <c r="E218" t="str">
        <f>"FES1162744426"</f>
        <v>FES1162744426</v>
      </c>
      <c r="F218" s="1">
        <v>43928</v>
      </c>
      <c r="G218">
        <v>202010</v>
      </c>
      <c r="H218" t="s">
        <v>64</v>
      </c>
      <c r="I218" t="s">
        <v>65</v>
      </c>
      <c r="J218" t="s">
        <v>66</v>
      </c>
      <c r="K218" t="s">
        <v>67</v>
      </c>
      <c r="L218" t="s">
        <v>177</v>
      </c>
      <c r="M218" t="s">
        <v>178</v>
      </c>
      <c r="N218" t="s">
        <v>179</v>
      </c>
      <c r="O218" t="s">
        <v>69</v>
      </c>
      <c r="P218" t="str">
        <f>"2170735127                    "</f>
        <v xml:space="preserve">2170735127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6.28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2.6</v>
      </c>
      <c r="BJ218">
        <v>1.6</v>
      </c>
      <c r="BK218">
        <v>3</v>
      </c>
      <c r="BL218">
        <v>69.069999999999993</v>
      </c>
      <c r="BM218">
        <v>10.36</v>
      </c>
      <c r="BN218">
        <v>79.430000000000007</v>
      </c>
      <c r="BO218">
        <v>79.430000000000007</v>
      </c>
      <c r="BQ218" t="s">
        <v>70</v>
      </c>
      <c r="BR218" t="s">
        <v>71</v>
      </c>
      <c r="BS218" s="1">
        <v>43929</v>
      </c>
      <c r="BT218" s="2">
        <v>0.45833333333333331</v>
      </c>
      <c r="BU218" t="s">
        <v>325</v>
      </c>
      <c r="BV218" t="s">
        <v>80</v>
      </c>
      <c r="BY218">
        <v>7962.79</v>
      </c>
      <c r="CC218" t="s">
        <v>178</v>
      </c>
      <c r="CD218">
        <v>4302</v>
      </c>
      <c r="CE218" t="s">
        <v>91</v>
      </c>
      <c r="CF218" s="1">
        <v>43935</v>
      </c>
      <c r="CI218">
        <v>1</v>
      </c>
      <c r="CJ218">
        <v>1</v>
      </c>
      <c r="CK218">
        <v>21</v>
      </c>
      <c r="CL218" t="s">
        <v>74</v>
      </c>
    </row>
    <row r="219" spans="1:90" x14ac:dyDescent="0.25">
      <c r="A219" t="s">
        <v>61</v>
      </c>
      <c r="B219" t="s">
        <v>62</v>
      </c>
      <c r="C219" t="s">
        <v>63</v>
      </c>
      <c r="E219" t="str">
        <f>"FES1162744385"</f>
        <v>FES1162744385</v>
      </c>
      <c r="F219" s="1">
        <v>43928</v>
      </c>
      <c r="G219">
        <v>202010</v>
      </c>
      <c r="H219" t="s">
        <v>64</v>
      </c>
      <c r="I219" t="s">
        <v>65</v>
      </c>
      <c r="J219" t="s">
        <v>66</v>
      </c>
      <c r="K219" t="s">
        <v>67</v>
      </c>
      <c r="L219" t="s">
        <v>92</v>
      </c>
      <c r="M219" t="s">
        <v>93</v>
      </c>
      <c r="N219" t="s">
        <v>329</v>
      </c>
      <c r="O219" t="s">
        <v>69</v>
      </c>
      <c r="P219" t="str">
        <f>"2170732322                    "</f>
        <v xml:space="preserve">2170732322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4.1900000000000004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1.1000000000000001</v>
      </c>
      <c r="BJ219">
        <v>1.1000000000000001</v>
      </c>
      <c r="BK219">
        <v>1.5</v>
      </c>
      <c r="BL219">
        <v>46.06</v>
      </c>
      <c r="BM219">
        <v>6.91</v>
      </c>
      <c r="BN219">
        <v>52.97</v>
      </c>
      <c r="BO219">
        <v>52.97</v>
      </c>
      <c r="BQ219" t="s">
        <v>70</v>
      </c>
      <c r="BR219" t="s">
        <v>71</v>
      </c>
      <c r="BS219" s="1">
        <v>43929</v>
      </c>
      <c r="BT219" s="2">
        <v>0.43402777777777773</v>
      </c>
      <c r="BU219" t="s">
        <v>330</v>
      </c>
      <c r="BV219" t="s">
        <v>80</v>
      </c>
      <c r="BY219">
        <v>5354.15</v>
      </c>
      <c r="CA219" t="s">
        <v>331</v>
      </c>
      <c r="CC219" t="s">
        <v>93</v>
      </c>
      <c r="CD219">
        <v>7441</v>
      </c>
      <c r="CE219" t="s">
        <v>91</v>
      </c>
      <c r="CF219" s="1">
        <v>43930</v>
      </c>
      <c r="CI219">
        <v>1</v>
      </c>
      <c r="CJ219">
        <v>1</v>
      </c>
      <c r="CK219">
        <v>21</v>
      </c>
      <c r="CL219" t="s">
        <v>74</v>
      </c>
    </row>
    <row r="220" spans="1:90" x14ac:dyDescent="0.25">
      <c r="A220" t="s">
        <v>61</v>
      </c>
      <c r="B220" t="s">
        <v>62</v>
      </c>
      <c r="C220" t="s">
        <v>63</v>
      </c>
      <c r="E220" t="str">
        <f>"FES1162744411"</f>
        <v>FES1162744411</v>
      </c>
      <c r="F220" s="1">
        <v>43928</v>
      </c>
      <c r="G220">
        <v>202010</v>
      </c>
      <c r="H220" t="s">
        <v>64</v>
      </c>
      <c r="I220" t="s">
        <v>65</v>
      </c>
      <c r="J220" t="s">
        <v>66</v>
      </c>
      <c r="K220" t="s">
        <v>67</v>
      </c>
      <c r="L220" t="s">
        <v>184</v>
      </c>
      <c r="M220" t="s">
        <v>185</v>
      </c>
      <c r="N220" t="s">
        <v>186</v>
      </c>
      <c r="O220" t="s">
        <v>69</v>
      </c>
      <c r="P220" t="str">
        <f>"2170735546                    "</f>
        <v xml:space="preserve">2170735546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8.11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1.8</v>
      </c>
      <c r="BJ220">
        <v>0.9</v>
      </c>
      <c r="BK220">
        <v>2</v>
      </c>
      <c r="BL220">
        <v>89.23</v>
      </c>
      <c r="BM220">
        <v>13.38</v>
      </c>
      <c r="BN220">
        <v>102.61</v>
      </c>
      <c r="BO220">
        <v>102.61</v>
      </c>
      <c r="BQ220" t="s">
        <v>70</v>
      </c>
      <c r="BR220" t="s">
        <v>71</v>
      </c>
      <c r="BS220" s="1">
        <v>43929</v>
      </c>
      <c r="BT220" s="2">
        <v>0.44861111111111113</v>
      </c>
      <c r="BU220" t="s">
        <v>328</v>
      </c>
      <c r="BV220" t="s">
        <v>80</v>
      </c>
      <c r="BY220">
        <v>4404.96</v>
      </c>
      <c r="CA220" t="s">
        <v>188</v>
      </c>
      <c r="CC220" t="s">
        <v>185</v>
      </c>
      <c r="CD220">
        <v>7130</v>
      </c>
      <c r="CE220" t="s">
        <v>91</v>
      </c>
      <c r="CF220" s="1">
        <v>43930</v>
      </c>
      <c r="CI220">
        <v>1</v>
      </c>
      <c r="CJ220">
        <v>1</v>
      </c>
      <c r="CK220">
        <v>23</v>
      </c>
      <c r="CL220" t="s">
        <v>74</v>
      </c>
    </row>
    <row r="221" spans="1:90" x14ac:dyDescent="0.25">
      <c r="A221" t="s">
        <v>61</v>
      </c>
      <c r="B221" t="s">
        <v>62</v>
      </c>
      <c r="C221" t="s">
        <v>63</v>
      </c>
      <c r="E221" t="str">
        <f>"FES1162744432"</f>
        <v>FES1162744432</v>
      </c>
      <c r="F221" s="1">
        <v>43928</v>
      </c>
      <c r="G221">
        <v>202010</v>
      </c>
      <c r="H221" t="s">
        <v>64</v>
      </c>
      <c r="I221" t="s">
        <v>65</v>
      </c>
      <c r="J221" t="s">
        <v>66</v>
      </c>
      <c r="K221" t="s">
        <v>67</v>
      </c>
      <c r="L221" t="s">
        <v>238</v>
      </c>
      <c r="M221" t="s">
        <v>239</v>
      </c>
      <c r="N221" t="s">
        <v>240</v>
      </c>
      <c r="O221" t="s">
        <v>69</v>
      </c>
      <c r="P221" t="str">
        <f>"2170735774                    "</f>
        <v xml:space="preserve">2170735774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7.33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3.2</v>
      </c>
      <c r="BJ221">
        <v>1.4</v>
      </c>
      <c r="BK221">
        <v>3.5</v>
      </c>
      <c r="BL221">
        <v>80.58</v>
      </c>
      <c r="BM221">
        <v>12.09</v>
      </c>
      <c r="BN221">
        <v>92.67</v>
      </c>
      <c r="BO221">
        <v>92.67</v>
      </c>
      <c r="BQ221" t="s">
        <v>70</v>
      </c>
      <c r="BR221" t="s">
        <v>71</v>
      </c>
      <c r="BS221" s="1">
        <v>43929</v>
      </c>
      <c r="BT221" s="2">
        <v>0.41180555555555554</v>
      </c>
      <c r="BU221" t="s">
        <v>467</v>
      </c>
      <c r="BV221" t="s">
        <v>80</v>
      </c>
      <c r="BY221">
        <v>7189.09</v>
      </c>
      <c r="CA221" t="s">
        <v>242</v>
      </c>
      <c r="CC221" t="s">
        <v>239</v>
      </c>
      <c r="CD221">
        <v>5200</v>
      </c>
      <c r="CE221" t="s">
        <v>91</v>
      </c>
      <c r="CF221" s="1">
        <v>43937</v>
      </c>
      <c r="CI221">
        <v>1</v>
      </c>
      <c r="CJ221">
        <v>1</v>
      </c>
      <c r="CK221">
        <v>21</v>
      </c>
      <c r="CL221" t="s">
        <v>74</v>
      </c>
    </row>
    <row r="222" spans="1:90" x14ac:dyDescent="0.25">
      <c r="A222" t="s">
        <v>61</v>
      </c>
      <c r="B222" t="s">
        <v>62</v>
      </c>
      <c r="C222" t="s">
        <v>63</v>
      </c>
      <c r="E222" t="str">
        <f>"FES1162744069"</f>
        <v>FES1162744069</v>
      </c>
      <c r="F222" s="1">
        <v>43928</v>
      </c>
      <c r="G222">
        <v>202010</v>
      </c>
      <c r="H222" t="s">
        <v>64</v>
      </c>
      <c r="I222" t="s">
        <v>65</v>
      </c>
      <c r="J222" t="s">
        <v>66</v>
      </c>
      <c r="K222" t="s">
        <v>67</v>
      </c>
      <c r="L222" t="s">
        <v>456</v>
      </c>
      <c r="M222" t="s">
        <v>457</v>
      </c>
      <c r="N222" t="s">
        <v>196</v>
      </c>
      <c r="O222" t="s">
        <v>69</v>
      </c>
      <c r="P222" t="str">
        <f>"2170735017                    "</f>
        <v xml:space="preserve">2170735017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18.79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3.6</v>
      </c>
      <c r="BJ222">
        <v>6.5</v>
      </c>
      <c r="BK222">
        <v>6.5</v>
      </c>
      <c r="BL222">
        <v>206.73</v>
      </c>
      <c r="BM222">
        <v>31.01</v>
      </c>
      <c r="BN222">
        <v>237.74</v>
      </c>
      <c r="BO222">
        <v>237.74</v>
      </c>
      <c r="BQ222" t="s">
        <v>70</v>
      </c>
      <c r="BR222" t="s">
        <v>71</v>
      </c>
      <c r="BS222" s="1">
        <v>43930</v>
      </c>
      <c r="BT222" s="2">
        <v>0.52777777777777779</v>
      </c>
      <c r="BU222" t="s">
        <v>468</v>
      </c>
      <c r="BV222" t="s">
        <v>74</v>
      </c>
      <c r="BW222" t="s">
        <v>258</v>
      </c>
      <c r="BX222" t="s">
        <v>259</v>
      </c>
      <c r="BY222">
        <v>32610.38</v>
      </c>
      <c r="CA222" t="s">
        <v>469</v>
      </c>
      <c r="CC222" t="s">
        <v>457</v>
      </c>
      <c r="CD222">
        <v>407</v>
      </c>
      <c r="CE222" t="s">
        <v>91</v>
      </c>
      <c r="CF222" s="1">
        <v>43936</v>
      </c>
      <c r="CI222">
        <v>1</v>
      </c>
      <c r="CJ222">
        <v>2</v>
      </c>
      <c r="CK222">
        <v>24</v>
      </c>
      <c r="CL222" t="s">
        <v>74</v>
      </c>
    </row>
    <row r="223" spans="1:90" x14ac:dyDescent="0.25">
      <c r="A223" t="s">
        <v>61</v>
      </c>
      <c r="B223" t="s">
        <v>62</v>
      </c>
      <c r="C223" t="s">
        <v>63</v>
      </c>
      <c r="E223" t="str">
        <f>"FES1162744061"</f>
        <v>FES1162744061</v>
      </c>
      <c r="F223" s="1">
        <v>43928</v>
      </c>
      <c r="G223">
        <v>202010</v>
      </c>
      <c r="H223" t="s">
        <v>64</v>
      </c>
      <c r="I223" t="s">
        <v>65</v>
      </c>
      <c r="J223" t="s">
        <v>66</v>
      </c>
      <c r="K223" t="s">
        <v>67</v>
      </c>
      <c r="L223" t="s">
        <v>456</v>
      </c>
      <c r="M223" t="s">
        <v>457</v>
      </c>
      <c r="N223" t="s">
        <v>196</v>
      </c>
      <c r="O223" t="s">
        <v>69</v>
      </c>
      <c r="P223" t="str">
        <f>"2170734462                    "</f>
        <v xml:space="preserve">2170734462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8.76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2.7</v>
      </c>
      <c r="BJ223">
        <v>0.7</v>
      </c>
      <c r="BK223">
        <v>3</v>
      </c>
      <c r="BL223">
        <v>96.32</v>
      </c>
      <c r="BM223">
        <v>14.45</v>
      </c>
      <c r="BN223">
        <v>110.77</v>
      </c>
      <c r="BO223">
        <v>110.77</v>
      </c>
      <c r="BQ223" t="s">
        <v>70</v>
      </c>
      <c r="BR223" t="s">
        <v>71</v>
      </c>
      <c r="BS223" s="1">
        <v>43930</v>
      </c>
      <c r="BT223" s="2">
        <v>0.52777777777777779</v>
      </c>
      <c r="BU223" t="s">
        <v>468</v>
      </c>
      <c r="BV223" t="s">
        <v>74</v>
      </c>
      <c r="BW223" t="s">
        <v>258</v>
      </c>
      <c r="BX223" t="s">
        <v>259</v>
      </c>
      <c r="BY223">
        <v>3677.57</v>
      </c>
      <c r="CA223" t="s">
        <v>469</v>
      </c>
      <c r="CC223" t="s">
        <v>457</v>
      </c>
      <c r="CD223">
        <v>407</v>
      </c>
      <c r="CE223" t="s">
        <v>91</v>
      </c>
      <c r="CF223" s="1">
        <v>43936</v>
      </c>
      <c r="CI223">
        <v>1</v>
      </c>
      <c r="CJ223">
        <v>2</v>
      </c>
      <c r="CK223">
        <v>24</v>
      </c>
      <c r="CL223" t="s">
        <v>74</v>
      </c>
    </row>
    <row r="224" spans="1:90" x14ac:dyDescent="0.25">
      <c r="A224" t="s">
        <v>61</v>
      </c>
      <c r="B224" t="s">
        <v>62</v>
      </c>
      <c r="C224" t="s">
        <v>63</v>
      </c>
      <c r="E224" t="str">
        <f>"RFES1162743890"</f>
        <v>RFES1162743890</v>
      </c>
      <c r="F224" s="1">
        <v>43928</v>
      </c>
      <c r="G224">
        <v>202010</v>
      </c>
      <c r="H224" t="s">
        <v>111</v>
      </c>
      <c r="I224" t="s">
        <v>112</v>
      </c>
      <c r="J224" t="s">
        <v>470</v>
      </c>
      <c r="K224" t="s">
        <v>67</v>
      </c>
      <c r="L224" t="s">
        <v>64</v>
      </c>
      <c r="M224" t="s">
        <v>65</v>
      </c>
      <c r="N224" t="s">
        <v>66</v>
      </c>
      <c r="O224" t="s">
        <v>69</v>
      </c>
      <c r="P224" t="str">
        <f>"2170735246                    "</f>
        <v xml:space="preserve">2170735246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4.0599999999999996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3</v>
      </c>
      <c r="BJ224">
        <v>1.8</v>
      </c>
      <c r="BK224">
        <v>3</v>
      </c>
      <c r="BL224">
        <v>44.61</v>
      </c>
      <c r="BM224">
        <v>6.69</v>
      </c>
      <c r="BN224">
        <v>51.3</v>
      </c>
      <c r="BO224">
        <v>51.3</v>
      </c>
      <c r="BQ224" t="s">
        <v>71</v>
      </c>
      <c r="BR224" t="s">
        <v>471</v>
      </c>
      <c r="BS224" s="1">
        <v>43929</v>
      </c>
      <c r="BT224" s="2">
        <v>0.38125000000000003</v>
      </c>
      <c r="BU224" t="s">
        <v>243</v>
      </c>
      <c r="BV224" t="s">
        <v>80</v>
      </c>
      <c r="BY224">
        <v>8925.84</v>
      </c>
      <c r="BZ224" t="s">
        <v>23</v>
      </c>
      <c r="CA224" t="s">
        <v>472</v>
      </c>
      <c r="CC224" t="s">
        <v>65</v>
      </c>
      <c r="CD224">
        <v>1601</v>
      </c>
      <c r="CE224" t="s">
        <v>91</v>
      </c>
      <c r="CF224" s="1">
        <v>43930</v>
      </c>
      <c r="CI224">
        <v>1</v>
      </c>
      <c r="CJ224">
        <v>1</v>
      </c>
      <c r="CK224">
        <v>22</v>
      </c>
      <c r="CL224" t="s">
        <v>74</v>
      </c>
    </row>
    <row r="225" spans="1:90" x14ac:dyDescent="0.25">
      <c r="A225" t="s">
        <v>61</v>
      </c>
      <c r="B225" t="s">
        <v>62</v>
      </c>
      <c r="C225" t="s">
        <v>63</v>
      </c>
      <c r="E225" t="str">
        <f>"FES1162744364"</f>
        <v>FES1162744364</v>
      </c>
      <c r="F225" s="1">
        <v>43928</v>
      </c>
      <c r="G225">
        <v>202010</v>
      </c>
      <c r="H225" t="s">
        <v>64</v>
      </c>
      <c r="I225" t="s">
        <v>65</v>
      </c>
      <c r="J225" t="s">
        <v>66</v>
      </c>
      <c r="K225" t="s">
        <v>67</v>
      </c>
      <c r="L225" t="s">
        <v>64</v>
      </c>
      <c r="M225" t="s">
        <v>65</v>
      </c>
      <c r="N225" t="s">
        <v>219</v>
      </c>
      <c r="O225" t="s">
        <v>69</v>
      </c>
      <c r="P225" t="str">
        <f>"2170735623                    "</f>
        <v xml:space="preserve">2170735623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6.41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5.8</v>
      </c>
      <c r="BJ225">
        <v>2.5</v>
      </c>
      <c r="BK225">
        <v>6</v>
      </c>
      <c r="BL225">
        <v>70.48</v>
      </c>
      <c r="BM225">
        <v>10.57</v>
      </c>
      <c r="BN225">
        <v>81.05</v>
      </c>
      <c r="BO225">
        <v>81.05</v>
      </c>
      <c r="BQ225" t="s">
        <v>473</v>
      </c>
      <c r="BR225" t="s">
        <v>71</v>
      </c>
      <c r="BS225" s="1">
        <v>43929</v>
      </c>
      <c r="BT225" s="2">
        <v>0.41666666666666669</v>
      </c>
      <c r="BU225" t="s">
        <v>220</v>
      </c>
      <c r="BV225" t="s">
        <v>80</v>
      </c>
      <c r="BY225">
        <v>12455.39</v>
      </c>
      <c r="CA225" t="s">
        <v>193</v>
      </c>
      <c r="CC225" t="s">
        <v>65</v>
      </c>
      <c r="CD225">
        <v>1601</v>
      </c>
      <c r="CE225" t="s">
        <v>91</v>
      </c>
      <c r="CF225" s="1">
        <v>43930</v>
      </c>
      <c r="CI225">
        <v>1</v>
      </c>
      <c r="CJ225">
        <v>1</v>
      </c>
      <c r="CK225">
        <v>22</v>
      </c>
      <c r="CL225" t="s">
        <v>74</v>
      </c>
    </row>
    <row r="226" spans="1:90" x14ac:dyDescent="0.25">
      <c r="A226" t="s">
        <v>61</v>
      </c>
      <c r="B226" t="s">
        <v>62</v>
      </c>
      <c r="C226" t="s">
        <v>63</v>
      </c>
      <c r="E226" t="str">
        <f>"FES1162744343"</f>
        <v>FES1162744343</v>
      </c>
      <c r="F226" s="1">
        <v>43928</v>
      </c>
      <c r="G226">
        <v>202010</v>
      </c>
      <c r="H226" t="s">
        <v>64</v>
      </c>
      <c r="I226" t="s">
        <v>65</v>
      </c>
      <c r="J226" t="s">
        <v>66</v>
      </c>
      <c r="K226" t="s">
        <v>67</v>
      </c>
      <c r="L226" t="s">
        <v>64</v>
      </c>
      <c r="M226" t="s">
        <v>65</v>
      </c>
      <c r="N226" t="s">
        <v>313</v>
      </c>
      <c r="O226" t="s">
        <v>69</v>
      </c>
      <c r="P226" t="str">
        <f>"2170735292                    "</f>
        <v xml:space="preserve">2170735292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5.62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4.8</v>
      </c>
      <c r="BJ226">
        <v>1.8</v>
      </c>
      <c r="BK226">
        <v>5</v>
      </c>
      <c r="BL226">
        <v>61.85</v>
      </c>
      <c r="BM226">
        <v>9.2799999999999994</v>
      </c>
      <c r="BN226">
        <v>71.13</v>
      </c>
      <c r="BO226">
        <v>71.13</v>
      </c>
      <c r="BQ226" t="s">
        <v>78</v>
      </c>
      <c r="BR226" t="s">
        <v>71</v>
      </c>
      <c r="BS226" s="1">
        <v>43929</v>
      </c>
      <c r="BT226" s="2">
        <v>0.39583333333333331</v>
      </c>
      <c r="BU226" t="s">
        <v>350</v>
      </c>
      <c r="BV226" t="s">
        <v>80</v>
      </c>
      <c r="BY226">
        <v>8774.99</v>
      </c>
      <c r="CA226" t="s">
        <v>193</v>
      </c>
      <c r="CC226" t="s">
        <v>65</v>
      </c>
      <c r="CD226">
        <v>1624</v>
      </c>
      <c r="CE226" t="s">
        <v>91</v>
      </c>
      <c r="CF226" s="1">
        <v>43930</v>
      </c>
      <c r="CI226">
        <v>1</v>
      </c>
      <c r="CJ226">
        <v>1</v>
      </c>
      <c r="CK226">
        <v>22</v>
      </c>
      <c r="CL226" t="s">
        <v>74</v>
      </c>
    </row>
    <row r="227" spans="1:90" x14ac:dyDescent="0.25">
      <c r="A227" t="s">
        <v>61</v>
      </c>
      <c r="B227" t="s">
        <v>62</v>
      </c>
      <c r="C227" t="s">
        <v>63</v>
      </c>
      <c r="E227" t="str">
        <f>"FES1162744304"</f>
        <v>FES1162744304</v>
      </c>
      <c r="F227" s="1">
        <v>43928</v>
      </c>
      <c r="G227">
        <v>202010</v>
      </c>
      <c r="H227" t="s">
        <v>64</v>
      </c>
      <c r="I227" t="s">
        <v>65</v>
      </c>
      <c r="J227" t="s">
        <v>66</v>
      </c>
      <c r="K227" t="s">
        <v>67</v>
      </c>
      <c r="L227" t="s">
        <v>238</v>
      </c>
      <c r="M227" t="s">
        <v>239</v>
      </c>
      <c r="N227" t="s">
        <v>388</v>
      </c>
      <c r="O227" t="s">
        <v>69</v>
      </c>
      <c r="P227" t="str">
        <f>"2170735132                    "</f>
        <v xml:space="preserve">2170735132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5.23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2.2000000000000002</v>
      </c>
      <c r="BJ227">
        <v>1.4</v>
      </c>
      <c r="BK227">
        <v>2.5</v>
      </c>
      <c r="BL227">
        <v>57.56</v>
      </c>
      <c r="BM227">
        <v>8.6300000000000008</v>
      </c>
      <c r="BN227">
        <v>66.19</v>
      </c>
      <c r="BO227">
        <v>66.19</v>
      </c>
      <c r="BQ227" t="s">
        <v>78</v>
      </c>
      <c r="BR227" t="s">
        <v>71</v>
      </c>
      <c r="BS227" s="1">
        <v>43929</v>
      </c>
      <c r="BT227" s="2">
        <v>0.43055555555555558</v>
      </c>
      <c r="BU227" t="s">
        <v>474</v>
      </c>
      <c r="BV227" t="s">
        <v>80</v>
      </c>
      <c r="BY227">
        <v>7184.27</v>
      </c>
      <c r="CC227" t="s">
        <v>239</v>
      </c>
      <c r="CD227">
        <v>5201</v>
      </c>
      <c r="CE227" t="s">
        <v>91</v>
      </c>
      <c r="CF227" s="1">
        <v>43937</v>
      </c>
      <c r="CI227">
        <v>1</v>
      </c>
      <c r="CJ227">
        <v>1</v>
      </c>
      <c r="CK227">
        <v>21</v>
      </c>
      <c r="CL227" t="s">
        <v>74</v>
      </c>
    </row>
    <row r="228" spans="1:90" x14ac:dyDescent="0.25">
      <c r="A228" t="s">
        <v>61</v>
      </c>
      <c r="B228" t="s">
        <v>62</v>
      </c>
      <c r="C228" t="s">
        <v>63</v>
      </c>
      <c r="E228" t="str">
        <f>"FES1162744367"</f>
        <v>FES1162744367</v>
      </c>
      <c r="F228" s="1">
        <v>43928</v>
      </c>
      <c r="G228">
        <v>202010</v>
      </c>
      <c r="H228" t="s">
        <v>64</v>
      </c>
      <c r="I228" t="s">
        <v>65</v>
      </c>
      <c r="J228" t="s">
        <v>66</v>
      </c>
      <c r="K228" t="s">
        <v>67</v>
      </c>
      <c r="L228" t="s">
        <v>92</v>
      </c>
      <c r="M228" t="s">
        <v>93</v>
      </c>
      <c r="N228" t="s">
        <v>475</v>
      </c>
      <c r="O228" t="s">
        <v>69</v>
      </c>
      <c r="P228" t="str">
        <f>"2170735605                    "</f>
        <v xml:space="preserve">2170735605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4.1900000000000004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0.5</v>
      </c>
      <c r="BJ228">
        <v>0.6</v>
      </c>
      <c r="BK228">
        <v>1</v>
      </c>
      <c r="BL228">
        <v>46.06</v>
      </c>
      <c r="BM228">
        <v>6.91</v>
      </c>
      <c r="BN228">
        <v>52.97</v>
      </c>
      <c r="BO228">
        <v>52.97</v>
      </c>
      <c r="BQ228" t="s">
        <v>268</v>
      </c>
      <c r="BR228" t="s">
        <v>71</v>
      </c>
      <c r="BS228" s="1">
        <v>43929</v>
      </c>
      <c r="BT228" s="2">
        <v>0.57986111111111105</v>
      </c>
      <c r="BU228" t="s">
        <v>476</v>
      </c>
      <c r="BV228" t="s">
        <v>74</v>
      </c>
      <c r="BW228" t="s">
        <v>96</v>
      </c>
      <c r="BX228" t="s">
        <v>97</v>
      </c>
      <c r="BY228">
        <v>3219.7</v>
      </c>
      <c r="CA228" t="s">
        <v>98</v>
      </c>
      <c r="CC228" t="s">
        <v>93</v>
      </c>
      <c r="CD228">
        <v>7441</v>
      </c>
      <c r="CE228" t="s">
        <v>91</v>
      </c>
      <c r="CF228" s="1">
        <v>43930</v>
      </c>
      <c r="CI228">
        <v>1</v>
      </c>
      <c r="CJ228">
        <v>1</v>
      </c>
      <c r="CK228">
        <v>21</v>
      </c>
      <c r="CL228" t="s">
        <v>74</v>
      </c>
    </row>
    <row r="229" spans="1:90" x14ac:dyDescent="0.25">
      <c r="A229" t="s">
        <v>61</v>
      </c>
      <c r="B229" t="s">
        <v>62</v>
      </c>
      <c r="C229" t="s">
        <v>63</v>
      </c>
      <c r="E229" t="str">
        <f>"FES1162744342"</f>
        <v>FES1162744342</v>
      </c>
      <c r="F229" s="1">
        <v>43928</v>
      </c>
      <c r="G229">
        <v>202010</v>
      </c>
      <c r="H229" t="s">
        <v>64</v>
      </c>
      <c r="I229" t="s">
        <v>65</v>
      </c>
      <c r="J229" t="s">
        <v>66</v>
      </c>
      <c r="K229" t="s">
        <v>67</v>
      </c>
      <c r="L229" t="s">
        <v>298</v>
      </c>
      <c r="M229" t="s">
        <v>299</v>
      </c>
      <c r="N229" t="s">
        <v>300</v>
      </c>
      <c r="O229" t="s">
        <v>69</v>
      </c>
      <c r="P229" t="str">
        <f>"2170734903                    "</f>
        <v xml:space="preserve">2170734903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8.11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1.9</v>
      </c>
      <c r="BJ229">
        <v>1.6</v>
      </c>
      <c r="BK229">
        <v>2</v>
      </c>
      <c r="BL229">
        <v>89.23</v>
      </c>
      <c r="BM229">
        <v>13.38</v>
      </c>
      <c r="BN229">
        <v>102.61</v>
      </c>
      <c r="BO229">
        <v>102.61</v>
      </c>
      <c r="BQ229" t="s">
        <v>78</v>
      </c>
      <c r="BR229" t="s">
        <v>71</v>
      </c>
      <c r="BS229" s="1">
        <v>43929</v>
      </c>
      <c r="BT229" s="2">
        <v>0.46249999999999997</v>
      </c>
      <c r="BU229" t="s">
        <v>294</v>
      </c>
      <c r="BV229" t="s">
        <v>80</v>
      </c>
      <c r="BY229">
        <v>8122.58</v>
      </c>
      <c r="CC229" t="s">
        <v>299</v>
      </c>
      <c r="CD229">
        <v>4380</v>
      </c>
      <c r="CE229" t="s">
        <v>91</v>
      </c>
      <c r="CF229" s="1">
        <v>43935</v>
      </c>
      <c r="CI229">
        <v>1</v>
      </c>
      <c r="CJ229">
        <v>1</v>
      </c>
      <c r="CK229">
        <v>23</v>
      </c>
      <c r="CL229" t="s">
        <v>74</v>
      </c>
    </row>
    <row r="230" spans="1:90" x14ac:dyDescent="0.25">
      <c r="A230" t="s">
        <v>61</v>
      </c>
      <c r="B230" t="s">
        <v>62</v>
      </c>
      <c r="C230" t="s">
        <v>63</v>
      </c>
      <c r="E230" t="str">
        <f>"FES1162744341"</f>
        <v>FES1162744341</v>
      </c>
      <c r="F230" s="1">
        <v>43928</v>
      </c>
      <c r="G230">
        <v>202010</v>
      </c>
      <c r="H230" t="s">
        <v>64</v>
      </c>
      <c r="I230" t="s">
        <v>65</v>
      </c>
      <c r="J230" t="s">
        <v>66</v>
      </c>
      <c r="K230" t="s">
        <v>67</v>
      </c>
      <c r="L230" t="s">
        <v>298</v>
      </c>
      <c r="M230" t="s">
        <v>299</v>
      </c>
      <c r="N230" t="s">
        <v>300</v>
      </c>
      <c r="O230" t="s">
        <v>69</v>
      </c>
      <c r="P230" t="str">
        <f>"2170734839                    "</f>
        <v xml:space="preserve">2170734839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63.07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13.4</v>
      </c>
      <c r="BJ230">
        <v>16.899999999999999</v>
      </c>
      <c r="BK230">
        <v>17</v>
      </c>
      <c r="BL230">
        <v>693.79</v>
      </c>
      <c r="BM230">
        <v>104.07</v>
      </c>
      <c r="BN230">
        <v>797.86</v>
      </c>
      <c r="BO230">
        <v>797.86</v>
      </c>
      <c r="BQ230" t="s">
        <v>78</v>
      </c>
      <c r="BR230" t="s">
        <v>71</v>
      </c>
      <c r="BS230" s="1">
        <v>43929</v>
      </c>
      <c r="BT230" s="2">
        <v>0.46249999999999997</v>
      </c>
      <c r="BU230" t="s">
        <v>294</v>
      </c>
      <c r="BV230" t="s">
        <v>80</v>
      </c>
      <c r="BY230">
        <v>84545.86</v>
      </c>
      <c r="CC230" t="s">
        <v>299</v>
      </c>
      <c r="CD230">
        <v>4380</v>
      </c>
      <c r="CE230" t="s">
        <v>91</v>
      </c>
      <c r="CF230" s="1">
        <v>43935</v>
      </c>
      <c r="CI230">
        <v>1</v>
      </c>
      <c r="CJ230">
        <v>1</v>
      </c>
      <c r="CK230">
        <v>23</v>
      </c>
      <c r="CL230" t="s">
        <v>74</v>
      </c>
    </row>
    <row r="231" spans="1:90" x14ac:dyDescent="0.25">
      <c r="A231" t="s">
        <v>61</v>
      </c>
      <c r="B231" t="s">
        <v>62</v>
      </c>
      <c r="C231" t="s">
        <v>63</v>
      </c>
      <c r="E231" t="str">
        <f>"FES1162744358"</f>
        <v>FES1162744358</v>
      </c>
      <c r="F231" s="1">
        <v>43928</v>
      </c>
      <c r="G231">
        <v>202010</v>
      </c>
      <c r="H231" t="s">
        <v>64</v>
      </c>
      <c r="I231" t="s">
        <v>65</v>
      </c>
      <c r="J231" t="s">
        <v>66</v>
      </c>
      <c r="K231" t="s">
        <v>67</v>
      </c>
      <c r="L231" t="s">
        <v>477</v>
      </c>
      <c r="M231" t="s">
        <v>478</v>
      </c>
      <c r="N231" t="s">
        <v>479</v>
      </c>
      <c r="O231" t="s">
        <v>69</v>
      </c>
      <c r="P231" t="str">
        <f>"2170733576                    "</f>
        <v xml:space="preserve">2170733576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13.61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2.2000000000000002</v>
      </c>
      <c r="BJ231">
        <v>3.2</v>
      </c>
      <c r="BK231">
        <v>3.5</v>
      </c>
      <c r="BL231">
        <v>149.69</v>
      </c>
      <c r="BM231">
        <v>22.45</v>
      </c>
      <c r="BN231">
        <v>172.14</v>
      </c>
      <c r="BO231">
        <v>172.14</v>
      </c>
      <c r="BQ231" t="s">
        <v>78</v>
      </c>
      <c r="BR231" t="s">
        <v>71</v>
      </c>
      <c r="BS231" s="1">
        <v>43929</v>
      </c>
      <c r="BT231" s="2">
        <v>0.41736111111111113</v>
      </c>
      <c r="BU231" t="s">
        <v>480</v>
      </c>
      <c r="BV231" t="s">
        <v>80</v>
      </c>
      <c r="BY231">
        <v>15798.07</v>
      </c>
      <c r="CC231" t="s">
        <v>478</v>
      </c>
      <c r="CD231">
        <v>4399</v>
      </c>
      <c r="CE231" t="s">
        <v>91</v>
      </c>
      <c r="CF231" s="1">
        <v>43935</v>
      </c>
      <c r="CI231">
        <v>1</v>
      </c>
      <c r="CJ231">
        <v>1</v>
      </c>
      <c r="CK231">
        <v>23</v>
      </c>
      <c r="CL231" t="s">
        <v>74</v>
      </c>
    </row>
    <row r="232" spans="1:90" x14ac:dyDescent="0.25">
      <c r="A232" t="s">
        <v>61</v>
      </c>
      <c r="B232" t="s">
        <v>62</v>
      </c>
      <c r="C232" t="s">
        <v>63</v>
      </c>
      <c r="E232" t="str">
        <f>"FES1162744351"</f>
        <v>FES1162744351</v>
      </c>
      <c r="F232" s="1">
        <v>43928</v>
      </c>
      <c r="G232">
        <v>202010</v>
      </c>
      <c r="H232" t="s">
        <v>64</v>
      </c>
      <c r="I232" t="s">
        <v>65</v>
      </c>
      <c r="J232" t="s">
        <v>66</v>
      </c>
      <c r="K232" t="s">
        <v>67</v>
      </c>
      <c r="L232" t="s">
        <v>120</v>
      </c>
      <c r="M232" t="s">
        <v>121</v>
      </c>
      <c r="N232" t="s">
        <v>247</v>
      </c>
      <c r="O232" t="s">
        <v>69</v>
      </c>
      <c r="P232" t="str">
        <f>"2170735701                    "</f>
        <v xml:space="preserve">2170735701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4.1900000000000004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46.06</v>
      </c>
      <c r="BM232">
        <v>6.91</v>
      </c>
      <c r="BN232">
        <v>52.97</v>
      </c>
      <c r="BO232">
        <v>52.97</v>
      </c>
      <c r="BQ232" t="s">
        <v>248</v>
      </c>
      <c r="BR232" t="s">
        <v>71</v>
      </c>
      <c r="BS232" s="1">
        <v>43929</v>
      </c>
      <c r="BT232" s="2">
        <v>0.4201388888888889</v>
      </c>
      <c r="BU232" t="s">
        <v>429</v>
      </c>
      <c r="BV232" t="s">
        <v>80</v>
      </c>
      <c r="BY232">
        <v>1200</v>
      </c>
      <c r="CA232" t="s">
        <v>430</v>
      </c>
      <c r="CC232" t="s">
        <v>121</v>
      </c>
      <c r="CD232">
        <v>4001</v>
      </c>
      <c r="CE232" t="s">
        <v>73</v>
      </c>
      <c r="CF232" s="1">
        <v>43935</v>
      </c>
      <c r="CI232">
        <v>1</v>
      </c>
      <c r="CJ232">
        <v>1</v>
      </c>
      <c r="CK232">
        <v>21</v>
      </c>
      <c r="CL232" t="s">
        <v>74</v>
      </c>
    </row>
    <row r="233" spans="1:90" x14ac:dyDescent="0.25">
      <c r="A233" t="s">
        <v>61</v>
      </c>
      <c r="B233" t="s">
        <v>62</v>
      </c>
      <c r="C233" t="s">
        <v>63</v>
      </c>
      <c r="E233" t="str">
        <f>"FES1162744357"</f>
        <v>FES1162744357</v>
      </c>
      <c r="F233" s="1">
        <v>43928</v>
      </c>
      <c r="G233">
        <v>202010</v>
      </c>
      <c r="H233" t="s">
        <v>64</v>
      </c>
      <c r="I233" t="s">
        <v>65</v>
      </c>
      <c r="J233" t="s">
        <v>66</v>
      </c>
      <c r="K233" t="s">
        <v>67</v>
      </c>
      <c r="L233" t="s">
        <v>151</v>
      </c>
      <c r="M233" t="s">
        <v>152</v>
      </c>
      <c r="N233" t="s">
        <v>383</v>
      </c>
      <c r="O233" t="s">
        <v>69</v>
      </c>
      <c r="P233" t="str">
        <f>"2170735710                    "</f>
        <v xml:space="preserve">2170735710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4.1900000000000004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46.06</v>
      </c>
      <c r="BM233">
        <v>6.91</v>
      </c>
      <c r="BN233">
        <v>52.97</v>
      </c>
      <c r="BO233">
        <v>52.97</v>
      </c>
      <c r="BQ233" t="s">
        <v>268</v>
      </c>
      <c r="BR233" t="s">
        <v>71</v>
      </c>
      <c r="BS233" s="1">
        <v>43929</v>
      </c>
      <c r="BT233" s="2">
        <v>0.375</v>
      </c>
      <c r="BU233" t="s">
        <v>481</v>
      </c>
      <c r="BV233" t="s">
        <v>80</v>
      </c>
      <c r="BY233">
        <v>1200</v>
      </c>
      <c r="CC233" t="s">
        <v>152</v>
      </c>
      <c r="CD233">
        <v>3201</v>
      </c>
      <c r="CE233" t="s">
        <v>73</v>
      </c>
      <c r="CF233" s="1">
        <v>43936</v>
      </c>
      <c r="CI233">
        <v>1</v>
      </c>
      <c r="CJ233">
        <v>1</v>
      </c>
      <c r="CK233">
        <v>21</v>
      </c>
      <c r="CL233" t="s">
        <v>74</v>
      </c>
    </row>
    <row r="234" spans="1:90" x14ac:dyDescent="0.25">
      <c r="A234" t="s">
        <v>61</v>
      </c>
      <c r="B234" t="s">
        <v>62</v>
      </c>
      <c r="C234" t="s">
        <v>63</v>
      </c>
      <c r="E234" t="str">
        <f>"FES1162744352"</f>
        <v>FES1162744352</v>
      </c>
      <c r="F234" s="1">
        <v>43928</v>
      </c>
      <c r="G234">
        <v>202010</v>
      </c>
      <c r="H234" t="s">
        <v>64</v>
      </c>
      <c r="I234" t="s">
        <v>65</v>
      </c>
      <c r="J234" t="s">
        <v>66</v>
      </c>
      <c r="K234" t="s">
        <v>67</v>
      </c>
      <c r="L234" t="s">
        <v>120</v>
      </c>
      <c r="M234" t="s">
        <v>121</v>
      </c>
      <c r="N234" t="s">
        <v>247</v>
      </c>
      <c r="O234" t="s">
        <v>69</v>
      </c>
      <c r="P234" t="str">
        <f>"2170735703                    "</f>
        <v xml:space="preserve">2170735703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4.1900000000000004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46.06</v>
      </c>
      <c r="BM234">
        <v>6.91</v>
      </c>
      <c r="BN234">
        <v>52.97</v>
      </c>
      <c r="BO234">
        <v>52.97</v>
      </c>
      <c r="BQ234" t="s">
        <v>248</v>
      </c>
      <c r="BR234" t="s">
        <v>71</v>
      </c>
      <c r="BS234" s="1">
        <v>43929</v>
      </c>
      <c r="BT234" s="2">
        <v>0.4201388888888889</v>
      </c>
      <c r="BU234" t="s">
        <v>429</v>
      </c>
      <c r="BV234" t="s">
        <v>80</v>
      </c>
      <c r="BY234">
        <v>1200</v>
      </c>
      <c r="CA234" t="s">
        <v>430</v>
      </c>
      <c r="CC234" t="s">
        <v>121</v>
      </c>
      <c r="CD234">
        <v>4001</v>
      </c>
      <c r="CE234" t="s">
        <v>73</v>
      </c>
      <c r="CF234" s="1">
        <v>43935</v>
      </c>
      <c r="CI234">
        <v>1</v>
      </c>
      <c r="CJ234">
        <v>1</v>
      </c>
      <c r="CK234">
        <v>21</v>
      </c>
      <c r="CL234" t="s">
        <v>74</v>
      </c>
    </row>
    <row r="235" spans="1:90" x14ac:dyDescent="0.25">
      <c r="A235" t="s">
        <v>61</v>
      </c>
      <c r="B235" t="s">
        <v>62</v>
      </c>
      <c r="C235" t="s">
        <v>63</v>
      </c>
      <c r="E235" t="str">
        <f>"FES1162744381"</f>
        <v>FES1162744381</v>
      </c>
      <c r="F235" s="1">
        <v>43928</v>
      </c>
      <c r="G235">
        <v>202010</v>
      </c>
      <c r="H235" t="s">
        <v>64</v>
      </c>
      <c r="I235" t="s">
        <v>65</v>
      </c>
      <c r="J235" t="s">
        <v>66</v>
      </c>
      <c r="K235" t="s">
        <v>67</v>
      </c>
      <c r="L235" t="s">
        <v>92</v>
      </c>
      <c r="M235" t="s">
        <v>93</v>
      </c>
      <c r="N235" t="s">
        <v>94</v>
      </c>
      <c r="O235" t="s">
        <v>69</v>
      </c>
      <c r="P235" t="str">
        <f>"2170735732                    "</f>
        <v xml:space="preserve">2170735732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4.1900000000000004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46.06</v>
      </c>
      <c r="BM235">
        <v>6.91</v>
      </c>
      <c r="BN235">
        <v>52.97</v>
      </c>
      <c r="BO235">
        <v>52.97</v>
      </c>
      <c r="BQ235" t="s">
        <v>70</v>
      </c>
      <c r="BR235" t="s">
        <v>71</v>
      </c>
      <c r="BS235" s="1">
        <v>43929</v>
      </c>
      <c r="BT235" s="2">
        <v>0.48125000000000001</v>
      </c>
      <c r="BU235" t="s">
        <v>95</v>
      </c>
      <c r="BV235" t="s">
        <v>74</v>
      </c>
      <c r="BW235" t="s">
        <v>96</v>
      </c>
      <c r="BX235" t="s">
        <v>97</v>
      </c>
      <c r="BY235">
        <v>1200</v>
      </c>
      <c r="CA235" t="s">
        <v>331</v>
      </c>
      <c r="CC235" t="s">
        <v>93</v>
      </c>
      <c r="CD235">
        <v>7441</v>
      </c>
      <c r="CE235" t="s">
        <v>73</v>
      </c>
      <c r="CF235" s="1">
        <v>43930</v>
      </c>
      <c r="CI235">
        <v>1</v>
      </c>
      <c r="CJ235">
        <v>1</v>
      </c>
      <c r="CK235">
        <v>21</v>
      </c>
      <c r="CL235" t="s">
        <v>74</v>
      </c>
    </row>
    <row r="236" spans="1:90" x14ac:dyDescent="0.25">
      <c r="A236" t="s">
        <v>61</v>
      </c>
      <c r="B236" t="s">
        <v>62</v>
      </c>
      <c r="C236" t="s">
        <v>63</v>
      </c>
      <c r="E236" t="str">
        <f>"FES1162744365"</f>
        <v>FES1162744365</v>
      </c>
      <c r="F236" s="1">
        <v>43928</v>
      </c>
      <c r="G236">
        <v>202010</v>
      </c>
      <c r="H236" t="s">
        <v>64</v>
      </c>
      <c r="I236" t="s">
        <v>65</v>
      </c>
      <c r="J236" t="s">
        <v>66</v>
      </c>
      <c r="K236" t="s">
        <v>67</v>
      </c>
      <c r="L236" t="s">
        <v>92</v>
      </c>
      <c r="M236" t="s">
        <v>93</v>
      </c>
      <c r="N236" t="s">
        <v>475</v>
      </c>
      <c r="O236" t="s">
        <v>69</v>
      </c>
      <c r="P236" t="str">
        <f>"2170735472                    "</f>
        <v xml:space="preserve">2170735472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4.1900000000000004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46.06</v>
      </c>
      <c r="BM236">
        <v>6.91</v>
      </c>
      <c r="BN236">
        <v>52.97</v>
      </c>
      <c r="BO236">
        <v>52.97</v>
      </c>
      <c r="BQ236" t="s">
        <v>268</v>
      </c>
      <c r="BR236" t="s">
        <v>71</v>
      </c>
      <c r="BS236" s="1">
        <v>43929</v>
      </c>
      <c r="BT236" s="2">
        <v>0.57986111111111105</v>
      </c>
      <c r="BU236" t="s">
        <v>476</v>
      </c>
      <c r="BV236" t="s">
        <v>74</v>
      </c>
      <c r="BW236" t="s">
        <v>96</v>
      </c>
      <c r="BX236" t="s">
        <v>97</v>
      </c>
      <c r="BY236">
        <v>1200</v>
      </c>
      <c r="CA236" t="s">
        <v>98</v>
      </c>
      <c r="CC236" t="s">
        <v>93</v>
      </c>
      <c r="CD236">
        <v>7441</v>
      </c>
      <c r="CE236" t="s">
        <v>73</v>
      </c>
      <c r="CF236" s="1">
        <v>43930</v>
      </c>
      <c r="CI236">
        <v>1</v>
      </c>
      <c r="CJ236">
        <v>1</v>
      </c>
      <c r="CK236">
        <v>21</v>
      </c>
      <c r="CL236" t="s">
        <v>74</v>
      </c>
    </row>
    <row r="237" spans="1:90" x14ac:dyDescent="0.25">
      <c r="A237" t="s">
        <v>61</v>
      </c>
      <c r="B237" t="s">
        <v>62</v>
      </c>
      <c r="C237" t="s">
        <v>63</v>
      </c>
      <c r="E237" t="str">
        <f>"FES1162744376"</f>
        <v>FES1162744376</v>
      </c>
      <c r="F237" s="1">
        <v>43928</v>
      </c>
      <c r="G237">
        <v>202010</v>
      </c>
      <c r="H237" t="s">
        <v>64</v>
      </c>
      <c r="I237" t="s">
        <v>65</v>
      </c>
      <c r="J237" t="s">
        <v>66</v>
      </c>
      <c r="K237" t="s">
        <v>67</v>
      </c>
      <c r="L237" t="s">
        <v>151</v>
      </c>
      <c r="M237" t="s">
        <v>152</v>
      </c>
      <c r="N237" t="s">
        <v>383</v>
      </c>
      <c r="O237" t="s">
        <v>69</v>
      </c>
      <c r="P237" t="str">
        <f>"2170735597                    "</f>
        <v xml:space="preserve">2170735597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4.1900000000000004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46.06</v>
      </c>
      <c r="BM237">
        <v>6.91</v>
      </c>
      <c r="BN237">
        <v>52.97</v>
      </c>
      <c r="BO237">
        <v>52.97</v>
      </c>
      <c r="BQ237" t="s">
        <v>268</v>
      </c>
      <c r="BR237" t="s">
        <v>71</v>
      </c>
      <c r="BS237" s="1">
        <v>43929</v>
      </c>
      <c r="BT237" s="2">
        <v>0.375</v>
      </c>
      <c r="BU237" t="s">
        <v>481</v>
      </c>
      <c r="BV237" t="s">
        <v>80</v>
      </c>
      <c r="BY237">
        <v>1200</v>
      </c>
      <c r="CC237" t="s">
        <v>152</v>
      </c>
      <c r="CD237">
        <v>3201</v>
      </c>
      <c r="CE237" t="s">
        <v>73</v>
      </c>
      <c r="CF237" s="1">
        <v>43936</v>
      </c>
      <c r="CI237">
        <v>1</v>
      </c>
      <c r="CJ237">
        <v>1</v>
      </c>
      <c r="CK237">
        <v>21</v>
      </c>
      <c r="CL237" t="s">
        <v>74</v>
      </c>
    </row>
    <row r="238" spans="1:90" x14ac:dyDescent="0.25">
      <c r="A238" t="s">
        <v>61</v>
      </c>
      <c r="B238" t="s">
        <v>62</v>
      </c>
      <c r="C238" t="s">
        <v>63</v>
      </c>
      <c r="E238" t="str">
        <f>"FES1162744373"</f>
        <v>FES1162744373</v>
      </c>
      <c r="F238" s="1">
        <v>43928</v>
      </c>
      <c r="G238">
        <v>202010</v>
      </c>
      <c r="H238" t="s">
        <v>64</v>
      </c>
      <c r="I238" t="s">
        <v>65</v>
      </c>
      <c r="J238" t="s">
        <v>66</v>
      </c>
      <c r="K238" t="s">
        <v>67</v>
      </c>
      <c r="L238" t="s">
        <v>92</v>
      </c>
      <c r="M238" t="s">
        <v>93</v>
      </c>
      <c r="N238" t="s">
        <v>482</v>
      </c>
      <c r="O238" t="s">
        <v>69</v>
      </c>
      <c r="P238" t="str">
        <f>"2170735721                    "</f>
        <v xml:space="preserve">2170735721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4.1900000000000004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46.06</v>
      </c>
      <c r="BM238">
        <v>6.91</v>
      </c>
      <c r="BN238">
        <v>52.97</v>
      </c>
      <c r="BO238">
        <v>52.97</v>
      </c>
      <c r="BQ238" t="s">
        <v>78</v>
      </c>
      <c r="BR238" t="s">
        <v>71</v>
      </c>
      <c r="BS238" s="1">
        <v>43929</v>
      </c>
      <c r="BT238" s="2">
        <v>0.41666666666666669</v>
      </c>
      <c r="BU238" t="s">
        <v>312</v>
      </c>
      <c r="BV238" t="s">
        <v>80</v>
      </c>
      <c r="BY238">
        <v>1200</v>
      </c>
      <c r="CC238" t="s">
        <v>93</v>
      </c>
      <c r="CD238">
        <v>7441</v>
      </c>
      <c r="CE238" t="s">
        <v>73</v>
      </c>
      <c r="CF238" s="1">
        <v>43930</v>
      </c>
      <c r="CI238">
        <v>1</v>
      </c>
      <c r="CJ238">
        <v>1</v>
      </c>
      <c r="CK238">
        <v>21</v>
      </c>
      <c r="CL238" t="s">
        <v>74</v>
      </c>
    </row>
    <row r="239" spans="1:90" x14ac:dyDescent="0.25">
      <c r="A239" t="s">
        <v>61</v>
      </c>
      <c r="B239" t="s">
        <v>62</v>
      </c>
      <c r="C239" t="s">
        <v>63</v>
      </c>
      <c r="E239" t="str">
        <f>"FES1162744338"</f>
        <v>FES1162744338</v>
      </c>
      <c r="F239" s="1">
        <v>43928</v>
      </c>
      <c r="G239">
        <v>202010</v>
      </c>
      <c r="H239" t="s">
        <v>64</v>
      </c>
      <c r="I239" t="s">
        <v>65</v>
      </c>
      <c r="J239" t="s">
        <v>66</v>
      </c>
      <c r="K239" t="s">
        <v>67</v>
      </c>
      <c r="L239" t="s">
        <v>75</v>
      </c>
      <c r="M239" t="s">
        <v>76</v>
      </c>
      <c r="N239" t="s">
        <v>108</v>
      </c>
      <c r="O239" t="s">
        <v>69</v>
      </c>
      <c r="P239" t="str">
        <f>"2170733220                    "</f>
        <v xml:space="preserve">2170733220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3.27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35.979999999999997</v>
      </c>
      <c r="BM239">
        <v>5.4</v>
      </c>
      <c r="BN239">
        <v>41.38</v>
      </c>
      <c r="BO239">
        <v>41.38</v>
      </c>
      <c r="BQ239" t="s">
        <v>109</v>
      </c>
      <c r="BR239" t="s">
        <v>71</v>
      </c>
      <c r="BS239" s="1">
        <v>43929</v>
      </c>
      <c r="BT239" s="2">
        <v>0.4375</v>
      </c>
      <c r="BU239" t="s">
        <v>110</v>
      </c>
      <c r="BV239" t="s">
        <v>80</v>
      </c>
      <c r="BY239">
        <v>1200</v>
      </c>
      <c r="CC239" t="s">
        <v>76</v>
      </c>
      <c r="CD239">
        <v>1459</v>
      </c>
      <c r="CE239" t="s">
        <v>73</v>
      </c>
      <c r="CF239" s="1">
        <v>43930</v>
      </c>
      <c r="CI239">
        <v>1</v>
      </c>
      <c r="CJ239">
        <v>1</v>
      </c>
      <c r="CK239">
        <v>22</v>
      </c>
      <c r="CL239" t="s">
        <v>74</v>
      </c>
    </row>
    <row r="240" spans="1:90" x14ac:dyDescent="0.25">
      <c r="A240" t="s">
        <v>61</v>
      </c>
      <c r="B240" t="s">
        <v>62</v>
      </c>
      <c r="C240" t="s">
        <v>63</v>
      </c>
      <c r="E240" t="str">
        <f>"FES1162744345"</f>
        <v>FES1162744345</v>
      </c>
      <c r="F240" s="1">
        <v>43928</v>
      </c>
      <c r="G240">
        <v>202010</v>
      </c>
      <c r="H240" t="s">
        <v>64</v>
      </c>
      <c r="I240" t="s">
        <v>65</v>
      </c>
      <c r="J240" t="s">
        <v>66</v>
      </c>
      <c r="K240" t="s">
        <v>67</v>
      </c>
      <c r="L240" t="s">
        <v>75</v>
      </c>
      <c r="M240" t="s">
        <v>76</v>
      </c>
      <c r="N240" t="s">
        <v>308</v>
      </c>
      <c r="O240" t="s">
        <v>69</v>
      </c>
      <c r="P240" t="str">
        <f>"2170735585                    "</f>
        <v xml:space="preserve">2170735585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3.27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35.979999999999997</v>
      </c>
      <c r="BM240">
        <v>5.4</v>
      </c>
      <c r="BN240">
        <v>41.38</v>
      </c>
      <c r="BO240">
        <v>41.38</v>
      </c>
      <c r="BQ240" t="s">
        <v>70</v>
      </c>
      <c r="BR240" t="s">
        <v>71</v>
      </c>
      <c r="BS240" s="1">
        <v>43937</v>
      </c>
      <c r="BT240" s="2">
        <v>0.41666666666666669</v>
      </c>
      <c r="BU240" t="s">
        <v>483</v>
      </c>
      <c r="BV240" t="s">
        <v>74</v>
      </c>
      <c r="BW240" t="s">
        <v>85</v>
      </c>
      <c r="BX240" t="s">
        <v>203</v>
      </c>
      <c r="BY240">
        <v>1200</v>
      </c>
      <c r="CC240" t="s">
        <v>76</v>
      </c>
      <c r="CD240">
        <v>1459</v>
      </c>
      <c r="CE240" t="s">
        <v>73</v>
      </c>
      <c r="CI240">
        <v>1</v>
      </c>
      <c r="CJ240">
        <v>7</v>
      </c>
      <c r="CK240">
        <v>22</v>
      </c>
      <c r="CL240" t="s">
        <v>74</v>
      </c>
    </row>
    <row r="241" spans="1:90" x14ac:dyDescent="0.25">
      <c r="A241" t="s">
        <v>61</v>
      </c>
      <c r="B241" t="s">
        <v>62</v>
      </c>
      <c r="C241" t="s">
        <v>63</v>
      </c>
      <c r="E241" t="str">
        <f>"FES1162744354"</f>
        <v>FES1162744354</v>
      </c>
      <c r="F241" s="1">
        <v>43928</v>
      </c>
      <c r="G241">
        <v>202010</v>
      </c>
      <c r="H241" t="s">
        <v>64</v>
      </c>
      <c r="I241" t="s">
        <v>65</v>
      </c>
      <c r="J241" t="s">
        <v>66</v>
      </c>
      <c r="K241" t="s">
        <v>67</v>
      </c>
      <c r="L241" t="s">
        <v>270</v>
      </c>
      <c r="M241" t="s">
        <v>271</v>
      </c>
      <c r="N241" t="s">
        <v>484</v>
      </c>
      <c r="O241" t="s">
        <v>69</v>
      </c>
      <c r="P241" t="str">
        <f>"2170735422                    "</f>
        <v xml:space="preserve">2170735422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3.27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35.979999999999997</v>
      </c>
      <c r="BM241">
        <v>5.4</v>
      </c>
      <c r="BN241">
        <v>41.38</v>
      </c>
      <c r="BO241">
        <v>41.38</v>
      </c>
      <c r="BQ241" t="s">
        <v>70</v>
      </c>
      <c r="BR241" t="s">
        <v>71</v>
      </c>
      <c r="BS241" s="1">
        <v>43929</v>
      </c>
      <c r="BT241" s="2">
        <v>0.43194444444444446</v>
      </c>
      <c r="BU241" t="s">
        <v>485</v>
      </c>
      <c r="BV241" t="s">
        <v>80</v>
      </c>
      <c r="BY241">
        <v>1200</v>
      </c>
      <c r="CA241" t="s">
        <v>486</v>
      </c>
      <c r="CC241" t="s">
        <v>271</v>
      </c>
      <c r="CD241">
        <v>2013</v>
      </c>
      <c r="CE241" t="s">
        <v>73</v>
      </c>
      <c r="CF241" s="1">
        <v>43930</v>
      </c>
      <c r="CI241">
        <v>1</v>
      </c>
      <c r="CJ241">
        <v>1</v>
      </c>
      <c r="CK241">
        <v>22</v>
      </c>
      <c r="CL241" t="s">
        <v>74</v>
      </c>
    </row>
    <row r="242" spans="1:90" x14ac:dyDescent="0.25">
      <c r="A242" t="s">
        <v>61</v>
      </c>
      <c r="B242" t="s">
        <v>62</v>
      </c>
      <c r="C242" t="s">
        <v>63</v>
      </c>
      <c r="E242" t="str">
        <f>"FES1162744344"</f>
        <v>FES1162744344</v>
      </c>
      <c r="F242" s="1">
        <v>43928</v>
      </c>
      <c r="G242">
        <v>202010</v>
      </c>
      <c r="H242" t="s">
        <v>64</v>
      </c>
      <c r="I242" t="s">
        <v>65</v>
      </c>
      <c r="J242" t="s">
        <v>66</v>
      </c>
      <c r="K242" t="s">
        <v>67</v>
      </c>
      <c r="L242" t="s">
        <v>64</v>
      </c>
      <c r="M242" t="s">
        <v>65</v>
      </c>
      <c r="N242" t="s">
        <v>141</v>
      </c>
      <c r="O242" t="s">
        <v>69</v>
      </c>
      <c r="P242" t="str">
        <f>"2170735369                    "</f>
        <v xml:space="preserve">2170735369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3.27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35.979999999999997</v>
      </c>
      <c r="BM242">
        <v>5.4</v>
      </c>
      <c r="BN242">
        <v>41.38</v>
      </c>
      <c r="BO242">
        <v>41.38</v>
      </c>
      <c r="BQ242" t="s">
        <v>78</v>
      </c>
      <c r="BR242" t="s">
        <v>71</v>
      </c>
      <c r="BS242" s="1">
        <v>43929</v>
      </c>
      <c r="BT242" s="2">
        <v>0.4201388888888889</v>
      </c>
      <c r="BU242" t="s">
        <v>487</v>
      </c>
      <c r="BV242" t="s">
        <v>80</v>
      </c>
      <c r="BY242">
        <v>1200</v>
      </c>
      <c r="CA242" t="s">
        <v>193</v>
      </c>
      <c r="CC242" t="s">
        <v>65</v>
      </c>
      <c r="CD242">
        <v>1600</v>
      </c>
      <c r="CE242" t="s">
        <v>73</v>
      </c>
      <c r="CF242" s="1">
        <v>43930</v>
      </c>
      <c r="CI242">
        <v>1</v>
      </c>
      <c r="CJ242">
        <v>1</v>
      </c>
      <c r="CK242">
        <v>22</v>
      </c>
      <c r="CL242" t="s">
        <v>74</v>
      </c>
    </row>
    <row r="243" spans="1:90" x14ac:dyDescent="0.25">
      <c r="A243" t="s">
        <v>61</v>
      </c>
      <c r="B243" t="s">
        <v>62</v>
      </c>
      <c r="C243" t="s">
        <v>63</v>
      </c>
      <c r="E243" t="str">
        <f>"FES1162744359"</f>
        <v>FES1162744359</v>
      </c>
      <c r="F243" s="1">
        <v>43928</v>
      </c>
      <c r="G243">
        <v>202010</v>
      </c>
      <c r="H243" t="s">
        <v>64</v>
      </c>
      <c r="I243" t="s">
        <v>65</v>
      </c>
      <c r="J243" t="s">
        <v>66</v>
      </c>
      <c r="K243" t="s">
        <v>67</v>
      </c>
      <c r="L243" t="s">
        <v>199</v>
      </c>
      <c r="M243" t="s">
        <v>200</v>
      </c>
      <c r="N243" t="s">
        <v>488</v>
      </c>
      <c r="O243" t="s">
        <v>69</v>
      </c>
      <c r="P243" t="str">
        <f>"2170735085                    "</f>
        <v xml:space="preserve">2170735085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3.27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35.979999999999997</v>
      </c>
      <c r="BM243">
        <v>5.4</v>
      </c>
      <c r="BN243">
        <v>41.38</v>
      </c>
      <c r="BO243">
        <v>41.38</v>
      </c>
      <c r="BQ243" t="s">
        <v>78</v>
      </c>
      <c r="BR243" t="s">
        <v>71</v>
      </c>
      <c r="BS243" s="1">
        <v>43929</v>
      </c>
      <c r="BT243" s="2">
        <v>0.38263888888888892</v>
      </c>
      <c r="BU243" t="s">
        <v>489</v>
      </c>
      <c r="BV243" t="s">
        <v>80</v>
      </c>
      <c r="BY243">
        <v>1200</v>
      </c>
      <c r="CA243" t="s">
        <v>437</v>
      </c>
      <c r="CC243" t="s">
        <v>200</v>
      </c>
      <c r="CD243">
        <v>1559</v>
      </c>
      <c r="CE243" t="s">
        <v>73</v>
      </c>
      <c r="CF243" s="1">
        <v>43930</v>
      </c>
      <c r="CI243">
        <v>1</v>
      </c>
      <c r="CJ243">
        <v>1</v>
      </c>
      <c r="CK243">
        <v>22</v>
      </c>
      <c r="CL243" t="s">
        <v>74</v>
      </c>
    </row>
    <row r="244" spans="1:90" x14ac:dyDescent="0.25">
      <c r="A244" t="s">
        <v>61</v>
      </c>
      <c r="B244" t="s">
        <v>62</v>
      </c>
      <c r="C244" t="s">
        <v>63</v>
      </c>
      <c r="E244" t="str">
        <f>"FES1162744384"</f>
        <v>FES1162744384</v>
      </c>
      <c r="F244" s="1">
        <v>43928</v>
      </c>
      <c r="G244">
        <v>202010</v>
      </c>
      <c r="H244" t="s">
        <v>64</v>
      </c>
      <c r="I244" t="s">
        <v>65</v>
      </c>
      <c r="J244" t="s">
        <v>66</v>
      </c>
      <c r="K244" t="s">
        <v>67</v>
      </c>
      <c r="L244" t="s">
        <v>146</v>
      </c>
      <c r="M244" t="s">
        <v>147</v>
      </c>
      <c r="N244" t="s">
        <v>490</v>
      </c>
      <c r="O244" t="s">
        <v>69</v>
      </c>
      <c r="P244" t="str">
        <f>"2170735631                    "</f>
        <v xml:space="preserve">2170735631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4.1900000000000004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46.06</v>
      </c>
      <c r="BM244">
        <v>6.91</v>
      </c>
      <c r="BN244">
        <v>52.97</v>
      </c>
      <c r="BO244">
        <v>52.97</v>
      </c>
      <c r="BQ244" t="s">
        <v>78</v>
      </c>
      <c r="BR244" t="s">
        <v>71</v>
      </c>
      <c r="BS244" s="1">
        <v>43929</v>
      </c>
      <c r="BT244" s="2">
        <v>0.48541666666666666</v>
      </c>
      <c r="BU244" t="s">
        <v>491</v>
      </c>
      <c r="BV244" t="s">
        <v>74</v>
      </c>
      <c r="BW244" t="s">
        <v>124</v>
      </c>
      <c r="BX244" t="s">
        <v>284</v>
      </c>
      <c r="BY244">
        <v>1200</v>
      </c>
      <c r="CA244" t="s">
        <v>492</v>
      </c>
      <c r="CC244" t="s">
        <v>147</v>
      </c>
      <c r="CD244">
        <v>6000</v>
      </c>
      <c r="CE244" t="s">
        <v>73</v>
      </c>
      <c r="CF244" s="1">
        <v>43935</v>
      </c>
      <c r="CI244">
        <v>1</v>
      </c>
      <c r="CJ244">
        <v>1</v>
      </c>
      <c r="CK244">
        <v>21</v>
      </c>
      <c r="CL244" t="s">
        <v>74</v>
      </c>
    </row>
    <row r="245" spans="1:90" x14ac:dyDescent="0.25">
      <c r="A245" t="s">
        <v>61</v>
      </c>
      <c r="B245" t="s">
        <v>62</v>
      </c>
      <c r="C245" t="s">
        <v>63</v>
      </c>
      <c r="E245" t="str">
        <f>"FES1162744388"</f>
        <v>FES1162744388</v>
      </c>
      <c r="F245" s="1">
        <v>43928</v>
      </c>
      <c r="G245">
        <v>202010</v>
      </c>
      <c r="H245" t="s">
        <v>64</v>
      </c>
      <c r="I245" t="s">
        <v>65</v>
      </c>
      <c r="J245" t="s">
        <v>66</v>
      </c>
      <c r="K245" t="s">
        <v>67</v>
      </c>
      <c r="L245" t="s">
        <v>158</v>
      </c>
      <c r="M245" t="s">
        <v>159</v>
      </c>
      <c r="N245" t="s">
        <v>160</v>
      </c>
      <c r="O245" t="s">
        <v>69</v>
      </c>
      <c r="P245" t="str">
        <f>"2170733155                    "</f>
        <v xml:space="preserve">2170733155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4.1900000000000004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46.06</v>
      </c>
      <c r="BM245">
        <v>6.91</v>
      </c>
      <c r="BN245">
        <v>52.97</v>
      </c>
      <c r="BO245">
        <v>52.97</v>
      </c>
      <c r="BQ245" t="s">
        <v>70</v>
      </c>
      <c r="BR245" t="s">
        <v>71</v>
      </c>
      <c r="BS245" s="1">
        <v>43929</v>
      </c>
      <c r="BT245" s="2">
        <v>0.4375</v>
      </c>
      <c r="BU245" t="s">
        <v>344</v>
      </c>
      <c r="BV245" t="s">
        <v>80</v>
      </c>
      <c r="BY245">
        <v>1200</v>
      </c>
      <c r="CC245" t="s">
        <v>159</v>
      </c>
      <c r="CD245">
        <v>3290</v>
      </c>
      <c r="CE245" t="s">
        <v>73</v>
      </c>
      <c r="CF245" s="1">
        <v>43936</v>
      </c>
      <c r="CI245">
        <v>1</v>
      </c>
      <c r="CJ245">
        <v>1</v>
      </c>
      <c r="CK245">
        <v>21</v>
      </c>
      <c r="CL245" t="s">
        <v>74</v>
      </c>
    </row>
    <row r="246" spans="1:90" x14ac:dyDescent="0.25">
      <c r="A246" t="s">
        <v>61</v>
      </c>
      <c r="B246" t="s">
        <v>62</v>
      </c>
      <c r="C246" t="s">
        <v>63</v>
      </c>
      <c r="E246" t="str">
        <f>"FES1162744231"</f>
        <v>FES1162744231</v>
      </c>
      <c r="F246" s="1">
        <v>43928</v>
      </c>
      <c r="G246">
        <v>202010</v>
      </c>
      <c r="H246" t="s">
        <v>64</v>
      </c>
      <c r="I246" t="s">
        <v>65</v>
      </c>
      <c r="J246" t="s">
        <v>66</v>
      </c>
      <c r="K246" t="s">
        <v>67</v>
      </c>
      <c r="L246" t="s">
        <v>75</v>
      </c>
      <c r="M246" t="s">
        <v>76</v>
      </c>
      <c r="N246" t="s">
        <v>493</v>
      </c>
      <c r="O246" t="s">
        <v>69</v>
      </c>
      <c r="P246" t="str">
        <f>"2170734629                    "</f>
        <v xml:space="preserve">2170734629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3.27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35.979999999999997</v>
      </c>
      <c r="BM246">
        <v>5.4</v>
      </c>
      <c r="BN246">
        <v>41.38</v>
      </c>
      <c r="BO246">
        <v>41.38</v>
      </c>
      <c r="BQ246" t="s">
        <v>70</v>
      </c>
      <c r="BR246" t="s">
        <v>71</v>
      </c>
      <c r="BS246" s="1">
        <v>43929</v>
      </c>
      <c r="BT246" s="2">
        <v>0.4375</v>
      </c>
      <c r="BU246" t="s">
        <v>494</v>
      </c>
      <c r="BV246" t="s">
        <v>80</v>
      </c>
      <c r="BY246">
        <v>1200</v>
      </c>
      <c r="CC246" t="s">
        <v>76</v>
      </c>
      <c r="CD246">
        <v>1459</v>
      </c>
      <c r="CE246" t="s">
        <v>73</v>
      </c>
      <c r="CF246" s="1">
        <v>43930</v>
      </c>
      <c r="CI246">
        <v>1</v>
      </c>
      <c r="CJ246">
        <v>1</v>
      </c>
      <c r="CK246">
        <v>22</v>
      </c>
      <c r="CL246" t="s">
        <v>74</v>
      </c>
    </row>
    <row r="247" spans="1:90" x14ac:dyDescent="0.25">
      <c r="A247" t="s">
        <v>61</v>
      </c>
      <c r="B247" t="s">
        <v>62</v>
      </c>
      <c r="C247" t="s">
        <v>63</v>
      </c>
      <c r="E247" t="str">
        <f>"FES1162744394"</f>
        <v>FES1162744394</v>
      </c>
      <c r="F247" s="1">
        <v>43928</v>
      </c>
      <c r="G247">
        <v>202010</v>
      </c>
      <c r="H247" t="s">
        <v>64</v>
      </c>
      <c r="I247" t="s">
        <v>65</v>
      </c>
      <c r="J247" t="s">
        <v>66</v>
      </c>
      <c r="K247" t="s">
        <v>67</v>
      </c>
      <c r="L247" t="s">
        <v>270</v>
      </c>
      <c r="M247" t="s">
        <v>271</v>
      </c>
      <c r="N247" t="s">
        <v>495</v>
      </c>
      <c r="O247" t="s">
        <v>69</v>
      </c>
      <c r="P247" t="str">
        <f>"2170735510                    "</f>
        <v xml:space="preserve">2170735510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3.27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35.979999999999997</v>
      </c>
      <c r="BM247">
        <v>5.4</v>
      </c>
      <c r="BN247">
        <v>41.38</v>
      </c>
      <c r="BO247">
        <v>41.38</v>
      </c>
      <c r="BQ247" t="s">
        <v>70</v>
      </c>
      <c r="BR247" t="s">
        <v>71</v>
      </c>
      <c r="BS247" s="1">
        <v>43929</v>
      </c>
      <c r="BT247" s="2">
        <v>0.4236111111111111</v>
      </c>
      <c r="BU247" t="s">
        <v>496</v>
      </c>
      <c r="BV247" t="s">
        <v>80</v>
      </c>
      <c r="BY247">
        <v>1200</v>
      </c>
      <c r="CA247" t="s">
        <v>486</v>
      </c>
      <c r="CC247" t="s">
        <v>271</v>
      </c>
      <c r="CD247">
        <v>2013</v>
      </c>
      <c r="CE247" t="s">
        <v>73</v>
      </c>
      <c r="CF247" s="1">
        <v>43930</v>
      </c>
      <c r="CI247">
        <v>1</v>
      </c>
      <c r="CJ247">
        <v>1</v>
      </c>
      <c r="CK247">
        <v>22</v>
      </c>
      <c r="CL247" t="s">
        <v>74</v>
      </c>
    </row>
    <row r="248" spans="1:90" x14ac:dyDescent="0.25">
      <c r="A248" t="s">
        <v>61</v>
      </c>
      <c r="B248" t="s">
        <v>62</v>
      </c>
      <c r="C248" t="s">
        <v>63</v>
      </c>
      <c r="E248" t="str">
        <f>"FES1162744360"</f>
        <v>FES1162744360</v>
      </c>
      <c r="F248" s="1">
        <v>43928</v>
      </c>
      <c r="G248">
        <v>202010</v>
      </c>
      <c r="H248" t="s">
        <v>64</v>
      </c>
      <c r="I248" t="s">
        <v>65</v>
      </c>
      <c r="J248" t="s">
        <v>66</v>
      </c>
      <c r="K248" t="s">
        <v>67</v>
      </c>
      <c r="L248" t="s">
        <v>254</v>
      </c>
      <c r="M248" t="s">
        <v>255</v>
      </c>
      <c r="N248" t="s">
        <v>497</v>
      </c>
      <c r="O248" t="s">
        <v>69</v>
      </c>
      <c r="P248" t="str">
        <f>"2170735590                    "</f>
        <v xml:space="preserve">2170735590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4.1900000000000004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46.06</v>
      </c>
      <c r="BM248">
        <v>6.91</v>
      </c>
      <c r="BN248">
        <v>52.97</v>
      </c>
      <c r="BO248">
        <v>52.97</v>
      </c>
      <c r="BQ248" t="s">
        <v>268</v>
      </c>
      <c r="BR248" t="s">
        <v>71</v>
      </c>
      <c r="BS248" s="1">
        <v>43930</v>
      </c>
      <c r="BT248" s="2">
        <v>0.5131944444444444</v>
      </c>
      <c r="BU248" t="s">
        <v>498</v>
      </c>
      <c r="BV248" t="s">
        <v>74</v>
      </c>
      <c r="BW248" t="s">
        <v>258</v>
      </c>
      <c r="BX248" t="s">
        <v>259</v>
      </c>
      <c r="BY248">
        <v>1200</v>
      </c>
      <c r="CC248" t="s">
        <v>255</v>
      </c>
      <c r="CD248">
        <v>200</v>
      </c>
      <c r="CE248" t="s">
        <v>73</v>
      </c>
      <c r="CF248" s="1">
        <v>43936</v>
      </c>
      <c r="CI248">
        <v>1</v>
      </c>
      <c r="CJ248">
        <v>2</v>
      </c>
      <c r="CK248">
        <v>21</v>
      </c>
      <c r="CL248" t="s">
        <v>74</v>
      </c>
    </row>
    <row r="249" spans="1:90" x14ac:dyDescent="0.25">
      <c r="A249" t="s">
        <v>61</v>
      </c>
      <c r="B249" t="s">
        <v>62</v>
      </c>
      <c r="C249" t="s">
        <v>63</v>
      </c>
      <c r="E249" t="str">
        <f>"FES1162744403"</f>
        <v>FES1162744403</v>
      </c>
      <c r="F249" s="1">
        <v>43928</v>
      </c>
      <c r="G249">
        <v>202010</v>
      </c>
      <c r="H249" t="s">
        <v>64</v>
      </c>
      <c r="I249" t="s">
        <v>65</v>
      </c>
      <c r="J249" t="s">
        <v>66</v>
      </c>
      <c r="K249" t="s">
        <v>67</v>
      </c>
      <c r="L249" t="s">
        <v>254</v>
      </c>
      <c r="M249" t="s">
        <v>255</v>
      </c>
      <c r="N249" t="s">
        <v>499</v>
      </c>
      <c r="O249" t="s">
        <v>69</v>
      </c>
      <c r="P249" t="str">
        <f>"2170735533                    "</f>
        <v xml:space="preserve">2170735533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4.1900000000000004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46.06</v>
      </c>
      <c r="BM249">
        <v>6.91</v>
      </c>
      <c r="BN249">
        <v>52.97</v>
      </c>
      <c r="BO249">
        <v>52.97</v>
      </c>
      <c r="BQ249" t="s">
        <v>70</v>
      </c>
      <c r="BR249" t="s">
        <v>71</v>
      </c>
      <c r="BS249" s="1">
        <v>43930</v>
      </c>
      <c r="BT249" s="2">
        <v>0.59027777777777779</v>
      </c>
      <c r="BU249" t="s">
        <v>500</v>
      </c>
      <c r="BV249" t="s">
        <v>74</v>
      </c>
      <c r="BW249" t="s">
        <v>258</v>
      </c>
      <c r="BX249" t="s">
        <v>259</v>
      </c>
      <c r="BY249">
        <v>1200</v>
      </c>
      <c r="CC249" t="s">
        <v>255</v>
      </c>
      <c r="CD249">
        <v>200</v>
      </c>
      <c r="CE249" t="s">
        <v>73</v>
      </c>
      <c r="CF249" s="1">
        <v>43936</v>
      </c>
      <c r="CI249">
        <v>1</v>
      </c>
      <c r="CJ249">
        <v>2</v>
      </c>
      <c r="CK249">
        <v>21</v>
      </c>
      <c r="CL249" t="s">
        <v>74</v>
      </c>
    </row>
    <row r="250" spans="1:90" x14ac:dyDescent="0.25">
      <c r="A250" t="s">
        <v>61</v>
      </c>
      <c r="B250" t="s">
        <v>62</v>
      </c>
      <c r="C250" t="s">
        <v>63</v>
      </c>
      <c r="E250" t="str">
        <f>"FES1162744275"</f>
        <v>FES1162744275</v>
      </c>
      <c r="F250" s="1">
        <v>43928</v>
      </c>
      <c r="G250">
        <v>202010</v>
      </c>
      <c r="H250" t="s">
        <v>64</v>
      </c>
      <c r="I250" t="s">
        <v>65</v>
      </c>
      <c r="J250" t="s">
        <v>66</v>
      </c>
      <c r="K250" t="s">
        <v>67</v>
      </c>
      <c r="L250" t="s">
        <v>199</v>
      </c>
      <c r="M250" t="s">
        <v>200</v>
      </c>
      <c r="N250" t="s">
        <v>501</v>
      </c>
      <c r="O250" t="s">
        <v>69</v>
      </c>
      <c r="P250" t="str">
        <f>"2170735598                    "</f>
        <v xml:space="preserve">2170735598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12.29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13.2</v>
      </c>
      <c r="BJ250">
        <v>8.1999999999999993</v>
      </c>
      <c r="BK250">
        <v>13.5</v>
      </c>
      <c r="BL250">
        <v>135.16</v>
      </c>
      <c r="BM250">
        <v>20.27</v>
      </c>
      <c r="BN250">
        <v>155.43</v>
      </c>
      <c r="BO250">
        <v>155.43</v>
      </c>
      <c r="BQ250" t="s">
        <v>70</v>
      </c>
      <c r="BR250" t="s">
        <v>71</v>
      </c>
      <c r="BS250" s="1">
        <v>43929</v>
      </c>
      <c r="BT250" s="2">
        <v>0.41666666666666669</v>
      </c>
      <c r="BU250" t="s">
        <v>502</v>
      </c>
      <c r="BV250" t="s">
        <v>80</v>
      </c>
      <c r="BY250">
        <v>40901.160000000003</v>
      </c>
      <c r="CA250" t="s">
        <v>437</v>
      </c>
      <c r="CC250" t="s">
        <v>200</v>
      </c>
      <c r="CD250">
        <v>1559</v>
      </c>
      <c r="CE250" t="s">
        <v>91</v>
      </c>
      <c r="CF250" s="1">
        <v>43930</v>
      </c>
      <c r="CI250">
        <v>1</v>
      </c>
      <c r="CJ250">
        <v>1</v>
      </c>
      <c r="CK250">
        <v>22</v>
      </c>
      <c r="CL250" t="s">
        <v>74</v>
      </c>
    </row>
    <row r="251" spans="1:90" x14ac:dyDescent="0.25">
      <c r="A251" t="s">
        <v>61</v>
      </c>
      <c r="B251" t="s">
        <v>62</v>
      </c>
      <c r="C251" t="s">
        <v>63</v>
      </c>
      <c r="E251" t="str">
        <f>"FES1162744079"</f>
        <v>FES1162744079</v>
      </c>
      <c r="F251" s="1">
        <v>43928</v>
      </c>
      <c r="G251">
        <v>202010</v>
      </c>
      <c r="H251" t="s">
        <v>64</v>
      </c>
      <c r="I251" t="s">
        <v>65</v>
      </c>
      <c r="J251" t="s">
        <v>66</v>
      </c>
      <c r="K251" t="s">
        <v>67</v>
      </c>
      <c r="L251" t="s">
        <v>254</v>
      </c>
      <c r="M251" t="s">
        <v>255</v>
      </c>
      <c r="N251" t="s">
        <v>503</v>
      </c>
      <c r="O251" t="s">
        <v>69</v>
      </c>
      <c r="P251" t="str">
        <f>"2170735487                    "</f>
        <v xml:space="preserve">2170735487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5.23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2.1</v>
      </c>
      <c r="BJ251">
        <v>1.5</v>
      </c>
      <c r="BK251">
        <v>2.5</v>
      </c>
      <c r="BL251">
        <v>57.56</v>
      </c>
      <c r="BM251">
        <v>8.6300000000000008</v>
      </c>
      <c r="BN251">
        <v>66.19</v>
      </c>
      <c r="BO251">
        <v>66.19</v>
      </c>
      <c r="BQ251" t="s">
        <v>78</v>
      </c>
      <c r="BR251" t="s">
        <v>71</v>
      </c>
      <c r="BS251" s="1">
        <v>43930</v>
      </c>
      <c r="BT251" s="2">
        <v>0.45833333333333331</v>
      </c>
      <c r="BU251" t="s">
        <v>504</v>
      </c>
      <c r="BV251" t="s">
        <v>74</v>
      </c>
      <c r="BW251" t="s">
        <v>258</v>
      </c>
      <c r="BX251" t="s">
        <v>259</v>
      </c>
      <c r="BY251">
        <v>7514.1</v>
      </c>
      <c r="CC251" t="s">
        <v>255</v>
      </c>
      <c r="CD251">
        <v>183</v>
      </c>
      <c r="CE251" t="s">
        <v>91</v>
      </c>
      <c r="CF251" s="1">
        <v>43936</v>
      </c>
      <c r="CI251">
        <v>1</v>
      </c>
      <c r="CJ251">
        <v>2</v>
      </c>
      <c r="CK251">
        <v>21</v>
      </c>
      <c r="CL251" t="s">
        <v>74</v>
      </c>
    </row>
    <row r="252" spans="1:90" x14ac:dyDescent="0.25">
      <c r="A252" t="s">
        <v>61</v>
      </c>
      <c r="B252" t="s">
        <v>62</v>
      </c>
      <c r="C252" t="s">
        <v>63</v>
      </c>
      <c r="E252" t="str">
        <f>"FES1162744379"</f>
        <v>FES1162744379</v>
      </c>
      <c r="F252" s="1">
        <v>43928</v>
      </c>
      <c r="G252">
        <v>202010</v>
      </c>
      <c r="H252" t="s">
        <v>64</v>
      </c>
      <c r="I252" t="s">
        <v>65</v>
      </c>
      <c r="J252" t="s">
        <v>66</v>
      </c>
      <c r="K252" t="s">
        <v>67</v>
      </c>
      <c r="L252" t="s">
        <v>64</v>
      </c>
      <c r="M252" t="s">
        <v>65</v>
      </c>
      <c r="N252" t="s">
        <v>219</v>
      </c>
      <c r="O252" t="s">
        <v>69</v>
      </c>
      <c r="P252" t="str">
        <f>"2170735726                    "</f>
        <v xml:space="preserve">2170735726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3.27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1.8</v>
      </c>
      <c r="BJ252">
        <v>1</v>
      </c>
      <c r="BK252">
        <v>2</v>
      </c>
      <c r="BL252">
        <v>35.979999999999997</v>
      </c>
      <c r="BM252">
        <v>5.4</v>
      </c>
      <c r="BN252">
        <v>41.38</v>
      </c>
      <c r="BO252">
        <v>41.38</v>
      </c>
      <c r="BQ252" t="s">
        <v>78</v>
      </c>
      <c r="BR252" t="s">
        <v>71</v>
      </c>
      <c r="BS252" s="1">
        <v>43929</v>
      </c>
      <c r="BT252" s="2">
        <v>0.41666666666666669</v>
      </c>
      <c r="BU252" t="s">
        <v>220</v>
      </c>
      <c r="BV252" t="s">
        <v>80</v>
      </c>
      <c r="BY252">
        <v>4843.57</v>
      </c>
      <c r="CA252" t="s">
        <v>193</v>
      </c>
      <c r="CC252" t="s">
        <v>65</v>
      </c>
      <c r="CD252">
        <v>1601</v>
      </c>
      <c r="CE252" t="s">
        <v>91</v>
      </c>
      <c r="CF252" s="1">
        <v>43930</v>
      </c>
      <c r="CI252">
        <v>1</v>
      </c>
      <c r="CJ252">
        <v>1</v>
      </c>
      <c r="CK252">
        <v>22</v>
      </c>
      <c r="CL252" t="s">
        <v>74</v>
      </c>
    </row>
    <row r="253" spans="1:90" x14ac:dyDescent="0.25">
      <c r="A253" t="s">
        <v>61</v>
      </c>
      <c r="B253" t="s">
        <v>62</v>
      </c>
      <c r="C253" t="s">
        <v>63</v>
      </c>
      <c r="E253" t="str">
        <f>"FES1162744250"</f>
        <v>FES1162744250</v>
      </c>
      <c r="F253" s="1">
        <v>43928</v>
      </c>
      <c r="G253">
        <v>202010</v>
      </c>
      <c r="H253" t="s">
        <v>64</v>
      </c>
      <c r="I253" t="s">
        <v>65</v>
      </c>
      <c r="J253" t="s">
        <v>66</v>
      </c>
      <c r="K253" t="s">
        <v>67</v>
      </c>
      <c r="L253" t="s">
        <v>64</v>
      </c>
      <c r="M253" t="s">
        <v>65</v>
      </c>
      <c r="N253" t="s">
        <v>505</v>
      </c>
      <c r="O253" t="s">
        <v>69</v>
      </c>
      <c r="P253" t="str">
        <f>"2170735572                    "</f>
        <v xml:space="preserve">2170735572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3.27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1.9</v>
      </c>
      <c r="BJ253">
        <v>1</v>
      </c>
      <c r="BK253">
        <v>2</v>
      </c>
      <c r="BL253">
        <v>35.979999999999997</v>
      </c>
      <c r="BM253">
        <v>5.4</v>
      </c>
      <c r="BN253">
        <v>41.38</v>
      </c>
      <c r="BO253">
        <v>41.38</v>
      </c>
      <c r="BQ253" t="s">
        <v>78</v>
      </c>
      <c r="BR253" t="s">
        <v>71</v>
      </c>
      <c r="BS253" s="1">
        <v>43929</v>
      </c>
      <c r="BT253" s="2">
        <v>0.40625</v>
      </c>
      <c r="BU253" t="s">
        <v>506</v>
      </c>
      <c r="BV253" t="s">
        <v>80</v>
      </c>
      <c r="BY253">
        <v>4846.84</v>
      </c>
      <c r="CA253" t="s">
        <v>193</v>
      </c>
      <c r="CC253" t="s">
        <v>65</v>
      </c>
      <c r="CD253">
        <v>1601</v>
      </c>
      <c r="CE253" t="s">
        <v>91</v>
      </c>
      <c r="CF253" s="1">
        <v>43930</v>
      </c>
      <c r="CI253">
        <v>1</v>
      </c>
      <c r="CJ253">
        <v>1</v>
      </c>
      <c r="CK253">
        <v>22</v>
      </c>
      <c r="CL253" t="s">
        <v>74</v>
      </c>
    </row>
    <row r="254" spans="1:90" x14ac:dyDescent="0.25">
      <c r="A254" t="s">
        <v>61</v>
      </c>
      <c r="B254" t="s">
        <v>62</v>
      </c>
      <c r="C254" t="s">
        <v>63</v>
      </c>
      <c r="E254" t="str">
        <f>"FES1162744420"</f>
        <v>FES1162744420</v>
      </c>
      <c r="F254" s="1">
        <v>43928</v>
      </c>
      <c r="G254">
        <v>202010</v>
      </c>
      <c r="H254" t="s">
        <v>64</v>
      </c>
      <c r="I254" t="s">
        <v>65</v>
      </c>
      <c r="J254" t="s">
        <v>66</v>
      </c>
      <c r="K254" t="s">
        <v>67</v>
      </c>
      <c r="L254" t="s">
        <v>120</v>
      </c>
      <c r="M254" t="s">
        <v>121</v>
      </c>
      <c r="N254" t="s">
        <v>507</v>
      </c>
      <c r="O254" t="s">
        <v>69</v>
      </c>
      <c r="P254" t="str">
        <f>"2170735756                    "</f>
        <v xml:space="preserve">2170735756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4.1900000000000004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46.06</v>
      </c>
      <c r="BM254">
        <v>6.91</v>
      </c>
      <c r="BN254">
        <v>52.97</v>
      </c>
      <c r="BO254">
        <v>52.97</v>
      </c>
      <c r="BQ254" t="s">
        <v>70</v>
      </c>
      <c r="BR254" t="s">
        <v>71</v>
      </c>
      <c r="BS254" s="1">
        <v>43929</v>
      </c>
      <c r="BT254" s="2">
        <v>0.41666666666666669</v>
      </c>
      <c r="BU254" t="s">
        <v>269</v>
      </c>
      <c r="BV254" t="s">
        <v>80</v>
      </c>
      <c r="BY254">
        <v>1200</v>
      </c>
      <c r="CC254" t="s">
        <v>121</v>
      </c>
      <c r="CD254">
        <v>4000</v>
      </c>
      <c r="CE254" t="s">
        <v>73</v>
      </c>
      <c r="CF254" s="1">
        <v>43935</v>
      </c>
      <c r="CI254">
        <v>1</v>
      </c>
      <c r="CJ254">
        <v>1</v>
      </c>
      <c r="CK254">
        <v>21</v>
      </c>
      <c r="CL254" t="s">
        <v>74</v>
      </c>
    </row>
    <row r="255" spans="1:90" x14ac:dyDescent="0.25">
      <c r="A255" t="s">
        <v>61</v>
      </c>
      <c r="B255" t="s">
        <v>62</v>
      </c>
      <c r="C255" t="s">
        <v>63</v>
      </c>
      <c r="E255" t="str">
        <f>"FES1162744409"</f>
        <v>FES1162744409</v>
      </c>
      <c r="F255" s="1">
        <v>43928</v>
      </c>
      <c r="G255">
        <v>202010</v>
      </c>
      <c r="H255" t="s">
        <v>64</v>
      </c>
      <c r="I255" t="s">
        <v>65</v>
      </c>
      <c r="J255" t="s">
        <v>66</v>
      </c>
      <c r="K255" t="s">
        <v>67</v>
      </c>
      <c r="L255" t="s">
        <v>422</v>
      </c>
      <c r="M255" t="s">
        <v>423</v>
      </c>
      <c r="N255" t="s">
        <v>508</v>
      </c>
      <c r="O255" t="s">
        <v>69</v>
      </c>
      <c r="P255" t="str">
        <f>"2170735744                    "</f>
        <v xml:space="preserve">2170735744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33.130000000000003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8.5</v>
      </c>
      <c r="BJ255">
        <v>11.4</v>
      </c>
      <c r="BK255">
        <v>11.5</v>
      </c>
      <c r="BL255">
        <v>364.47</v>
      </c>
      <c r="BM255">
        <v>54.67</v>
      </c>
      <c r="BN255">
        <v>419.14</v>
      </c>
      <c r="BO255">
        <v>419.14</v>
      </c>
      <c r="BQ255" t="s">
        <v>78</v>
      </c>
      <c r="BR255" t="s">
        <v>71</v>
      </c>
      <c r="BS255" s="1">
        <v>43929</v>
      </c>
      <c r="BT255" s="2">
        <v>0.43402777777777773</v>
      </c>
      <c r="BU255" t="s">
        <v>509</v>
      </c>
      <c r="BV255" t="s">
        <v>80</v>
      </c>
      <c r="BY255">
        <v>56899.8</v>
      </c>
      <c r="CC255" t="s">
        <v>423</v>
      </c>
      <c r="CD255">
        <v>1739</v>
      </c>
      <c r="CE255" t="s">
        <v>91</v>
      </c>
      <c r="CF255" s="1">
        <v>43930</v>
      </c>
      <c r="CI255">
        <v>1</v>
      </c>
      <c r="CJ255">
        <v>1</v>
      </c>
      <c r="CK255">
        <v>24</v>
      </c>
      <c r="CL255" t="s">
        <v>74</v>
      </c>
    </row>
    <row r="256" spans="1:90" x14ac:dyDescent="0.25">
      <c r="A256" t="s">
        <v>61</v>
      </c>
      <c r="B256" t="s">
        <v>62</v>
      </c>
      <c r="C256" t="s">
        <v>63</v>
      </c>
      <c r="E256" t="str">
        <f>"FES1162744414"</f>
        <v>FES1162744414</v>
      </c>
      <c r="F256" s="1">
        <v>43928</v>
      </c>
      <c r="G256">
        <v>202010</v>
      </c>
      <c r="H256" t="s">
        <v>64</v>
      </c>
      <c r="I256" t="s">
        <v>65</v>
      </c>
      <c r="J256" t="s">
        <v>66</v>
      </c>
      <c r="K256" t="s">
        <v>67</v>
      </c>
      <c r="L256" t="s">
        <v>81</v>
      </c>
      <c r="M256" t="s">
        <v>82</v>
      </c>
      <c r="N256" t="s">
        <v>83</v>
      </c>
      <c r="O256" t="s">
        <v>69</v>
      </c>
      <c r="P256" t="str">
        <f>"21707335751                   "</f>
        <v xml:space="preserve">21707335751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4.1900000000000004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46.06</v>
      </c>
      <c r="BM256">
        <v>6.91</v>
      </c>
      <c r="BN256">
        <v>52.97</v>
      </c>
      <c r="BO256">
        <v>52.97</v>
      </c>
      <c r="BQ256" t="s">
        <v>78</v>
      </c>
      <c r="BR256" t="s">
        <v>71</v>
      </c>
      <c r="BS256" s="1">
        <v>43928</v>
      </c>
      <c r="BT256" s="2">
        <v>0.40277777777777773</v>
      </c>
      <c r="BU256" t="s">
        <v>373</v>
      </c>
      <c r="BV256" t="s">
        <v>80</v>
      </c>
      <c r="BY256">
        <v>1200</v>
      </c>
      <c r="CC256" t="s">
        <v>82</v>
      </c>
      <c r="CD256">
        <v>9300</v>
      </c>
      <c r="CE256" t="s">
        <v>73</v>
      </c>
      <c r="CF256" s="1">
        <v>43936</v>
      </c>
      <c r="CI256">
        <v>1</v>
      </c>
      <c r="CJ256">
        <v>0</v>
      </c>
      <c r="CK256">
        <v>21</v>
      </c>
      <c r="CL256" t="s">
        <v>74</v>
      </c>
    </row>
    <row r="257" spans="1:90" x14ac:dyDescent="0.25">
      <c r="A257" t="s">
        <v>61</v>
      </c>
      <c r="B257" t="s">
        <v>62</v>
      </c>
      <c r="C257" t="s">
        <v>63</v>
      </c>
      <c r="E257" t="str">
        <f>"FES1162744416"</f>
        <v>FES1162744416</v>
      </c>
      <c r="F257" s="1">
        <v>43928</v>
      </c>
      <c r="G257">
        <v>202010</v>
      </c>
      <c r="H257" t="s">
        <v>64</v>
      </c>
      <c r="I257" t="s">
        <v>65</v>
      </c>
      <c r="J257" t="s">
        <v>66</v>
      </c>
      <c r="K257" t="s">
        <v>67</v>
      </c>
      <c r="L257" t="s">
        <v>168</v>
      </c>
      <c r="M257" t="s">
        <v>169</v>
      </c>
      <c r="N257" t="s">
        <v>372</v>
      </c>
      <c r="O257" t="s">
        <v>69</v>
      </c>
      <c r="P257" t="str">
        <f>"2170735748                    "</f>
        <v xml:space="preserve">2170735748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4.1900000000000004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46.06</v>
      </c>
      <c r="BM257">
        <v>6.91</v>
      </c>
      <c r="BN257">
        <v>52.97</v>
      </c>
      <c r="BO257">
        <v>52.97</v>
      </c>
      <c r="BQ257" t="s">
        <v>78</v>
      </c>
      <c r="BR257" t="s">
        <v>71</v>
      </c>
      <c r="BS257" s="1">
        <v>43929</v>
      </c>
      <c r="BT257" s="2">
        <v>0.47916666666666669</v>
      </c>
      <c r="BU257" t="s">
        <v>448</v>
      </c>
      <c r="BV257" t="s">
        <v>74</v>
      </c>
      <c r="BW257" t="s">
        <v>85</v>
      </c>
      <c r="BX257" t="s">
        <v>128</v>
      </c>
      <c r="BY257">
        <v>1200</v>
      </c>
      <c r="CC257" t="s">
        <v>169</v>
      </c>
      <c r="CD257">
        <v>4026</v>
      </c>
      <c r="CE257" t="s">
        <v>73</v>
      </c>
      <c r="CF257" s="1">
        <v>43935</v>
      </c>
      <c r="CI257">
        <v>1</v>
      </c>
      <c r="CJ257">
        <v>1</v>
      </c>
      <c r="CK257">
        <v>21</v>
      </c>
      <c r="CL257" t="s">
        <v>74</v>
      </c>
    </row>
    <row r="258" spans="1:90" x14ac:dyDescent="0.25">
      <c r="A258" t="s">
        <v>61</v>
      </c>
      <c r="B258" t="s">
        <v>62</v>
      </c>
      <c r="C258" t="s">
        <v>63</v>
      </c>
      <c r="E258" t="str">
        <f>"FES1162744406"</f>
        <v>FES1162744406</v>
      </c>
      <c r="F258" s="1">
        <v>43928</v>
      </c>
      <c r="G258">
        <v>202010</v>
      </c>
      <c r="H258" t="s">
        <v>64</v>
      </c>
      <c r="I258" t="s">
        <v>65</v>
      </c>
      <c r="J258" t="s">
        <v>66</v>
      </c>
      <c r="K258" t="s">
        <v>67</v>
      </c>
      <c r="L258" t="s">
        <v>158</v>
      </c>
      <c r="M258" t="s">
        <v>159</v>
      </c>
      <c r="N258" t="s">
        <v>160</v>
      </c>
      <c r="O258" t="s">
        <v>69</v>
      </c>
      <c r="P258" t="str">
        <f>"2170735616                    "</f>
        <v xml:space="preserve">2170735616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4.1900000000000004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46.06</v>
      </c>
      <c r="BM258">
        <v>6.91</v>
      </c>
      <c r="BN258">
        <v>52.97</v>
      </c>
      <c r="BO258">
        <v>52.97</v>
      </c>
      <c r="BQ258" t="s">
        <v>70</v>
      </c>
      <c r="BR258" t="s">
        <v>71</v>
      </c>
      <c r="BS258" s="1">
        <v>43929</v>
      </c>
      <c r="BT258" s="2">
        <v>0.4375</v>
      </c>
      <c r="BU258" t="s">
        <v>344</v>
      </c>
      <c r="BV258" t="s">
        <v>80</v>
      </c>
      <c r="BY258">
        <v>1200</v>
      </c>
      <c r="CC258" t="s">
        <v>159</v>
      </c>
      <c r="CD258">
        <v>3290</v>
      </c>
      <c r="CE258" t="s">
        <v>73</v>
      </c>
      <c r="CF258" s="1">
        <v>43936</v>
      </c>
      <c r="CI258">
        <v>1</v>
      </c>
      <c r="CJ258">
        <v>1</v>
      </c>
      <c r="CK258">
        <v>21</v>
      </c>
      <c r="CL258" t="s">
        <v>74</v>
      </c>
    </row>
    <row r="259" spans="1:90" x14ac:dyDescent="0.25">
      <c r="A259" t="s">
        <v>61</v>
      </c>
      <c r="B259" t="s">
        <v>62</v>
      </c>
      <c r="C259" t="s">
        <v>63</v>
      </c>
      <c r="E259" t="str">
        <f>"FES1162744402"</f>
        <v>FES1162744402</v>
      </c>
      <c r="F259" s="1">
        <v>43928</v>
      </c>
      <c r="G259">
        <v>202010</v>
      </c>
      <c r="H259" t="s">
        <v>64</v>
      </c>
      <c r="I259" t="s">
        <v>65</v>
      </c>
      <c r="J259" t="s">
        <v>66</v>
      </c>
      <c r="K259" t="s">
        <v>67</v>
      </c>
      <c r="L259" t="s">
        <v>92</v>
      </c>
      <c r="M259" t="s">
        <v>93</v>
      </c>
      <c r="N259" t="s">
        <v>329</v>
      </c>
      <c r="O259" t="s">
        <v>69</v>
      </c>
      <c r="P259" t="str">
        <f>"2170735530                    "</f>
        <v xml:space="preserve">2170735530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4.1900000000000004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46.06</v>
      </c>
      <c r="BM259">
        <v>6.91</v>
      </c>
      <c r="BN259">
        <v>52.97</v>
      </c>
      <c r="BO259">
        <v>52.97</v>
      </c>
      <c r="BQ259" t="s">
        <v>70</v>
      </c>
      <c r="BR259" t="s">
        <v>71</v>
      </c>
      <c r="BS259" s="1">
        <v>43929</v>
      </c>
      <c r="BT259" s="2">
        <v>0.43402777777777773</v>
      </c>
      <c r="BU259" t="s">
        <v>330</v>
      </c>
      <c r="BV259" t="s">
        <v>80</v>
      </c>
      <c r="BY259">
        <v>1200</v>
      </c>
      <c r="CA259" t="s">
        <v>331</v>
      </c>
      <c r="CC259" t="s">
        <v>93</v>
      </c>
      <c r="CD259">
        <v>7441</v>
      </c>
      <c r="CE259" t="s">
        <v>73</v>
      </c>
      <c r="CF259" s="1">
        <v>43930</v>
      </c>
      <c r="CI259">
        <v>1</v>
      </c>
      <c r="CJ259">
        <v>1</v>
      </c>
      <c r="CK259">
        <v>21</v>
      </c>
      <c r="CL259" t="s">
        <v>74</v>
      </c>
    </row>
    <row r="260" spans="1:90" x14ac:dyDescent="0.25">
      <c r="A260" t="s">
        <v>61</v>
      </c>
      <c r="B260" t="s">
        <v>62</v>
      </c>
      <c r="C260" t="s">
        <v>63</v>
      </c>
      <c r="E260" t="str">
        <f>"FES1162744387"</f>
        <v>FES1162744387</v>
      </c>
      <c r="F260" s="1">
        <v>43928</v>
      </c>
      <c r="G260">
        <v>202010</v>
      </c>
      <c r="H260" t="s">
        <v>64</v>
      </c>
      <c r="I260" t="s">
        <v>65</v>
      </c>
      <c r="J260" t="s">
        <v>66</v>
      </c>
      <c r="K260" t="s">
        <v>67</v>
      </c>
      <c r="L260" t="s">
        <v>92</v>
      </c>
      <c r="M260" t="s">
        <v>93</v>
      </c>
      <c r="N260" t="s">
        <v>329</v>
      </c>
      <c r="O260" t="s">
        <v>69</v>
      </c>
      <c r="P260" t="str">
        <f>"2170733096                    "</f>
        <v xml:space="preserve">2170733096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4.1900000000000004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46.06</v>
      </c>
      <c r="BM260">
        <v>6.91</v>
      </c>
      <c r="BN260">
        <v>52.97</v>
      </c>
      <c r="BO260">
        <v>52.97</v>
      </c>
      <c r="BQ260" t="s">
        <v>70</v>
      </c>
      <c r="BR260" t="s">
        <v>71</v>
      </c>
      <c r="BS260" s="1">
        <v>43929</v>
      </c>
      <c r="BT260" s="2">
        <v>0.43402777777777773</v>
      </c>
      <c r="BU260" t="s">
        <v>330</v>
      </c>
      <c r="BV260" t="s">
        <v>80</v>
      </c>
      <c r="BY260">
        <v>1200</v>
      </c>
      <c r="CA260" t="s">
        <v>331</v>
      </c>
      <c r="CC260" t="s">
        <v>93</v>
      </c>
      <c r="CD260">
        <v>7441</v>
      </c>
      <c r="CE260" t="s">
        <v>73</v>
      </c>
      <c r="CF260" s="1">
        <v>43930</v>
      </c>
      <c r="CI260">
        <v>1</v>
      </c>
      <c r="CJ260">
        <v>1</v>
      </c>
      <c r="CK260">
        <v>21</v>
      </c>
      <c r="CL260" t="s">
        <v>74</v>
      </c>
    </row>
    <row r="261" spans="1:90" x14ac:dyDescent="0.25">
      <c r="A261" t="s">
        <v>61</v>
      </c>
      <c r="B261" t="s">
        <v>62</v>
      </c>
      <c r="C261" t="s">
        <v>63</v>
      </c>
      <c r="E261" t="str">
        <f>"FES1162744405"</f>
        <v>FES1162744405</v>
      </c>
      <c r="F261" s="1">
        <v>43928</v>
      </c>
      <c r="G261">
        <v>202010</v>
      </c>
      <c r="H261" t="s">
        <v>64</v>
      </c>
      <c r="I261" t="s">
        <v>65</v>
      </c>
      <c r="J261" t="s">
        <v>66</v>
      </c>
      <c r="K261" t="s">
        <v>67</v>
      </c>
      <c r="L261" t="s">
        <v>158</v>
      </c>
      <c r="M261" t="s">
        <v>159</v>
      </c>
      <c r="N261" t="s">
        <v>160</v>
      </c>
      <c r="O261" t="s">
        <v>69</v>
      </c>
      <c r="P261" t="str">
        <f>"2170735593                    "</f>
        <v xml:space="preserve">2170735593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4.1900000000000004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46.06</v>
      </c>
      <c r="BM261">
        <v>6.91</v>
      </c>
      <c r="BN261">
        <v>52.97</v>
      </c>
      <c r="BO261">
        <v>52.97</v>
      </c>
      <c r="BQ261" t="s">
        <v>70</v>
      </c>
      <c r="BR261" t="s">
        <v>71</v>
      </c>
      <c r="BS261" s="1">
        <v>43929</v>
      </c>
      <c r="BT261" s="2">
        <v>0.4375</v>
      </c>
      <c r="BU261" t="s">
        <v>344</v>
      </c>
      <c r="BV261" t="s">
        <v>80</v>
      </c>
      <c r="BY261">
        <v>1200</v>
      </c>
      <c r="CC261" t="s">
        <v>159</v>
      </c>
      <c r="CD261">
        <v>3290</v>
      </c>
      <c r="CE261" t="s">
        <v>73</v>
      </c>
      <c r="CF261" s="1">
        <v>43936</v>
      </c>
      <c r="CI261">
        <v>1</v>
      </c>
      <c r="CJ261">
        <v>1</v>
      </c>
      <c r="CK261">
        <v>21</v>
      </c>
      <c r="CL261" t="s">
        <v>74</v>
      </c>
    </row>
    <row r="262" spans="1:90" x14ac:dyDescent="0.25">
      <c r="A262" t="s">
        <v>61</v>
      </c>
      <c r="B262" t="s">
        <v>62</v>
      </c>
      <c r="C262" t="s">
        <v>63</v>
      </c>
      <c r="E262" t="str">
        <f>"009935712248"</f>
        <v>009935712248</v>
      </c>
      <c r="F262" s="1">
        <v>43924</v>
      </c>
      <c r="G262">
        <v>202010</v>
      </c>
      <c r="H262" t="s">
        <v>64</v>
      </c>
      <c r="I262" t="s">
        <v>65</v>
      </c>
      <c r="J262" t="s">
        <v>66</v>
      </c>
      <c r="K262" t="s">
        <v>67</v>
      </c>
      <c r="L262" t="s">
        <v>81</v>
      </c>
      <c r="M262" t="s">
        <v>82</v>
      </c>
      <c r="N262" t="s">
        <v>83</v>
      </c>
      <c r="O262" t="s">
        <v>230</v>
      </c>
      <c r="P262" t="str">
        <f>"ELIAS                         "</f>
        <v xml:space="preserve">ELIAS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9.36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1</v>
      </c>
      <c r="BI262">
        <v>28.5</v>
      </c>
      <c r="BJ262">
        <v>16.3</v>
      </c>
      <c r="BK262">
        <v>29</v>
      </c>
      <c r="BL262">
        <v>107.96</v>
      </c>
      <c r="BM262">
        <v>16.190000000000001</v>
      </c>
      <c r="BN262">
        <v>124.15</v>
      </c>
      <c r="BO262">
        <v>124.15</v>
      </c>
      <c r="BP262" t="s">
        <v>510</v>
      </c>
      <c r="BQ262" t="s">
        <v>78</v>
      </c>
      <c r="BR262" t="s">
        <v>71</v>
      </c>
      <c r="BS262" s="1">
        <v>43927</v>
      </c>
      <c r="BT262" s="2">
        <v>0.39097222222222222</v>
      </c>
      <c r="BU262" t="s">
        <v>367</v>
      </c>
      <c r="BV262" t="s">
        <v>80</v>
      </c>
      <c r="BY262">
        <v>81734.3</v>
      </c>
      <c r="CC262" t="s">
        <v>82</v>
      </c>
      <c r="CD262">
        <v>9300</v>
      </c>
      <c r="CE262" t="s">
        <v>91</v>
      </c>
      <c r="CF262" s="1">
        <v>43928</v>
      </c>
      <c r="CI262">
        <v>1</v>
      </c>
      <c r="CJ262">
        <v>1</v>
      </c>
      <c r="CK262" t="s">
        <v>511</v>
      </c>
      <c r="CL262" t="s">
        <v>74</v>
      </c>
    </row>
    <row r="263" spans="1:90" x14ac:dyDescent="0.25">
      <c r="A263" t="s">
        <v>61</v>
      </c>
      <c r="B263" t="s">
        <v>62</v>
      </c>
      <c r="C263" t="s">
        <v>63</v>
      </c>
      <c r="E263" t="str">
        <f>"FES1162744440"</f>
        <v>FES1162744440</v>
      </c>
      <c r="F263" s="1">
        <v>43929</v>
      </c>
      <c r="G263">
        <v>202010</v>
      </c>
      <c r="H263" t="s">
        <v>64</v>
      </c>
      <c r="I263" t="s">
        <v>65</v>
      </c>
      <c r="J263" t="s">
        <v>66</v>
      </c>
      <c r="K263" t="s">
        <v>67</v>
      </c>
      <c r="L263" t="s">
        <v>64</v>
      </c>
      <c r="M263" t="s">
        <v>65</v>
      </c>
      <c r="N263" t="s">
        <v>219</v>
      </c>
      <c r="O263" t="s">
        <v>69</v>
      </c>
      <c r="P263" t="str">
        <f>"2170735515                    "</f>
        <v xml:space="preserve">2170735515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3.27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35.979999999999997</v>
      </c>
      <c r="BM263">
        <v>5.4</v>
      </c>
      <c r="BN263">
        <v>41.38</v>
      </c>
      <c r="BO263">
        <v>41.38</v>
      </c>
      <c r="BQ263" t="s">
        <v>78</v>
      </c>
      <c r="BR263" t="s">
        <v>71</v>
      </c>
      <c r="BS263" s="1">
        <v>43930</v>
      </c>
      <c r="BT263" s="2">
        <v>0.42708333333333331</v>
      </c>
      <c r="BU263" t="s">
        <v>218</v>
      </c>
      <c r="BV263" t="s">
        <v>80</v>
      </c>
      <c r="BY263">
        <v>1200</v>
      </c>
      <c r="CA263" t="s">
        <v>193</v>
      </c>
      <c r="CC263" t="s">
        <v>65</v>
      </c>
      <c r="CD263">
        <v>1601</v>
      </c>
      <c r="CE263" t="s">
        <v>73</v>
      </c>
      <c r="CF263" s="1">
        <v>43936</v>
      </c>
      <c r="CI263">
        <v>1</v>
      </c>
      <c r="CJ263">
        <v>1</v>
      </c>
      <c r="CK263">
        <v>22</v>
      </c>
      <c r="CL263" t="s">
        <v>74</v>
      </c>
    </row>
    <row r="264" spans="1:90" x14ac:dyDescent="0.25">
      <c r="A264" t="s">
        <v>61</v>
      </c>
      <c r="B264" t="s">
        <v>62</v>
      </c>
      <c r="C264" t="s">
        <v>63</v>
      </c>
      <c r="E264" t="str">
        <f>"FES1162744444"</f>
        <v>FES1162744444</v>
      </c>
      <c r="F264" s="1">
        <v>43929</v>
      </c>
      <c r="G264">
        <v>202010</v>
      </c>
      <c r="H264" t="s">
        <v>64</v>
      </c>
      <c r="I264" t="s">
        <v>65</v>
      </c>
      <c r="J264" t="s">
        <v>66</v>
      </c>
      <c r="K264" t="s">
        <v>67</v>
      </c>
      <c r="L264" t="s">
        <v>75</v>
      </c>
      <c r="M264" t="s">
        <v>76</v>
      </c>
      <c r="N264" t="s">
        <v>435</v>
      </c>
      <c r="O264" t="s">
        <v>69</v>
      </c>
      <c r="P264" t="str">
        <f>"2170735792                    "</f>
        <v xml:space="preserve">2170735792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3.66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2.2000000000000002</v>
      </c>
      <c r="BJ264">
        <v>1.3</v>
      </c>
      <c r="BK264">
        <v>2.5</v>
      </c>
      <c r="BL264">
        <v>40.29</v>
      </c>
      <c r="BM264">
        <v>6.04</v>
      </c>
      <c r="BN264">
        <v>46.33</v>
      </c>
      <c r="BO264">
        <v>46.33</v>
      </c>
      <c r="BQ264" t="s">
        <v>70</v>
      </c>
      <c r="BR264" t="s">
        <v>71</v>
      </c>
      <c r="BS264" s="1">
        <v>43930</v>
      </c>
      <c r="BT264" s="2">
        <v>0.3611111111111111</v>
      </c>
      <c r="BU264" t="s">
        <v>436</v>
      </c>
      <c r="BV264" t="s">
        <v>80</v>
      </c>
      <c r="BY264">
        <v>6613.65</v>
      </c>
      <c r="CA264" t="s">
        <v>437</v>
      </c>
      <c r="CC264" t="s">
        <v>76</v>
      </c>
      <c r="CD264">
        <v>1459</v>
      </c>
      <c r="CE264" t="s">
        <v>91</v>
      </c>
      <c r="CF264" s="1">
        <v>43936</v>
      </c>
      <c r="CI264">
        <v>1</v>
      </c>
      <c r="CJ264">
        <v>1</v>
      </c>
      <c r="CK264">
        <v>22</v>
      </c>
      <c r="CL264" t="s">
        <v>74</v>
      </c>
    </row>
    <row r="265" spans="1:90" x14ac:dyDescent="0.25">
      <c r="A265" t="s">
        <v>61</v>
      </c>
      <c r="B265" t="s">
        <v>62</v>
      </c>
      <c r="C265" t="s">
        <v>63</v>
      </c>
      <c r="E265" t="str">
        <f>"FES1162744443"</f>
        <v>FES1162744443</v>
      </c>
      <c r="F265" s="1">
        <v>43929</v>
      </c>
      <c r="G265">
        <v>202010</v>
      </c>
      <c r="H265" t="s">
        <v>64</v>
      </c>
      <c r="I265" t="s">
        <v>65</v>
      </c>
      <c r="J265" t="s">
        <v>66</v>
      </c>
      <c r="K265" t="s">
        <v>67</v>
      </c>
      <c r="L265" t="s">
        <v>81</v>
      </c>
      <c r="M265" t="s">
        <v>82</v>
      </c>
      <c r="N265" t="s">
        <v>83</v>
      </c>
      <c r="O265" t="s">
        <v>69</v>
      </c>
      <c r="P265" t="str">
        <f>"2170735783                    "</f>
        <v xml:space="preserve">2170735783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4.1900000000000004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46.06</v>
      </c>
      <c r="BM265">
        <v>6.91</v>
      </c>
      <c r="BN265">
        <v>52.97</v>
      </c>
      <c r="BO265">
        <v>52.97</v>
      </c>
      <c r="BQ265" t="s">
        <v>78</v>
      </c>
      <c r="BR265" t="s">
        <v>71</v>
      </c>
      <c r="BS265" s="1">
        <v>43930</v>
      </c>
      <c r="BT265" s="2">
        <v>0.40277777777777773</v>
      </c>
      <c r="BU265" t="s">
        <v>373</v>
      </c>
      <c r="BV265" t="s">
        <v>80</v>
      </c>
      <c r="BY265">
        <v>1200</v>
      </c>
      <c r="CC265" t="s">
        <v>82</v>
      </c>
      <c r="CD265">
        <v>9300</v>
      </c>
      <c r="CE265" t="s">
        <v>73</v>
      </c>
      <c r="CF265" s="1">
        <v>43936</v>
      </c>
      <c r="CI265">
        <v>1</v>
      </c>
      <c r="CJ265">
        <v>1</v>
      </c>
      <c r="CK265">
        <v>21</v>
      </c>
      <c r="CL265" t="s">
        <v>74</v>
      </c>
    </row>
    <row r="266" spans="1:90" x14ac:dyDescent="0.25">
      <c r="A266" t="s">
        <v>61</v>
      </c>
      <c r="B266" t="s">
        <v>62</v>
      </c>
      <c r="C266" t="s">
        <v>63</v>
      </c>
      <c r="E266" t="str">
        <f>"FES1162744216"</f>
        <v>FES1162744216</v>
      </c>
      <c r="F266" s="1">
        <v>43929</v>
      </c>
      <c r="G266">
        <v>202010</v>
      </c>
      <c r="H266" t="s">
        <v>64</v>
      </c>
      <c r="I266" t="s">
        <v>65</v>
      </c>
      <c r="J266" t="s">
        <v>66</v>
      </c>
      <c r="K266" t="s">
        <v>67</v>
      </c>
      <c r="L266" t="s">
        <v>99</v>
      </c>
      <c r="M266" t="s">
        <v>100</v>
      </c>
      <c r="N266" t="s">
        <v>512</v>
      </c>
      <c r="O266" t="s">
        <v>69</v>
      </c>
      <c r="P266" t="str">
        <f>"2170733913                    "</f>
        <v xml:space="preserve">2170733913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8.11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G266">
        <v>0</v>
      </c>
      <c r="BH266">
        <v>1</v>
      </c>
      <c r="BI266">
        <v>1.8</v>
      </c>
      <c r="BJ266">
        <v>0.9</v>
      </c>
      <c r="BK266">
        <v>2</v>
      </c>
      <c r="BL266">
        <v>89.23</v>
      </c>
      <c r="BM266">
        <v>13.38</v>
      </c>
      <c r="BN266">
        <v>102.61</v>
      </c>
      <c r="BO266">
        <v>102.61</v>
      </c>
      <c r="BQ266" t="s">
        <v>268</v>
      </c>
      <c r="BR266" t="s">
        <v>71</v>
      </c>
      <c r="BS266" s="1">
        <v>43935</v>
      </c>
      <c r="BT266" s="2">
        <v>0.52986111111111112</v>
      </c>
      <c r="BU266" t="s">
        <v>513</v>
      </c>
      <c r="BV266" t="s">
        <v>80</v>
      </c>
      <c r="BY266">
        <v>4421.8599999999997</v>
      </c>
      <c r="CA266" t="s">
        <v>103</v>
      </c>
      <c r="CC266" t="s">
        <v>100</v>
      </c>
      <c r="CD266">
        <v>6850</v>
      </c>
      <c r="CE266" t="s">
        <v>91</v>
      </c>
      <c r="CF266" s="1">
        <v>43937</v>
      </c>
      <c r="CI266">
        <v>3</v>
      </c>
      <c r="CJ266">
        <v>4</v>
      </c>
      <c r="CK266">
        <v>23</v>
      </c>
      <c r="CL266" t="s">
        <v>74</v>
      </c>
    </row>
    <row r="267" spans="1:90" x14ac:dyDescent="0.25">
      <c r="A267" t="s">
        <v>61</v>
      </c>
      <c r="B267" t="s">
        <v>62</v>
      </c>
      <c r="C267" t="s">
        <v>63</v>
      </c>
      <c r="E267" t="str">
        <f>"FES1162744462"</f>
        <v>FES1162744462</v>
      </c>
      <c r="F267" s="1">
        <v>43929</v>
      </c>
      <c r="G267">
        <v>202010</v>
      </c>
      <c r="H267" t="s">
        <v>64</v>
      </c>
      <c r="I267" t="s">
        <v>65</v>
      </c>
      <c r="J267" t="s">
        <v>66</v>
      </c>
      <c r="K267" t="s">
        <v>67</v>
      </c>
      <c r="L267" t="s">
        <v>120</v>
      </c>
      <c r="M267" t="s">
        <v>121</v>
      </c>
      <c r="N267" t="s">
        <v>514</v>
      </c>
      <c r="O267" t="s">
        <v>69</v>
      </c>
      <c r="P267" t="str">
        <f>"2170735826                    "</f>
        <v xml:space="preserve">2170735826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4.1900000000000004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G267">
        <v>0</v>
      </c>
      <c r="BH267">
        <v>1</v>
      </c>
      <c r="BI267">
        <v>1.4</v>
      </c>
      <c r="BJ267">
        <v>0.6</v>
      </c>
      <c r="BK267">
        <v>1.5</v>
      </c>
      <c r="BL267">
        <v>46.06</v>
      </c>
      <c r="BM267">
        <v>6.91</v>
      </c>
      <c r="BN267">
        <v>52.97</v>
      </c>
      <c r="BO267">
        <v>52.97</v>
      </c>
      <c r="BQ267" t="s">
        <v>78</v>
      </c>
      <c r="BR267" t="s">
        <v>71</v>
      </c>
      <c r="BS267" s="1">
        <v>43935</v>
      </c>
      <c r="BT267" s="2">
        <v>0.41805555555555557</v>
      </c>
      <c r="BU267" t="s">
        <v>515</v>
      </c>
      <c r="BV267" t="s">
        <v>74</v>
      </c>
      <c r="BW267" t="s">
        <v>85</v>
      </c>
      <c r="BX267" t="s">
        <v>128</v>
      </c>
      <c r="BY267">
        <v>3170.44</v>
      </c>
      <c r="CA267" t="s">
        <v>216</v>
      </c>
      <c r="CC267" t="s">
        <v>121</v>
      </c>
      <c r="CD267">
        <v>3629</v>
      </c>
      <c r="CE267" t="s">
        <v>91</v>
      </c>
      <c r="CF267" s="1">
        <v>43936</v>
      </c>
      <c r="CI267">
        <v>1</v>
      </c>
      <c r="CJ267">
        <v>4</v>
      </c>
      <c r="CK267">
        <v>21</v>
      </c>
      <c r="CL267" t="s">
        <v>74</v>
      </c>
    </row>
    <row r="268" spans="1:90" x14ac:dyDescent="0.25">
      <c r="A268" t="s">
        <v>61</v>
      </c>
      <c r="B268" t="s">
        <v>62</v>
      </c>
      <c r="C268" t="s">
        <v>63</v>
      </c>
      <c r="E268" t="str">
        <f>"FES1162744438"</f>
        <v>FES1162744438</v>
      </c>
      <c r="F268" s="1">
        <v>43929</v>
      </c>
      <c r="G268">
        <v>202010</v>
      </c>
      <c r="H268" t="s">
        <v>64</v>
      </c>
      <c r="I268" t="s">
        <v>65</v>
      </c>
      <c r="J268" t="s">
        <v>66</v>
      </c>
      <c r="K268" t="s">
        <v>67</v>
      </c>
      <c r="L268" t="s">
        <v>64</v>
      </c>
      <c r="M268" t="s">
        <v>65</v>
      </c>
      <c r="N268" t="s">
        <v>191</v>
      </c>
      <c r="O268" t="s">
        <v>69</v>
      </c>
      <c r="P268" t="str">
        <f>"2170735173                    "</f>
        <v xml:space="preserve">2170735173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4.45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G268">
        <v>0</v>
      </c>
      <c r="BH268">
        <v>1</v>
      </c>
      <c r="BI268">
        <v>3.1</v>
      </c>
      <c r="BJ268">
        <v>1</v>
      </c>
      <c r="BK268">
        <v>3.5</v>
      </c>
      <c r="BL268">
        <v>48.92</v>
      </c>
      <c r="BM268">
        <v>7.34</v>
      </c>
      <c r="BN268">
        <v>56.26</v>
      </c>
      <c r="BO268">
        <v>56.26</v>
      </c>
      <c r="BQ268" t="s">
        <v>70</v>
      </c>
      <c r="BR268" t="s">
        <v>71</v>
      </c>
      <c r="BS268" s="1">
        <v>43930</v>
      </c>
      <c r="BT268" s="2">
        <v>0.41666666666666669</v>
      </c>
      <c r="BU268" t="s">
        <v>192</v>
      </c>
      <c r="BV268" t="s">
        <v>80</v>
      </c>
      <c r="BY268">
        <v>5017.58</v>
      </c>
      <c r="CA268" t="s">
        <v>193</v>
      </c>
      <c r="CC268" t="s">
        <v>65</v>
      </c>
      <c r="CD268">
        <v>1601</v>
      </c>
      <c r="CE268" t="s">
        <v>91</v>
      </c>
      <c r="CF268" s="1">
        <v>43936</v>
      </c>
      <c r="CI268">
        <v>1</v>
      </c>
      <c r="CJ268">
        <v>1</v>
      </c>
      <c r="CK268">
        <v>22</v>
      </c>
      <c r="CL268" t="s">
        <v>74</v>
      </c>
    </row>
    <row r="269" spans="1:90" x14ac:dyDescent="0.25">
      <c r="A269" t="s">
        <v>61</v>
      </c>
      <c r="B269" t="s">
        <v>62</v>
      </c>
      <c r="C269" t="s">
        <v>63</v>
      </c>
      <c r="E269" t="str">
        <f>"FES1162744463"</f>
        <v>FES1162744463</v>
      </c>
      <c r="F269" s="1">
        <v>43929</v>
      </c>
      <c r="G269">
        <v>202010</v>
      </c>
      <c r="H269" t="s">
        <v>64</v>
      </c>
      <c r="I269" t="s">
        <v>65</v>
      </c>
      <c r="J269" t="s">
        <v>66</v>
      </c>
      <c r="K269" t="s">
        <v>67</v>
      </c>
      <c r="L269" t="s">
        <v>92</v>
      </c>
      <c r="M269" t="s">
        <v>93</v>
      </c>
      <c r="N269" t="s">
        <v>94</v>
      </c>
      <c r="O269" t="s">
        <v>69</v>
      </c>
      <c r="P269" t="str">
        <f>"2170735827                    "</f>
        <v xml:space="preserve">2170735827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4.1900000000000004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G269">
        <v>0</v>
      </c>
      <c r="BH269">
        <v>1</v>
      </c>
      <c r="BI269">
        <v>2</v>
      </c>
      <c r="BJ269">
        <v>1</v>
      </c>
      <c r="BK269">
        <v>2</v>
      </c>
      <c r="BL269">
        <v>46.06</v>
      </c>
      <c r="BM269">
        <v>6.91</v>
      </c>
      <c r="BN269">
        <v>52.97</v>
      </c>
      <c r="BO269">
        <v>52.97</v>
      </c>
      <c r="BQ269" t="s">
        <v>70</v>
      </c>
      <c r="BR269" t="s">
        <v>71</v>
      </c>
      <c r="BS269" s="1">
        <v>43930</v>
      </c>
      <c r="BT269" s="2">
        <v>0.5541666666666667</v>
      </c>
      <c r="BU269" t="s">
        <v>516</v>
      </c>
      <c r="BV269" t="s">
        <v>80</v>
      </c>
      <c r="BY269">
        <v>4800</v>
      </c>
      <c r="CA269" t="s">
        <v>331</v>
      </c>
      <c r="CC269" t="s">
        <v>93</v>
      </c>
      <c r="CD269">
        <v>7441</v>
      </c>
      <c r="CE269" t="s">
        <v>73</v>
      </c>
      <c r="CF269" s="1">
        <v>43935</v>
      </c>
      <c r="CI269">
        <v>1</v>
      </c>
      <c r="CJ269">
        <v>0</v>
      </c>
      <c r="CK269">
        <v>21</v>
      </c>
      <c r="CL269" t="s">
        <v>74</v>
      </c>
    </row>
    <row r="270" spans="1:90" x14ac:dyDescent="0.25">
      <c r="A270" t="s">
        <v>61</v>
      </c>
      <c r="B270" t="s">
        <v>62</v>
      </c>
      <c r="C270" t="s">
        <v>63</v>
      </c>
      <c r="E270" t="str">
        <f>"FES1162744270"</f>
        <v>FES1162744270</v>
      </c>
      <c r="F270" s="1">
        <v>43929</v>
      </c>
      <c r="G270">
        <v>202010</v>
      </c>
      <c r="H270" t="s">
        <v>64</v>
      </c>
      <c r="I270" t="s">
        <v>65</v>
      </c>
      <c r="J270" t="s">
        <v>66</v>
      </c>
      <c r="K270" t="s">
        <v>67</v>
      </c>
      <c r="L270" t="s">
        <v>99</v>
      </c>
      <c r="M270" t="s">
        <v>100</v>
      </c>
      <c r="N270" t="s">
        <v>512</v>
      </c>
      <c r="O270" t="s">
        <v>69</v>
      </c>
      <c r="P270" t="str">
        <f>"2170733797                    "</f>
        <v xml:space="preserve">2170733797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8.11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89.23</v>
      </c>
      <c r="BM270">
        <v>13.38</v>
      </c>
      <c r="BN270">
        <v>102.61</v>
      </c>
      <c r="BO270">
        <v>102.61</v>
      </c>
      <c r="BQ270" t="s">
        <v>268</v>
      </c>
      <c r="BR270" t="s">
        <v>71</v>
      </c>
      <c r="BS270" s="1">
        <v>43935</v>
      </c>
      <c r="BT270" s="2">
        <v>0.53055555555555556</v>
      </c>
      <c r="BU270" t="s">
        <v>517</v>
      </c>
      <c r="BV270" t="s">
        <v>80</v>
      </c>
      <c r="BY270">
        <v>1200</v>
      </c>
      <c r="CA270" t="s">
        <v>103</v>
      </c>
      <c r="CC270" t="s">
        <v>100</v>
      </c>
      <c r="CD270">
        <v>6850</v>
      </c>
      <c r="CE270" t="s">
        <v>73</v>
      </c>
      <c r="CF270" s="1">
        <v>43937</v>
      </c>
      <c r="CI270">
        <v>3</v>
      </c>
      <c r="CJ270">
        <v>3</v>
      </c>
      <c r="CK270">
        <v>23</v>
      </c>
      <c r="CL270" t="s">
        <v>74</v>
      </c>
    </row>
    <row r="271" spans="1:90" x14ac:dyDescent="0.25">
      <c r="A271" t="s">
        <v>61</v>
      </c>
      <c r="B271" t="s">
        <v>62</v>
      </c>
      <c r="C271" t="s">
        <v>63</v>
      </c>
      <c r="E271" t="str">
        <f>"FES1162744471"</f>
        <v>FES1162744471</v>
      </c>
      <c r="F271" s="1">
        <v>43929</v>
      </c>
      <c r="G271">
        <v>202010</v>
      </c>
      <c r="H271" t="s">
        <v>64</v>
      </c>
      <c r="I271" t="s">
        <v>65</v>
      </c>
      <c r="J271" t="s">
        <v>66</v>
      </c>
      <c r="K271" t="s">
        <v>67</v>
      </c>
      <c r="L271" t="s">
        <v>443</v>
      </c>
      <c r="M271" t="s">
        <v>444</v>
      </c>
      <c r="N271" t="s">
        <v>518</v>
      </c>
      <c r="O271" t="s">
        <v>69</v>
      </c>
      <c r="P271" t="str">
        <f>"2170735735                    "</f>
        <v xml:space="preserve">2170735735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3.27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35.979999999999997</v>
      </c>
      <c r="BM271">
        <v>5.4</v>
      </c>
      <c r="BN271">
        <v>41.38</v>
      </c>
      <c r="BO271">
        <v>41.38</v>
      </c>
      <c r="BQ271" t="s">
        <v>78</v>
      </c>
      <c r="BR271" t="s">
        <v>71</v>
      </c>
      <c r="BS271" s="1">
        <v>43937</v>
      </c>
      <c r="BT271" s="2">
        <v>0.4375</v>
      </c>
      <c r="BU271" t="s">
        <v>519</v>
      </c>
      <c r="BV271" t="s">
        <v>74</v>
      </c>
      <c r="BW271" t="s">
        <v>85</v>
      </c>
      <c r="BX271" t="s">
        <v>203</v>
      </c>
      <c r="BY271">
        <v>1200</v>
      </c>
      <c r="CC271" t="s">
        <v>444</v>
      </c>
      <c r="CD271">
        <v>1451</v>
      </c>
      <c r="CE271" t="s">
        <v>73</v>
      </c>
      <c r="CF271" s="1">
        <v>43938</v>
      </c>
      <c r="CI271">
        <v>1</v>
      </c>
      <c r="CJ271">
        <v>6</v>
      </c>
      <c r="CK271">
        <v>22</v>
      </c>
      <c r="CL271" t="s">
        <v>74</v>
      </c>
    </row>
    <row r="272" spans="1:90" x14ac:dyDescent="0.25">
      <c r="A272" t="s">
        <v>61</v>
      </c>
      <c r="B272" t="s">
        <v>62</v>
      </c>
      <c r="C272" t="s">
        <v>63</v>
      </c>
      <c r="E272" t="str">
        <f>"FES1162744473"</f>
        <v>FES1162744473</v>
      </c>
      <c r="F272" s="1">
        <v>43929</v>
      </c>
      <c r="G272">
        <v>202010</v>
      </c>
      <c r="H272" t="s">
        <v>64</v>
      </c>
      <c r="I272" t="s">
        <v>65</v>
      </c>
      <c r="J272" t="s">
        <v>66</v>
      </c>
      <c r="K272" t="s">
        <v>67</v>
      </c>
      <c r="L272" t="s">
        <v>199</v>
      </c>
      <c r="M272" t="s">
        <v>200</v>
      </c>
      <c r="N272" t="s">
        <v>520</v>
      </c>
      <c r="O272" t="s">
        <v>69</v>
      </c>
      <c r="P272" t="str">
        <f>"2170735820                    "</f>
        <v xml:space="preserve">2170735820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3.27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35.979999999999997</v>
      </c>
      <c r="BM272">
        <v>5.4</v>
      </c>
      <c r="BN272">
        <v>41.38</v>
      </c>
      <c r="BO272">
        <v>41.38</v>
      </c>
      <c r="BQ272" t="s">
        <v>78</v>
      </c>
      <c r="BR272" t="s">
        <v>71</v>
      </c>
      <c r="BS272" s="1">
        <v>43930</v>
      </c>
      <c r="BT272" s="2">
        <v>0.46111111111111108</v>
      </c>
      <c r="BU272" t="s">
        <v>521</v>
      </c>
      <c r="BV272" t="s">
        <v>80</v>
      </c>
      <c r="BY272">
        <v>1200</v>
      </c>
      <c r="CA272" t="s">
        <v>437</v>
      </c>
      <c r="CC272" t="s">
        <v>200</v>
      </c>
      <c r="CD272">
        <v>1559</v>
      </c>
      <c r="CE272" t="s">
        <v>73</v>
      </c>
      <c r="CF272" s="1">
        <v>43936</v>
      </c>
      <c r="CI272">
        <v>1</v>
      </c>
      <c r="CJ272">
        <v>1</v>
      </c>
      <c r="CK272">
        <v>22</v>
      </c>
      <c r="CL272" t="s">
        <v>74</v>
      </c>
    </row>
    <row r="273" spans="1:90" x14ac:dyDescent="0.25">
      <c r="A273" t="s">
        <v>61</v>
      </c>
      <c r="B273" t="s">
        <v>62</v>
      </c>
      <c r="C273" t="s">
        <v>63</v>
      </c>
      <c r="E273" t="str">
        <f>"FES1162744074"</f>
        <v>FES1162744074</v>
      </c>
      <c r="F273" s="1">
        <v>43929</v>
      </c>
      <c r="G273">
        <v>202010</v>
      </c>
      <c r="H273" t="s">
        <v>64</v>
      </c>
      <c r="I273" t="s">
        <v>65</v>
      </c>
      <c r="J273" t="s">
        <v>66</v>
      </c>
      <c r="K273" t="s">
        <v>67</v>
      </c>
      <c r="L273" t="s">
        <v>99</v>
      </c>
      <c r="M273" t="s">
        <v>100</v>
      </c>
      <c r="N273" t="s">
        <v>512</v>
      </c>
      <c r="O273" t="s">
        <v>69</v>
      </c>
      <c r="P273" t="str">
        <f>"2170735295                    "</f>
        <v xml:space="preserve">2170735295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11.78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G273">
        <v>0</v>
      </c>
      <c r="BH273">
        <v>1</v>
      </c>
      <c r="BI273">
        <v>2.9</v>
      </c>
      <c r="BJ273">
        <v>1.6</v>
      </c>
      <c r="BK273">
        <v>3</v>
      </c>
      <c r="BL273">
        <v>129.54</v>
      </c>
      <c r="BM273">
        <v>19.43</v>
      </c>
      <c r="BN273">
        <v>148.97</v>
      </c>
      <c r="BO273">
        <v>148.97</v>
      </c>
      <c r="BQ273" t="s">
        <v>268</v>
      </c>
      <c r="BR273" t="s">
        <v>71</v>
      </c>
      <c r="BS273" s="1">
        <v>43935</v>
      </c>
      <c r="BT273" s="2">
        <v>0.53055555555555556</v>
      </c>
      <c r="BU273" t="s">
        <v>513</v>
      </c>
      <c r="BV273" t="s">
        <v>80</v>
      </c>
      <c r="BY273">
        <v>7804</v>
      </c>
      <c r="CA273" t="s">
        <v>103</v>
      </c>
      <c r="CC273" t="s">
        <v>100</v>
      </c>
      <c r="CD273">
        <v>6850</v>
      </c>
      <c r="CE273" t="s">
        <v>91</v>
      </c>
      <c r="CF273" s="1">
        <v>43937</v>
      </c>
      <c r="CI273">
        <v>3</v>
      </c>
      <c r="CJ273">
        <v>4</v>
      </c>
      <c r="CK273">
        <v>23</v>
      </c>
      <c r="CL273" t="s">
        <v>74</v>
      </c>
    </row>
    <row r="274" spans="1:90" x14ac:dyDescent="0.25">
      <c r="A274" t="s">
        <v>61</v>
      </c>
      <c r="B274" t="s">
        <v>62</v>
      </c>
      <c r="C274" t="s">
        <v>63</v>
      </c>
      <c r="E274" t="str">
        <f>"FES1162744470"</f>
        <v>FES1162744470</v>
      </c>
      <c r="F274" s="1">
        <v>43929</v>
      </c>
      <c r="G274">
        <v>202010</v>
      </c>
      <c r="H274" t="s">
        <v>64</v>
      </c>
      <c r="I274" t="s">
        <v>65</v>
      </c>
      <c r="J274" t="s">
        <v>66</v>
      </c>
      <c r="K274" t="s">
        <v>67</v>
      </c>
      <c r="L274" t="s">
        <v>199</v>
      </c>
      <c r="M274" t="s">
        <v>200</v>
      </c>
      <c r="N274" t="s">
        <v>520</v>
      </c>
      <c r="O274" t="s">
        <v>69</v>
      </c>
      <c r="P274" t="str">
        <f>"2170735490                    "</f>
        <v xml:space="preserve">2170735490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4.45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G274">
        <v>0</v>
      </c>
      <c r="BH274">
        <v>1</v>
      </c>
      <c r="BI274">
        <v>3.2</v>
      </c>
      <c r="BJ274">
        <v>0.8</v>
      </c>
      <c r="BK274">
        <v>3.5</v>
      </c>
      <c r="BL274">
        <v>48.92</v>
      </c>
      <c r="BM274">
        <v>7.34</v>
      </c>
      <c r="BN274">
        <v>56.26</v>
      </c>
      <c r="BO274">
        <v>56.26</v>
      </c>
      <c r="BQ274" t="s">
        <v>78</v>
      </c>
      <c r="BR274" t="s">
        <v>71</v>
      </c>
      <c r="BS274" s="1">
        <v>43930</v>
      </c>
      <c r="BT274" s="2">
        <v>0.46111111111111108</v>
      </c>
      <c r="BU274" t="s">
        <v>521</v>
      </c>
      <c r="BV274" t="s">
        <v>80</v>
      </c>
      <c r="BY274">
        <v>4225.6000000000004</v>
      </c>
      <c r="CA274" t="s">
        <v>437</v>
      </c>
      <c r="CC274" t="s">
        <v>200</v>
      </c>
      <c r="CD274">
        <v>1559</v>
      </c>
      <c r="CE274" t="s">
        <v>91</v>
      </c>
      <c r="CF274" s="1">
        <v>43936</v>
      </c>
      <c r="CI274">
        <v>1</v>
      </c>
      <c r="CJ274">
        <v>1</v>
      </c>
      <c r="CK274">
        <v>22</v>
      </c>
      <c r="CL274" t="s">
        <v>74</v>
      </c>
    </row>
    <row r="275" spans="1:90" x14ac:dyDescent="0.25">
      <c r="A275" t="s">
        <v>61</v>
      </c>
      <c r="B275" t="s">
        <v>62</v>
      </c>
      <c r="C275" t="s">
        <v>63</v>
      </c>
      <c r="E275" t="str">
        <f>"FES1162744209"</f>
        <v>FES1162744209</v>
      </c>
      <c r="F275" s="1">
        <v>43929</v>
      </c>
      <c r="G275">
        <v>202010</v>
      </c>
      <c r="H275" t="s">
        <v>64</v>
      </c>
      <c r="I275" t="s">
        <v>65</v>
      </c>
      <c r="J275" t="s">
        <v>66</v>
      </c>
      <c r="K275" t="s">
        <v>67</v>
      </c>
      <c r="L275" t="s">
        <v>99</v>
      </c>
      <c r="M275" t="s">
        <v>100</v>
      </c>
      <c r="N275" t="s">
        <v>512</v>
      </c>
      <c r="O275" t="s">
        <v>69</v>
      </c>
      <c r="P275" t="str">
        <f>"2170733797                    "</f>
        <v xml:space="preserve">2170733797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8.11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G275">
        <v>0</v>
      </c>
      <c r="BH275">
        <v>1</v>
      </c>
      <c r="BI275">
        <v>1</v>
      </c>
      <c r="BJ275">
        <v>1.1000000000000001</v>
      </c>
      <c r="BK275">
        <v>1.5</v>
      </c>
      <c r="BL275">
        <v>89.23</v>
      </c>
      <c r="BM275">
        <v>13.38</v>
      </c>
      <c r="BN275">
        <v>102.61</v>
      </c>
      <c r="BO275">
        <v>102.61</v>
      </c>
      <c r="BQ275" t="s">
        <v>268</v>
      </c>
      <c r="BR275" t="s">
        <v>71</v>
      </c>
      <c r="BS275" s="1">
        <v>43935</v>
      </c>
      <c r="BT275" s="2">
        <v>0.52777777777777779</v>
      </c>
      <c r="BU275" t="s">
        <v>513</v>
      </c>
      <c r="BV275" t="s">
        <v>80</v>
      </c>
      <c r="BY275">
        <v>5459.16</v>
      </c>
      <c r="CA275" t="s">
        <v>103</v>
      </c>
      <c r="CC275" t="s">
        <v>100</v>
      </c>
      <c r="CD275">
        <v>6850</v>
      </c>
      <c r="CE275" t="s">
        <v>91</v>
      </c>
      <c r="CF275" s="1">
        <v>43937</v>
      </c>
      <c r="CI275">
        <v>3</v>
      </c>
      <c r="CJ275">
        <v>4</v>
      </c>
      <c r="CK275">
        <v>23</v>
      </c>
      <c r="CL275" t="s">
        <v>74</v>
      </c>
    </row>
    <row r="276" spans="1:90" x14ac:dyDescent="0.25">
      <c r="A276" t="s">
        <v>61</v>
      </c>
      <c r="B276" t="s">
        <v>62</v>
      </c>
      <c r="C276" t="s">
        <v>63</v>
      </c>
      <c r="E276" t="str">
        <f>"FES1162744369"</f>
        <v>FES1162744369</v>
      </c>
      <c r="F276" s="1">
        <v>43929</v>
      </c>
      <c r="G276">
        <v>202010</v>
      </c>
      <c r="H276" t="s">
        <v>64</v>
      </c>
      <c r="I276" t="s">
        <v>65</v>
      </c>
      <c r="J276" t="s">
        <v>66</v>
      </c>
      <c r="K276" t="s">
        <v>67</v>
      </c>
      <c r="L276" t="s">
        <v>450</v>
      </c>
      <c r="M276" t="s">
        <v>451</v>
      </c>
      <c r="N276" t="s">
        <v>452</v>
      </c>
      <c r="O276" t="s">
        <v>69</v>
      </c>
      <c r="P276" t="str">
        <f>"2170732924                    "</f>
        <v xml:space="preserve">2170732924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16.739999999999998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G276">
        <v>0</v>
      </c>
      <c r="BH276">
        <v>1</v>
      </c>
      <c r="BI276">
        <v>6.8</v>
      </c>
      <c r="BJ276">
        <v>7.6</v>
      </c>
      <c r="BK276">
        <v>8</v>
      </c>
      <c r="BL276">
        <v>184.13</v>
      </c>
      <c r="BM276">
        <v>27.62</v>
      </c>
      <c r="BN276">
        <v>211.75</v>
      </c>
      <c r="BO276">
        <v>211.75</v>
      </c>
      <c r="BQ276" t="s">
        <v>78</v>
      </c>
      <c r="BR276" t="s">
        <v>71</v>
      </c>
      <c r="BS276" s="1">
        <v>43930</v>
      </c>
      <c r="BT276" s="2">
        <v>0.4291666666666667</v>
      </c>
      <c r="BU276" t="s">
        <v>453</v>
      </c>
      <c r="BV276" t="s">
        <v>80</v>
      </c>
      <c r="BY276">
        <v>38063.120000000003</v>
      </c>
      <c r="CA276" t="s">
        <v>454</v>
      </c>
      <c r="CC276" t="s">
        <v>451</v>
      </c>
      <c r="CD276">
        <v>1240</v>
      </c>
      <c r="CE276" t="s">
        <v>91</v>
      </c>
      <c r="CF276" s="1">
        <v>43936</v>
      </c>
      <c r="CI276">
        <v>1</v>
      </c>
      <c r="CJ276">
        <v>1</v>
      </c>
      <c r="CK276">
        <v>21</v>
      </c>
      <c r="CL276" t="s">
        <v>74</v>
      </c>
    </row>
    <row r="277" spans="1:90" x14ac:dyDescent="0.25">
      <c r="A277" t="s">
        <v>61</v>
      </c>
      <c r="B277" t="s">
        <v>62</v>
      </c>
      <c r="C277" t="s">
        <v>63</v>
      </c>
      <c r="E277" t="str">
        <f>"FES1162744459"</f>
        <v>FES1162744459</v>
      </c>
      <c r="F277" s="1">
        <v>43929</v>
      </c>
      <c r="G277">
        <v>202010</v>
      </c>
      <c r="H277" t="s">
        <v>64</v>
      </c>
      <c r="I277" t="s">
        <v>65</v>
      </c>
      <c r="J277" t="s">
        <v>66</v>
      </c>
      <c r="K277" t="s">
        <v>67</v>
      </c>
      <c r="L277" t="s">
        <v>522</v>
      </c>
      <c r="M277" t="s">
        <v>522</v>
      </c>
      <c r="N277" t="s">
        <v>523</v>
      </c>
      <c r="O277" t="s">
        <v>69</v>
      </c>
      <c r="P277" t="str">
        <f>"2170735821                    "</f>
        <v xml:space="preserve">2170735821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5.89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64.77</v>
      </c>
      <c r="BM277">
        <v>9.7200000000000006</v>
      </c>
      <c r="BN277">
        <v>74.489999999999995</v>
      </c>
      <c r="BO277">
        <v>74.489999999999995</v>
      </c>
      <c r="BQ277" t="s">
        <v>70</v>
      </c>
      <c r="BR277" t="s">
        <v>71</v>
      </c>
      <c r="BS277" s="1">
        <v>43930</v>
      </c>
      <c r="BT277" s="2">
        <v>0.4375</v>
      </c>
      <c r="BU277" t="s">
        <v>524</v>
      </c>
      <c r="BV277" t="s">
        <v>80</v>
      </c>
      <c r="BY277">
        <v>1200</v>
      </c>
      <c r="CA277" t="s">
        <v>464</v>
      </c>
      <c r="CC277" t="s">
        <v>522</v>
      </c>
      <c r="CD277">
        <v>1491</v>
      </c>
      <c r="CE277" t="s">
        <v>73</v>
      </c>
      <c r="CF277" s="1">
        <v>43936</v>
      </c>
      <c r="CI277">
        <v>1</v>
      </c>
      <c r="CJ277">
        <v>1</v>
      </c>
      <c r="CK277">
        <v>24</v>
      </c>
      <c r="CL277" t="s">
        <v>74</v>
      </c>
    </row>
    <row r="278" spans="1:90" x14ac:dyDescent="0.25">
      <c r="A278" t="s">
        <v>61</v>
      </c>
      <c r="B278" t="s">
        <v>62</v>
      </c>
      <c r="C278" t="s">
        <v>63</v>
      </c>
      <c r="E278" t="str">
        <f>"FES1162744528"</f>
        <v>FES1162744528</v>
      </c>
      <c r="F278" s="1">
        <v>43930</v>
      </c>
      <c r="G278">
        <v>202010</v>
      </c>
      <c r="H278" t="s">
        <v>64</v>
      </c>
      <c r="I278" t="s">
        <v>65</v>
      </c>
      <c r="J278" t="s">
        <v>66</v>
      </c>
      <c r="K278" t="s">
        <v>67</v>
      </c>
      <c r="L278" t="s">
        <v>99</v>
      </c>
      <c r="M278" t="s">
        <v>100</v>
      </c>
      <c r="N278" t="s">
        <v>512</v>
      </c>
      <c r="O278" t="s">
        <v>69</v>
      </c>
      <c r="P278" t="str">
        <f>"2170735869                    "</f>
        <v xml:space="preserve">2170735869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8.11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89.23</v>
      </c>
      <c r="BM278">
        <v>13.38</v>
      </c>
      <c r="BN278">
        <v>102.61</v>
      </c>
      <c r="BO278">
        <v>102.61</v>
      </c>
      <c r="BQ278" t="s">
        <v>268</v>
      </c>
      <c r="BR278" t="s">
        <v>71</v>
      </c>
      <c r="BS278" s="1">
        <v>43936</v>
      </c>
      <c r="BT278" s="2">
        <v>0.67083333333333339</v>
      </c>
      <c r="BU278" t="s">
        <v>525</v>
      </c>
      <c r="BV278" t="s">
        <v>80</v>
      </c>
      <c r="BY278">
        <v>1200</v>
      </c>
      <c r="CA278" t="s">
        <v>103</v>
      </c>
      <c r="CC278" t="s">
        <v>100</v>
      </c>
      <c r="CD278">
        <v>6850</v>
      </c>
      <c r="CE278" t="s">
        <v>73</v>
      </c>
      <c r="CF278" s="1">
        <v>43943</v>
      </c>
      <c r="CI278">
        <v>3</v>
      </c>
      <c r="CJ278">
        <v>4</v>
      </c>
      <c r="CK278">
        <v>23</v>
      </c>
      <c r="CL278" t="s">
        <v>74</v>
      </c>
    </row>
    <row r="279" spans="1:90" x14ac:dyDescent="0.25">
      <c r="A279" t="s">
        <v>61</v>
      </c>
      <c r="B279" t="s">
        <v>62</v>
      </c>
      <c r="C279" t="s">
        <v>63</v>
      </c>
      <c r="E279" t="str">
        <f>"FES1162744522"</f>
        <v>FES1162744522</v>
      </c>
      <c r="F279" s="1">
        <v>43930</v>
      </c>
      <c r="G279">
        <v>202010</v>
      </c>
      <c r="H279" t="s">
        <v>64</v>
      </c>
      <c r="I279" t="s">
        <v>65</v>
      </c>
      <c r="J279" t="s">
        <v>66</v>
      </c>
      <c r="K279" t="s">
        <v>67</v>
      </c>
      <c r="L279" t="s">
        <v>92</v>
      </c>
      <c r="M279" t="s">
        <v>93</v>
      </c>
      <c r="N279" t="s">
        <v>94</v>
      </c>
      <c r="O279" t="s">
        <v>69</v>
      </c>
      <c r="P279" t="str">
        <f>"2170734175                    "</f>
        <v xml:space="preserve">2170734175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4.1900000000000004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46.06</v>
      </c>
      <c r="BM279">
        <v>6.91</v>
      </c>
      <c r="BN279">
        <v>52.97</v>
      </c>
      <c r="BO279">
        <v>52.97</v>
      </c>
      <c r="BQ279" t="s">
        <v>70</v>
      </c>
      <c r="BR279" t="s">
        <v>71</v>
      </c>
      <c r="BS279" s="1">
        <v>43935</v>
      </c>
      <c r="BT279" s="2">
        <v>0.53055555555555556</v>
      </c>
      <c r="BU279" t="s">
        <v>95</v>
      </c>
      <c r="BV279" t="s">
        <v>74</v>
      </c>
      <c r="BW279" t="s">
        <v>96</v>
      </c>
      <c r="BX279" t="s">
        <v>97</v>
      </c>
      <c r="BY279">
        <v>1200</v>
      </c>
      <c r="CA279" t="s">
        <v>98</v>
      </c>
      <c r="CC279" t="s">
        <v>93</v>
      </c>
      <c r="CD279">
        <v>7441</v>
      </c>
      <c r="CE279" t="s">
        <v>73</v>
      </c>
      <c r="CF279" s="1">
        <v>43936</v>
      </c>
      <c r="CI279">
        <v>1</v>
      </c>
      <c r="CJ279">
        <v>3</v>
      </c>
      <c r="CK279">
        <v>21</v>
      </c>
      <c r="CL279" t="s">
        <v>74</v>
      </c>
    </row>
    <row r="280" spans="1:90" x14ac:dyDescent="0.25">
      <c r="A280" t="s">
        <v>61</v>
      </c>
      <c r="B280" t="s">
        <v>62</v>
      </c>
      <c r="C280" t="s">
        <v>63</v>
      </c>
      <c r="E280" t="str">
        <f>"FES1162744889"</f>
        <v>FES1162744889</v>
      </c>
      <c r="F280" s="1">
        <v>43937</v>
      </c>
      <c r="G280">
        <v>202010</v>
      </c>
      <c r="H280" t="s">
        <v>64</v>
      </c>
      <c r="I280" t="s">
        <v>65</v>
      </c>
      <c r="J280" t="s">
        <v>66</v>
      </c>
      <c r="K280" t="s">
        <v>67</v>
      </c>
      <c r="L280" t="s">
        <v>270</v>
      </c>
      <c r="M280" t="s">
        <v>271</v>
      </c>
      <c r="N280" t="s">
        <v>526</v>
      </c>
      <c r="O280" t="s">
        <v>69</v>
      </c>
      <c r="P280" t="str">
        <f>"2170736063                    "</f>
        <v xml:space="preserve">2170736063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3.27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35.979999999999997</v>
      </c>
      <c r="BM280">
        <v>5.4</v>
      </c>
      <c r="BN280">
        <v>41.38</v>
      </c>
      <c r="BO280">
        <v>41.38</v>
      </c>
      <c r="BQ280" t="s">
        <v>268</v>
      </c>
      <c r="BR280" t="s">
        <v>71</v>
      </c>
      <c r="BS280" s="1">
        <v>43938</v>
      </c>
      <c r="BT280" s="2">
        <v>0.3520833333333333</v>
      </c>
      <c r="BU280" t="s">
        <v>527</v>
      </c>
      <c r="BV280" t="s">
        <v>80</v>
      </c>
      <c r="BY280">
        <v>1200</v>
      </c>
      <c r="CA280" t="s">
        <v>486</v>
      </c>
      <c r="CC280" t="s">
        <v>271</v>
      </c>
      <c r="CD280">
        <v>2013</v>
      </c>
      <c r="CE280" t="s">
        <v>73</v>
      </c>
      <c r="CF280" s="1">
        <v>43941</v>
      </c>
      <c r="CI280">
        <v>1</v>
      </c>
      <c r="CJ280">
        <v>1</v>
      </c>
      <c r="CK280">
        <v>22</v>
      </c>
      <c r="CL280" t="s">
        <v>74</v>
      </c>
    </row>
    <row r="281" spans="1:90" x14ac:dyDescent="0.25">
      <c r="A281" t="s">
        <v>61</v>
      </c>
      <c r="B281" t="s">
        <v>62</v>
      </c>
      <c r="C281" t="s">
        <v>63</v>
      </c>
      <c r="E281" t="str">
        <f>"FES1162745039"</f>
        <v>FES1162745039</v>
      </c>
      <c r="F281" s="1">
        <v>43941</v>
      </c>
      <c r="G281">
        <v>202010</v>
      </c>
      <c r="H281" t="s">
        <v>64</v>
      </c>
      <c r="I281" t="s">
        <v>65</v>
      </c>
      <c r="J281" t="s">
        <v>66</v>
      </c>
      <c r="K281" t="s">
        <v>67</v>
      </c>
      <c r="L281" t="s">
        <v>385</v>
      </c>
      <c r="M281" t="s">
        <v>386</v>
      </c>
      <c r="N281" t="s">
        <v>528</v>
      </c>
      <c r="O281" t="s">
        <v>69</v>
      </c>
      <c r="P281" t="str">
        <f>"2170736241                    "</f>
        <v xml:space="preserve">2170736241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47.47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G281">
        <v>0</v>
      </c>
      <c r="BH281">
        <v>1</v>
      </c>
      <c r="BI281">
        <v>15.2</v>
      </c>
      <c r="BJ281">
        <v>16.100000000000001</v>
      </c>
      <c r="BK281">
        <v>16.5</v>
      </c>
      <c r="BL281">
        <v>522.21</v>
      </c>
      <c r="BM281">
        <v>78.33</v>
      </c>
      <c r="BN281">
        <v>600.54</v>
      </c>
      <c r="BO281">
        <v>600.54</v>
      </c>
      <c r="BQ281" t="s">
        <v>78</v>
      </c>
      <c r="BR281" t="s">
        <v>71</v>
      </c>
      <c r="BS281" s="1">
        <v>43942</v>
      </c>
      <c r="BT281" s="2">
        <v>0.41666666666666669</v>
      </c>
      <c r="BU281" t="s">
        <v>529</v>
      </c>
      <c r="BV281" t="s">
        <v>80</v>
      </c>
      <c r="BY281">
        <v>80332.56</v>
      </c>
      <c r="CC281" t="s">
        <v>386</v>
      </c>
      <c r="CD281">
        <v>1939</v>
      </c>
      <c r="CE281" t="s">
        <v>91</v>
      </c>
      <c r="CF281" s="1">
        <v>43943</v>
      </c>
      <c r="CI281">
        <v>1</v>
      </c>
      <c r="CJ281">
        <v>1</v>
      </c>
      <c r="CK281">
        <v>24</v>
      </c>
      <c r="CL281" t="s">
        <v>74</v>
      </c>
    </row>
    <row r="282" spans="1:90" x14ac:dyDescent="0.25">
      <c r="A282" t="s">
        <v>61</v>
      </c>
      <c r="B282" t="s">
        <v>62</v>
      </c>
      <c r="C282" t="s">
        <v>63</v>
      </c>
      <c r="E282" t="str">
        <f>"FES1162745035"</f>
        <v>FES1162745035</v>
      </c>
      <c r="F282" s="1">
        <v>43941</v>
      </c>
      <c r="G282">
        <v>202010</v>
      </c>
      <c r="H282" t="s">
        <v>64</v>
      </c>
      <c r="I282" t="s">
        <v>65</v>
      </c>
      <c r="J282" t="s">
        <v>66</v>
      </c>
      <c r="K282" t="s">
        <v>67</v>
      </c>
      <c r="L282" t="s">
        <v>133</v>
      </c>
      <c r="M282" t="s">
        <v>134</v>
      </c>
      <c r="N282" t="s">
        <v>135</v>
      </c>
      <c r="O282" t="s">
        <v>69</v>
      </c>
      <c r="P282" t="str">
        <f>"2170736130                    "</f>
        <v xml:space="preserve">2170736130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8.11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G282">
        <v>0</v>
      </c>
      <c r="BH282">
        <v>1</v>
      </c>
      <c r="BI282">
        <v>1.9</v>
      </c>
      <c r="BJ282">
        <v>1.3</v>
      </c>
      <c r="BK282">
        <v>2</v>
      </c>
      <c r="BL282">
        <v>89.23</v>
      </c>
      <c r="BM282">
        <v>13.38</v>
      </c>
      <c r="BN282">
        <v>102.61</v>
      </c>
      <c r="BO282">
        <v>102.61</v>
      </c>
      <c r="BQ282" t="s">
        <v>70</v>
      </c>
      <c r="BR282" t="s">
        <v>71</v>
      </c>
      <c r="BS282" s="1">
        <v>43942</v>
      </c>
      <c r="BT282" s="2">
        <v>0.57777777777777783</v>
      </c>
      <c r="BU282" t="s">
        <v>530</v>
      </c>
      <c r="BV282" t="s">
        <v>80</v>
      </c>
      <c r="BY282">
        <v>6599.5</v>
      </c>
      <c r="CA282" t="s">
        <v>531</v>
      </c>
      <c r="CC282" t="s">
        <v>134</v>
      </c>
      <c r="CD282">
        <v>4450</v>
      </c>
      <c r="CE282" t="s">
        <v>91</v>
      </c>
      <c r="CF282" s="1">
        <v>43943</v>
      </c>
      <c r="CI282">
        <v>1</v>
      </c>
      <c r="CJ282">
        <v>1</v>
      </c>
      <c r="CK282">
        <v>23</v>
      </c>
      <c r="CL282" t="s">
        <v>74</v>
      </c>
    </row>
    <row r="283" spans="1:90" x14ac:dyDescent="0.25">
      <c r="A283" t="s">
        <v>61</v>
      </c>
      <c r="B283" t="s">
        <v>62</v>
      </c>
      <c r="C283" t="s">
        <v>63</v>
      </c>
      <c r="E283" t="str">
        <f>"FES1162744811"</f>
        <v>FES1162744811</v>
      </c>
      <c r="F283" s="1">
        <v>43941</v>
      </c>
      <c r="G283">
        <v>202010</v>
      </c>
      <c r="H283" t="s">
        <v>64</v>
      </c>
      <c r="I283" t="s">
        <v>65</v>
      </c>
      <c r="J283" t="s">
        <v>66</v>
      </c>
      <c r="K283" t="s">
        <v>67</v>
      </c>
      <c r="L283" t="s">
        <v>532</v>
      </c>
      <c r="M283" t="s">
        <v>533</v>
      </c>
      <c r="N283" t="s">
        <v>534</v>
      </c>
      <c r="O283" t="s">
        <v>69</v>
      </c>
      <c r="P283" t="str">
        <f>"2170733968                    "</f>
        <v xml:space="preserve">2170733968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11.51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G283">
        <v>0</v>
      </c>
      <c r="BH283">
        <v>1</v>
      </c>
      <c r="BI283">
        <v>3.4</v>
      </c>
      <c r="BJ283">
        <v>5.4</v>
      </c>
      <c r="BK283">
        <v>5.5</v>
      </c>
      <c r="BL283">
        <v>126.6</v>
      </c>
      <c r="BM283">
        <v>18.989999999999998</v>
      </c>
      <c r="BN283">
        <v>145.59</v>
      </c>
      <c r="BO283">
        <v>145.59</v>
      </c>
      <c r="BQ283" t="s">
        <v>70</v>
      </c>
      <c r="BR283" t="s">
        <v>71</v>
      </c>
      <c r="BS283" s="1">
        <v>43944</v>
      </c>
      <c r="BT283" s="2">
        <v>0.33333333333333331</v>
      </c>
      <c r="BU283" t="s">
        <v>535</v>
      </c>
      <c r="BV283" t="s">
        <v>74</v>
      </c>
      <c r="BY283">
        <v>26773.75</v>
      </c>
      <c r="CC283" t="s">
        <v>533</v>
      </c>
      <c r="CD283">
        <v>6536</v>
      </c>
      <c r="CE283" t="s">
        <v>91</v>
      </c>
      <c r="CF283" s="1">
        <v>43951</v>
      </c>
      <c r="CI283">
        <v>1</v>
      </c>
      <c r="CJ283">
        <v>3</v>
      </c>
      <c r="CK283">
        <v>21</v>
      </c>
      <c r="CL283" t="s">
        <v>74</v>
      </c>
    </row>
    <row r="284" spans="1:90" x14ac:dyDescent="0.25">
      <c r="A284" t="s">
        <v>61</v>
      </c>
      <c r="B284" t="s">
        <v>62</v>
      </c>
      <c r="C284" t="s">
        <v>63</v>
      </c>
      <c r="E284" t="str">
        <f>"FES1162744870"</f>
        <v>FES1162744870</v>
      </c>
      <c r="F284" s="1">
        <v>43941</v>
      </c>
      <c r="G284">
        <v>202010</v>
      </c>
      <c r="H284" t="s">
        <v>64</v>
      </c>
      <c r="I284" t="s">
        <v>65</v>
      </c>
      <c r="J284" t="s">
        <v>66</v>
      </c>
      <c r="K284" t="s">
        <v>67</v>
      </c>
      <c r="L284" t="s">
        <v>92</v>
      </c>
      <c r="M284" t="s">
        <v>93</v>
      </c>
      <c r="N284" t="s">
        <v>536</v>
      </c>
      <c r="O284" t="s">
        <v>69</v>
      </c>
      <c r="P284" t="str">
        <f>"2170736069                    "</f>
        <v xml:space="preserve">2170736069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31.38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G284">
        <v>0</v>
      </c>
      <c r="BH284">
        <v>1</v>
      </c>
      <c r="BI284">
        <v>7.8</v>
      </c>
      <c r="BJ284">
        <v>14.7</v>
      </c>
      <c r="BK284">
        <v>15</v>
      </c>
      <c r="BL284">
        <v>345.21</v>
      </c>
      <c r="BM284">
        <v>51.78</v>
      </c>
      <c r="BN284">
        <v>396.99</v>
      </c>
      <c r="BO284">
        <v>396.99</v>
      </c>
      <c r="BQ284" t="s">
        <v>78</v>
      </c>
      <c r="BR284" t="s">
        <v>71</v>
      </c>
      <c r="BS284" s="1">
        <v>43942</v>
      </c>
      <c r="BT284" s="2">
        <v>0.47083333333333338</v>
      </c>
      <c r="BU284" t="s">
        <v>537</v>
      </c>
      <c r="BV284" t="s">
        <v>80</v>
      </c>
      <c r="BY284">
        <v>73272.92</v>
      </c>
      <c r="CA284" t="s">
        <v>538</v>
      </c>
      <c r="CC284" t="s">
        <v>93</v>
      </c>
      <c r="CD284">
        <v>7975</v>
      </c>
      <c r="CE284" t="s">
        <v>91</v>
      </c>
      <c r="CF284" s="1">
        <v>43943</v>
      </c>
      <c r="CI284">
        <v>1</v>
      </c>
      <c r="CJ284">
        <v>1</v>
      </c>
      <c r="CK284">
        <v>21</v>
      </c>
      <c r="CL284" t="s">
        <v>74</v>
      </c>
    </row>
    <row r="285" spans="1:90" x14ac:dyDescent="0.25">
      <c r="A285" t="s">
        <v>61</v>
      </c>
      <c r="B285" t="s">
        <v>62</v>
      </c>
      <c r="C285" t="s">
        <v>63</v>
      </c>
      <c r="E285" t="str">
        <f>"FES1162745076"</f>
        <v>FES1162745076</v>
      </c>
      <c r="F285" s="1">
        <v>43941</v>
      </c>
      <c r="G285">
        <v>202010</v>
      </c>
      <c r="H285" t="s">
        <v>64</v>
      </c>
      <c r="I285" t="s">
        <v>65</v>
      </c>
      <c r="J285" t="s">
        <v>66</v>
      </c>
      <c r="K285" t="s">
        <v>67</v>
      </c>
      <c r="L285" t="s">
        <v>194</v>
      </c>
      <c r="M285" t="s">
        <v>195</v>
      </c>
      <c r="N285" t="s">
        <v>196</v>
      </c>
      <c r="O285" t="s">
        <v>69</v>
      </c>
      <c r="P285" t="str">
        <f>"2170736296                    "</f>
        <v xml:space="preserve">2170736296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8.11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89.23</v>
      </c>
      <c r="BM285">
        <v>13.38</v>
      </c>
      <c r="BN285">
        <v>102.61</v>
      </c>
      <c r="BO285">
        <v>102.61</v>
      </c>
      <c r="BQ285" t="s">
        <v>70</v>
      </c>
      <c r="BR285" t="s">
        <v>71</v>
      </c>
      <c r="BS285" s="1">
        <v>43943</v>
      </c>
      <c r="BT285" s="2">
        <v>0.39583333333333331</v>
      </c>
      <c r="BU285" t="s">
        <v>539</v>
      </c>
      <c r="BV285" t="s">
        <v>74</v>
      </c>
      <c r="BY285">
        <v>1200</v>
      </c>
      <c r="CC285" t="s">
        <v>195</v>
      </c>
      <c r="CD285">
        <v>9880</v>
      </c>
      <c r="CE285" t="s">
        <v>73</v>
      </c>
      <c r="CF285" s="1">
        <v>43945</v>
      </c>
      <c r="CI285">
        <v>1</v>
      </c>
      <c r="CJ285">
        <v>2</v>
      </c>
      <c r="CK285">
        <v>23</v>
      </c>
      <c r="CL285" t="s">
        <v>74</v>
      </c>
    </row>
    <row r="286" spans="1:90" x14ac:dyDescent="0.25">
      <c r="A286" t="s">
        <v>61</v>
      </c>
      <c r="B286" t="s">
        <v>62</v>
      </c>
      <c r="C286" t="s">
        <v>63</v>
      </c>
      <c r="E286" t="str">
        <f>"FES1162743967"</f>
        <v>FES1162743967</v>
      </c>
      <c r="F286" s="1">
        <v>43941</v>
      </c>
      <c r="G286">
        <v>202010</v>
      </c>
      <c r="H286" t="s">
        <v>64</v>
      </c>
      <c r="I286" t="s">
        <v>65</v>
      </c>
      <c r="J286" t="s">
        <v>66</v>
      </c>
      <c r="K286" t="s">
        <v>67</v>
      </c>
      <c r="L286" t="s">
        <v>532</v>
      </c>
      <c r="M286" t="s">
        <v>533</v>
      </c>
      <c r="N286" t="s">
        <v>534</v>
      </c>
      <c r="O286" t="s">
        <v>69</v>
      </c>
      <c r="P286" t="str">
        <f>"2170734038                    "</f>
        <v xml:space="preserve">2170734038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8.3699999999999992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G286">
        <v>0</v>
      </c>
      <c r="BH286">
        <v>1</v>
      </c>
      <c r="BI286">
        <v>1.2</v>
      </c>
      <c r="BJ286">
        <v>3.7</v>
      </c>
      <c r="BK286">
        <v>4</v>
      </c>
      <c r="BL286">
        <v>92.08</v>
      </c>
      <c r="BM286">
        <v>13.81</v>
      </c>
      <c r="BN286">
        <v>105.89</v>
      </c>
      <c r="BO286">
        <v>105.89</v>
      </c>
      <c r="BQ286" t="s">
        <v>70</v>
      </c>
      <c r="BR286" t="s">
        <v>71</v>
      </c>
      <c r="BS286" s="1">
        <v>43944</v>
      </c>
      <c r="BT286" s="2">
        <v>0.33333333333333331</v>
      </c>
      <c r="BU286" t="s">
        <v>535</v>
      </c>
      <c r="BV286" t="s">
        <v>74</v>
      </c>
      <c r="BY286">
        <v>18425.439999999999</v>
      </c>
      <c r="CC286" t="s">
        <v>533</v>
      </c>
      <c r="CD286">
        <v>6536</v>
      </c>
      <c r="CE286" t="s">
        <v>91</v>
      </c>
      <c r="CF286" s="1">
        <v>43951</v>
      </c>
      <c r="CI286">
        <v>1</v>
      </c>
      <c r="CJ286">
        <v>3</v>
      </c>
      <c r="CK286">
        <v>21</v>
      </c>
      <c r="CL286" t="s">
        <v>74</v>
      </c>
    </row>
    <row r="287" spans="1:90" x14ac:dyDescent="0.25">
      <c r="A287" t="s">
        <v>61</v>
      </c>
      <c r="B287" t="s">
        <v>62</v>
      </c>
      <c r="C287" t="s">
        <v>63</v>
      </c>
      <c r="E287" t="str">
        <f>"FES1162744826"</f>
        <v>FES1162744826</v>
      </c>
      <c r="F287" s="1">
        <v>43941</v>
      </c>
      <c r="G287">
        <v>202010</v>
      </c>
      <c r="H287" t="s">
        <v>64</v>
      </c>
      <c r="I287" t="s">
        <v>65</v>
      </c>
      <c r="J287" t="s">
        <v>66</v>
      </c>
      <c r="K287" t="s">
        <v>67</v>
      </c>
      <c r="L287" t="s">
        <v>532</v>
      </c>
      <c r="M287" t="s">
        <v>533</v>
      </c>
      <c r="N287" t="s">
        <v>534</v>
      </c>
      <c r="O287" t="s">
        <v>69</v>
      </c>
      <c r="P287" t="str">
        <f>"2170734038                    "</f>
        <v xml:space="preserve">2170734038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9.42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G287">
        <v>0</v>
      </c>
      <c r="BH287">
        <v>1</v>
      </c>
      <c r="BI287">
        <v>1.8</v>
      </c>
      <c r="BJ287">
        <v>4.2</v>
      </c>
      <c r="BK287">
        <v>4.5</v>
      </c>
      <c r="BL287">
        <v>103.59</v>
      </c>
      <c r="BM287">
        <v>15.54</v>
      </c>
      <c r="BN287">
        <v>119.13</v>
      </c>
      <c r="BO287">
        <v>119.13</v>
      </c>
      <c r="BQ287" t="s">
        <v>70</v>
      </c>
      <c r="BR287" t="s">
        <v>71</v>
      </c>
      <c r="BS287" s="1">
        <v>43944</v>
      </c>
      <c r="BT287" s="2">
        <v>0.33333333333333331</v>
      </c>
      <c r="BU287" t="s">
        <v>535</v>
      </c>
      <c r="BV287" t="s">
        <v>74</v>
      </c>
      <c r="BW287" t="s">
        <v>96</v>
      </c>
      <c r="BX287" t="s">
        <v>540</v>
      </c>
      <c r="BY287">
        <v>21046.48</v>
      </c>
      <c r="CC287" t="s">
        <v>533</v>
      </c>
      <c r="CD287">
        <v>6536</v>
      </c>
      <c r="CE287" t="s">
        <v>91</v>
      </c>
      <c r="CF287" s="1">
        <v>43951</v>
      </c>
      <c r="CI287">
        <v>1</v>
      </c>
      <c r="CJ287">
        <v>3</v>
      </c>
      <c r="CK287">
        <v>21</v>
      </c>
      <c r="CL287" t="s">
        <v>74</v>
      </c>
    </row>
    <row r="288" spans="1:90" x14ac:dyDescent="0.25">
      <c r="A288" t="s">
        <v>61</v>
      </c>
      <c r="B288" t="s">
        <v>62</v>
      </c>
      <c r="C288" t="s">
        <v>63</v>
      </c>
      <c r="E288" t="str">
        <f>"FES1162745061"</f>
        <v>FES1162745061</v>
      </c>
      <c r="F288" s="1">
        <v>43941</v>
      </c>
      <c r="G288">
        <v>202010</v>
      </c>
      <c r="H288" t="s">
        <v>64</v>
      </c>
      <c r="I288" t="s">
        <v>65</v>
      </c>
      <c r="J288" t="s">
        <v>66</v>
      </c>
      <c r="K288" t="s">
        <v>67</v>
      </c>
      <c r="L288" t="s">
        <v>254</v>
      </c>
      <c r="M288" t="s">
        <v>255</v>
      </c>
      <c r="N288" t="s">
        <v>503</v>
      </c>
      <c r="O288" t="s">
        <v>69</v>
      </c>
      <c r="P288" t="str">
        <f>"2170736271                    "</f>
        <v xml:space="preserve">2170736271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9.42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G288">
        <v>0</v>
      </c>
      <c r="BH288">
        <v>1</v>
      </c>
      <c r="BI288">
        <v>4.4000000000000004</v>
      </c>
      <c r="BJ288">
        <v>1.3</v>
      </c>
      <c r="BK288">
        <v>4.5</v>
      </c>
      <c r="BL288">
        <v>103.59</v>
      </c>
      <c r="BM288">
        <v>15.54</v>
      </c>
      <c r="BN288">
        <v>119.13</v>
      </c>
      <c r="BO288">
        <v>119.13</v>
      </c>
      <c r="BQ288" t="s">
        <v>78</v>
      </c>
      <c r="BR288" t="s">
        <v>71</v>
      </c>
      <c r="BS288" s="1">
        <v>43942</v>
      </c>
      <c r="BT288" s="2">
        <v>0.4236111111111111</v>
      </c>
      <c r="BU288" t="s">
        <v>541</v>
      </c>
      <c r="BV288" t="s">
        <v>80</v>
      </c>
      <c r="BY288">
        <v>6476.3</v>
      </c>
      <c r="CA288" t="s">
        <v>542</v>
      </c>
      <c r="CC288" t="s">
        <v>255</v>
      </c>
      <c r="CD288">
        <v>183</v>
      </c>
      <c r="CE288" t="s">
        <v>91</v>
      </c>
      <c r="CF288" s="1">
        <v>43943</v>
      </c>
      <c r="CI288">
        <v>1</v>
      </c>
      <c r="CJ288">
        <v>1</v>
      </c>
      <c r="CK288">
        <v>21</v>
      </c>
      <c r="CL288" t="s">
        <v>74</v>
      </c>
    </row>
    <row r="289" spans="1:90" x14ac:dyDescent="0.25">
      <c r="A289" t="s">
        <v>61</v>
      </c>
      <c r="B289" t="s">
        <v>62</v>
      </c>
      <c r="C289" t="s">
        <v>63</v>
      </c>
      <c r="E289" t="str">
        <f>"FES1162744972"</f>
        <v>FES1162744972</v>
      </c>
      <c r="F289" s="1">
        <v>43941</v>
      </c>
      <c r="G289">
        <v>202010</v>
      </c>
      <c r="H289" t="s">
        <v>64</v>
      </c>
      <c r="I289" t="s">
        <v>65</v>
      </c>
      <c r="J289" t="s">
        <v>66</v>
      </c>
      <c r="K289" t="s">
        <v>67</v>
      </c>
      <c r="L289" t="s">
        <v>92</v>
      </c>
      <c r="M289" t="s">
        <v>93</v>
      </c>
      <c r="N289" t="s">
        <v>94</v>
      </c>
      <c r="O289" t="s">
        <v>69</v>
      </c>
      <c r="P289" t="str">
        <f>"2170736198                    "</f>
        <v xml:space="preserve">2170736198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4.1900000000000004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G289">
        <v>0</v>
      </c>
      <c r="BH289">
        <v>1</v>
      </c>
      <c r="BI289">
        <v>1.6</v>
      </c>
      <c r="BJ289">
        <v>1.1000000000000001</v>
      </c>
      <c r="BK289">
        <v>2</v>
      </c>
      <c r="BL289">
        <v>46.06</v>
      </c>
      <c r="BM289">
        <v>6.91</v>
      </c>
      <c r="BN289">
        <v>52.97</v>
      </c>
      <c r="BO289">
        <v>52.97</v>
      </c>
      <c r="BQ289" t="s">
        <v>70</v>
      </c>
      <c r="BR289" t="s">
        <v>71</v>
      </c>
      <c r="BS289" s="1">
        <v>43942</v>
      </c>
      <c r="BT289" s="2">
        <v>0.36527777777777781</v>
      </c>
      <c r="BU289" t="s">
        <v>543</v>
      </c>
      <c r="BV289" t="s">
        <v>80</v>
      </c>
      <c r="BY289">
        <v>5438.72</v>
      </c>
      <c r="CA289" t="s">
        <v>544</v>
      </c>
      <c r="CC289" t="s">
        <v>93</v>
      </c>
      <c r="CD289">
        <v>7441</v>
      </c>
      <c r="CE289" t="s">
        <v>91</v>
      </c>
      <c r="CF289" s="1">
        <v>43943</v>
      </c>
      <c r="CI289">
        <v>1</v>
      </c>
      <c r="CJ289">
        <v>1</v>
      </c>
      <c r="CK289">
        <v>21</v>
      </c>
      <c r="CL289" t="s">
        <v>74</v>
      </c>
    </row>
    <row r="290" spans="1:90" x14ac:dyDescent="0.25">
      <c r="A290" t="s">
        <v>61</v>
      </c>
      <c r="B290" t="s">
        <v>62</v>
      </c>
      <c r="C290" t="s">
        <v>63</v>
      </c>
      <c r="E290" t="str">
        <f>"FES1162744948"</f>
        <v>FES1162744948</v>
      </c>
      <c r="F290" s="1">
        <v>43941</v>
      </c>
      <c r="G290">
        <v>202010</v>
      </c>
      <c r="H290" t="s">
        <v>64</v>
      </c>
      <c r="I290" t="s">
        <v>65</v>
      </c>
      <c r="J290" t="s">
        <v>66</v>
      </c>
      <c r="K290" t="s">
        <v>67</v>
      </c>
      <c r="L290" t="s">
        <v>92</v>
      </c>
      <c r="M290" t="s">
        <v>93</v>
      </c>
      <c r="N290" t="s">
        <v>94</v>
      </c>
      <c r="O290" t="s">
        <v>69</v>
      </c>
      <c r="P290" t="str">
        <f>"2170736192                    "</f>
        <v xml:space="preserve">2170736192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19.88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G290">
        <v>0</v>
      </c>
      <c r="BH290">
        <v>1</v>
      </c>
      <c r="BI290">
        <v>6.2</v>
      </c>
      <c r="BJ290">
        <v>9.1999999999999993</v>
      </c>
      <c r="BK290">
        <v>9.5</v>
      </c>
      <c r="BL290">
        <v>218.65</v>
      </c>
      <c r="BM290">
        <v>32.799999999999997</v>
      </c>
      <c r="BN290">
        <v>251.45</v>
      </c>
      <c r="BO290">
        <v>251.45</v>
      </c>
      <c r="BQ290" t="s">
        <v>70</v>
      </c>
      <c r="BR290" t="s">
        <v>71</v>
      </c>
      <c r="BS290" s="1">
        <v>43942</v>
      </c>
      <c r="BT290" s="2">
        <v>0.36527777777777781</v>
      </c>
      <c r="BU290" t="s">
        <v>543</v>
      </c>
      <c r="BV290" t="s">
        <v>80</v>
      </c>
      <c r="BY290">
        <v>46131.53</v>
      </c>
      <c r="CA290" t="s">
        <v>544</v>
      </c>
      <c r="CC290" t="s">
        <v>93</v>
      </c>
      <c r="CD290">
        <v>7441</v>
      </c>
      <c r="CE290" t="s">
        <v>91</v>
      </c>
      <c r="CF290" s="1">
        <v>43943</v>
      </c>
      <c r="CI290">
        <v>1</v>
      </c>
      <c r="CJ290">
        <v>1</v>
      </c>
      <c r="CK290">
        <v>21</v>
      </c>
      <c r="CL290" t="s">
        <v>74</v>
      </c>
    </row>
    <row r="291" spans="1:90" x14ac:dyDescent="0.25">
      <c r="A291" t="s">
        <v>61</v>
      </c>
      <c r="B291" t="s">
        <v>62</v>
      </c>
      <c r="C291" t="s">
        <v>63</v>
      </c>
      <c r="E291" t="str">
        <f>"FES1162744998"</f>
        <v>FES1162744998</v>
      </c>
      <c r="F291" s="1">
        <v>43941</v>
      </c>
      <c r="G291">
        <v>202010</v>
      </c>
      <c r="H291" t="s">
        <v>64</v>
      </c>
      <c r="I291" t="s">
        <v>65</v>
      </c>
      <c r="J291" t="s">
        <v>66</v>
      </c>
      <c r="K291" t="s">
        <v>67</v>
      </c>
      <c r="L291" t="s">
        <v>92</v>
      </c>
      <c r="M291" t="s">
        <v>93</v>
      </c>
      <c r="N291" t="s">
        <v>94</v>
      </c>
      <c r="O291" t="s">
        <v>69</v>
      </c>
      <c r="P291" t="str">
        <f>"2170735827                    "</f>
        <v xml:space="preserve">2170735827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4.1900000000000004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46.06</v>
      </c>
      <c r="BM291">
        <v>6.91</v>
      </c>
      <c r="BN291">
        <v>52.97</v>
      </c>
      <c r="BO291">
        <v>52.97</v>
      </c>
      <c r="BQ291" t="s">
        <v>70</v>
      </c>
      <c r="BR291" t="s">
        <v>71</v>
      </c>
      <c r="BS291" s="1">
        <v>43942</v>
      </c>
      <c r="BT291" s="2">
        <v>0.3659722222222222</v>
      </c>
      <c r="BU291" t="s">
        <v>543</v>
      </c>
      <c r="BV291" t="s">
        <v>80</v>
      </c>
      <c r="BY291">
        <v>1200</v>
      </c>
      <c r="CA291" t="s">
        <v>544</v>
      </c>
      <c r="CC291" t="s">
        <v>93</v>
      </c>
      <c r="CD291">
        <v>7441</v>
      </c>
      <c r="CE291" t="s">
        <v>73</v>
      </c>
      <c r="CF291" s="1">
        <v>43943</v>
      </c>
      <c r="CI291">
        <v>1</v>
      </c>
      <c r="CJ291">
        <v>1</v>
      </c>
      <c r="CK291">
        <v>21</v>
      </c>
      <c r="CL291" t="s">
        <v>74</v>
      </c>
    </row>
    <row r="292" spans="1:90" x14ac:dyDescent="0.25">
      <c r="A292" t="s">
        <v>61</v>
      </c>
      <c r="B292" t="s">
        <v>62</v>
      </c>
      <c r="C292" t="s">
        <v>63</v>
      </c>
      <c r="E292" t="str">
        <f>"FES1162745030"</f>
        <v>FES1162745030</v>
      </c>
      <c r="F292" s="1">
        <v>43941</v>
      </c>
      <c r="G292">
        <v>202010</v>
      </c>
      <c r="H292" t="s">
        <v>64</v>
      </c>
      <c r="I292" t="s">
        <v>65</v>
      </c>
      <c r="J292" t="s">
        <v>66</v>
      </c>
      <c r="K292" t="s">
        <v>67</v>
      </c>
      <c r="L292" t="s">
        <v>262</v>
      </c>
      <c r="M292" t="s">
        <v>262</v>
      </c>
      <c r="N292" t="s">
        <v>545</v>
      </c>
      <c r="O292" t="s">
        <v>69</v>
      </c>
      <c r="P292" t="str">
        <f>"2170735717                    "</f>
        <v xml:space="preserve">2170735717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8.11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89.23</v>
      </c>
      <c r="BM292">
        <v>13.38</v>
      </c>
      <c r="BN292">
        <v>102.61</v>
      </c>
      <c r="BO292">
        <v>102.61</v>
      </c>
      <c r="BQ292" t="s">
        <v>70</v>
      </c>
      <c r="BR292" t="s">
        <v>71</v>
      </c>
      <c r="BS292" s="1">
        <v>43943</v>
      </c>
      <c r="BT292" s="2">
        <v>0.53819444444444442</v>
      </c>
      <c r="BU292" t="s">
        <v>546</v>
      </c>
      <c r="BV292" t="s">
        <v>74</v>
      </c>
      <c r="BW292" t="s">
        <v>265</v>
      </c>
      <c r="BX292" t="s">
        <v>547</v>
      </c>
      <c r="BY292">
        <v>1200</v>
      </c>
      <c r="CA292" t="s">
        <v>266</v>
      </c>
      <c r="CC292" t="s">
        <v>262</v>
      </c>
      <c r="CD292">
        <v>7646</v>
      </c>
      <c r="CE292" t="s">
        <v>73</v>
      </c>
      <c r="CF292" s="1">
        <v>43944</v>
      </c>
      <c r="CI292">
        <v>1</v>
      </c>
      <c r="CJ292">
        <v>2</v>
      </c>
      <c r="CK292">
        <v>23</v>
      </c>
      <c r="CL292" t="s">
        <v>74</v>
      </c>
    </row>
    <row r="293" spans="1:90" x14ac:dyDescent="0.25">
      <c r="A293" t="s">
        <v>61</v>
      </c>
      <c r="B293" t="s">
        <v>62</v>
      </c>
      <c r="C293" t="s">
        <v>63</v>
      </c>
      <c r="E293" t="str">
        <f>"FES1162745732"</f>
        <v>FES1162745732</v>
      </c>
      <c r="F293" s="1">
        <v>43951</v>
      </c>
      <c r="G293">
        <v>202010</v>
      </c>
      <c r="H293" t="s">
        <v>64</v>
      </c>
      <c r="I293" t="s">
        <v>65</v>
      </c>
      <c r="J293" t="s">
        <v>66</v>
      </c>
      <c r="K293" t="s">
        <v>67</v>
      </c>
      <c r="L293" t="s">
        <v>238</v>
      </c>
      <c r="M293" t="s">
        <v>239</v>
      </c>
      <c r="N293" t="s">
        <v>388</v>
      </c>
      <c r="O293" t="s">
        <v>69</v>
      </c>
      <c r="P293" t="str">
        <f>"2170736824                    "</f>
        <v xml:space="preserve">2170736824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37.659999999999997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G293">
        <v>0</v>
      </c>
      <c r="BH293">
        <v>1</v>
      </c>
      <c r="BI293">
        <v>8.1</v>
      </c>
      <c r="BJ293">
        <v>17.899999999999999</v>
      </c>
      <c r="BK293">
        <v>18</v>
      </c>
      <c r="BL293">
        <v>414.25</v>
      </c>
      <c r="BM293">
        <v>62.14</v>
      </c>
      <c r="BN293">
        <v>476.39</v>
      </c>
      <c r="BO293">
        <v>476.39</v>
      </c>
      <c r="BQ293" t="s">
        <v>78</v>
      </c>
      <c r="BR293" t="s">
        <v>71</v>
      </c>
      <c r="BS293" t="s">
        <v>72</v>
      </c>
      <c r="BY293">
        <v>89526</v>
      </c>
      <c r="CC293" t="s">
        <v>239</v>
      </c>
      <c r="CD293">
        <v>5201</v>
      </c>
      <c r="CE293" t="s">
        <v>91</v>
      </c>
      <c r="CI293">
        <v>1</v>
      </c>
      <c r="CJ293" t="s">
        <v>72</v>
      </c>
      <c r="CK293">
        <v>21</v>
      </c>
      <c r="CL293" t="s">
        <v>74</v>
      </c>
    </row>
    <row r="294" spans="1:90" x14ac:dyDescent="0.25">
      <c r="A294" t="s">
        <v>61</v>
      </c>
      <c r="B294" t="s">
        <v>62</v>
      </c>
      <c r="C294" t="s">
        <v>63</v>
      </c>
      <c r="E294" t="str">
        <f>"FES1162744641"</f>
        <v>FES1162744641</v>
      </c>
      <c r="F294" s="1">
        <v>43930</v>
      </c>
      <c r="G294">
        <v>202010</v>
      </c>
      <c r="H294" t="s">
        <v>64</v>
      </c>
      <c r="I294" t="s">
        <v>65</v>
      </c>
      <c r="J294" t="s">
        <v>66</v>
      </c>
      <c r="K294" t="s">
        <v>67</v>
      </c>
      <c r="L294" t="s">
        <v>92</v>
      </c>
      <c r="M294" t="s">
        <v>93</v>
      </c>
      <c r="N294" t="s">
        <v>402</v>
      </c>
      <c r="O294" t="s">
        <v>69</v>
      </c>
      <c r="P294" t="str">
        <f>"2170732736                    "</f>
        <v xml:space="preserve">2170732736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4.1900000000000004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46.06</v>
      </c>
      <c r="BM294">
        <v>6.91</v>
      </c>
      <c r="BN294">
        <v>52.97</v>
      </c>
      <c r="BO294">
        <v>52.97</v>
      </c>
      <c r="BQ294" t="s">
        <v>109</v>
      </c>
      <c r="BR294" t="s">
        <v>71</v>
      </c>
      <c r="BS294" s="1">
        <v>43935</v>
      </c>
      <c r="BT294" s="2">
        <v>0.59652777777777777</v>
      </c>
      <c r="BU294" t="s">
        <v>548</v>
      </c>
      <c r="BV294" t="s">
        <v>74</v>
      </c>
      <c r="BW294" t="s">
        <v>96</v>
      </c>
      <c r="BX294" t="s">
        <v>97</v>
      </c>
      <c r="BY294">
        <v>1200</v>
      </c>
      <c r="CA294" t="s">
        <v>98</v>
      </c>
      <c r="CC294" t="s">
        <v>93</v>
      </c>
      <c r="CD294">
        <v>7460</v>
      </c>
      <c r="CE294" t="s">
        <v>73</v>
      </c>
      <c r="CF294" s="1">
        <v>43936</v>
      </c>
      <c r="CI294">
        <v>1</v>
      </c>
      <c r="CJ294">
        <v>3</v>
      </c>
      <c r="CK294">
        <v>21</v>
      </c>
      <c r="CL294" t="s">
        <v>74</v>
      </c>
    </row>
    <row r="295" spans="1:90" x14ac:dyDescent="0.25">
      <c r="A295" t="s">
        <v>61</v>
      </c>
      <c r="B295" t="s">
        <v>62</v>
      </c>
      <c r="C295" t="s">
        <v>63</v>
      </c>
      <c r="E295" t="str">
        <f>"FES1162744486"</f>
        <v>FES1162744486</v>
      </c>
      <c r="F295" s="1">
        <v>43929</v>
      </c>
      <c r="G295">
        <v>202010</v>
      </c>
      <c r="H295" t="s">
        <v>64</v>
      </c>
      <c r="I295" t="s">
        <v>65</v>
      </c>
      <c r="J295" t="s">
        <v>66</v>
      </c>
      <c r="K295" t="s">
        <v>67</v>
      </c>
      <c r="L295" t="s">
        <v>92</v>
      </c>
      <c r="M295" t="s">
        <v>93</v>
      </c>
      <c r="N295" t="s">
        <v>204</v>
      </c>
      <c r="O295" t="s">
        <v>69</v>
      </c>
      <c r="P295" t="str">
        <f>"2170735841                    "</f>
        <v xml:space="preserve">2170735841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4.1900000000000004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46.06</v>
      </c>
      <c r="BM295">
        <v>6.91</v>
      </c>
      <c r="BN295">
        <v>52.97</v>
      </c>
      <c r="BO295">
        <v>52.97</v>
      </c>
      <c r="BQ295" t="s">
        <v>78</v>
      </c>
      <c r="BR295" t="s">
        <v>71</v>
      </c>
      <c r="BS295" s="1">
        <v>43930</v>
      </c>
      <c r="BT295" s="2">
        <v>0.38194444444444442</v>
      </c>
      <c r="BU295" t="s">
        <v>549</v>
      </c>
      <c r="BV295" t="s">
        <v>80</v>
      </c>
      <c r="BY295">
        <v>1200</v>
      </c>
      <c r="CA295" t="s">
        <v>167</v>
      </c>
      <c r="CC295" t="s">
        <v>93</v>
      </c>
      <c r="CD295">
        <v>7530</v>
      </c>
      <c r="CE295" t="s">
        <v>73</v>
      </c>
      <c r="CF295" s="1">
        <v>43935</v>
      </c>
      <c r="CI295">
        <v>1</v>
      </c>
      <c r="CJ295">
        <v>0</v>
      </c>
      <c r="CK295">
        <v>21</v>
      </c>
      <c r="CL295" t="s">
        <v>74</v>
      </c>
    </row>
    <row r="296" spans="1:90" x14ac:dyDescent="0.25">
      <c r="A296" t="s">
        <v>61</v>
      </c>
      <c r="B296" t="s">
        <v>62</v>
      </c>
      <c r="C296" t="s">
        <v>63</v>
      </c>
      <c r="E296" t="str">
        <f>"FES1162744441"</f>
        <v>FES1162744441</v>
      </c>
      <c r="F296" s="1">
        <v>43929</v>
      </c>
      <c r="G296">
        <v>202010</v>
      </c>
      <c r="H296" t="s">
        <v>64</v>
      </c>
      <c r="I296" t="s">
        <v>65</v>
      </c>
      <c r="J296" t="s">
        <v>66</v>
      </c>
      <c r="K296" t="s">
        <v>67</v>
      </c>
      <c r="L296" t="s">
        <v>151</v>
      </c>
      <c r="M296" t="s">
        <v>152</v>
      </c>
      <c r="N296" t="s">
        <v>280</v>
      </c>
      <c r="O296" t="s">
        <v>69</v>
      </c>
      <c r="P296" t="str">
        <f>"2170735736                    "</f>
        <v xml:space="preserve">2170735736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4.1900000000000004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46.06</v>
      </c>
      <c r="BM296">
        <v>6.91</v>
      </c>
      <c r="BN296">
        <v>52.97</v>
      </c>
      <c r="BO296">
        <v>52.97</v>
      </c>
      <c r="BQ296" t="s">
        <v>78</v>
      </c>
      <c r="BR296" t="s">
        <v>71</v>
      </c>
      <c r="BS296" s="1">
        <v>43941</v>
      </c>
      <c r="BT296" s="2">
        <v>0.52777777777777779</v>
      </c>
      <c r="BU296" t="s">
        <v>281</v>
      </c>
      <c r="BV296" t="s">
        <v>74</v>
      </c>
      <c r="BY296">
        <v>1200</v>
      </c>
      <c r="CC296" t="s">
        <v>152</v>
      </c>
      <c r="CD296">
        <v>3699</v>
      </c>
      <c r="CE296" t="s">
        <v>73</v>
      </c>
      <c r="CF296" s="1">
        <v>43943</v>
      </c>
      <c r="CI296">
        <v>1</v>
      </c>
      <c r="CJ296">
        <v>8</v>
      </c>
      <c r="CK296">
        <v>21</v>
      </c>
      <c r="CL296" t="s">
        <v>74</v>
      </c>
    </row>
    <row r="297" spans="1:90" x14ac:dyDescent="0.25">
      <c r="A297" t="s">
        <v>61</v>
      </c>
      <c r="B297" t="s">
        <v>62</v>
      </c>
      <c r="C297" t="s">
        <v>63</v>
      </c>
      <c r="E297" t="str">
        <f>"FES1162744493"</f>
        <v>FES1162744493</v>
      </c>
      <c r="F297" s="1">
        <v>43929</v>
      </c>
      <c r="G297">
        <v>202010</v>
      </c>
      <c r="H297" t="s">
        <v>64</v>
      </c>
      <c r="I297" t="s">
        <v>65</v>
      </c>
      <c r="J297" t="s">
        <v>66</v>
      </c>
      <c r="K297" t="s">
        <v>67</v>
      </c>
      <c r="L297" t="s">
        <v>194</v>
      </c>
      <c r="M297" t="s">
        <v>195</v>
      </c>
      <c r="N297" t="s">
        <v>196</v>
      </c>
      <c r="O297" t="s">
        <v>69</v>
      </c>
      <c r="P297" t="str">
        <f>"2170735786                    "</f>
        <v xml:space="preserve">2170735786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8.11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G297">
        <v>0</v>
      </c>
      <c r="BH297">
        <v>1</v>
      </c>
      <c r="BI297">
        <v>1.6</v>
      </c>
      <c r="BJ297">
        <v>0.9</v>
      </c>
      <c r="BK297">
        <v>2</v>
      </c>
      <c r="BL297">
        <v>89.23</v>
      </c>
      <c r="BM297">
        <v>13.38</v>
      </c>
      <c r="BN297">
        <v>102.61</v>
      </c>
      <c r="BO297">
        <v>102.61</v>
      </c>
      <c r="BQ297" t="s">
        <v>70</v>
      </c>
      <c r="BR297" t="s">
        <v>71</v>
      </c>
      <c r="BS297" s="1">
        <v>43930</v>
      </c>
      <c r="BT297" s="2">
        <v>0.39583333333333331</v>
      </c>
      <c r="BU297" t="s">
        <v>197</v>
      </c>
      <c r="BV297" t="s">
        <v>80</v>
      </c>
      <c r="BY297">
        <v>4574.5200000000004</v>
      </c>
      <c r="CA297" t="s">
        <v>550</v>
      </c>
      <c r="CC297" t="s">
        <v>195</v>
      </c>
      <c r="CD297">
        <v>9880</v>
      </c>
      <c r="CE297" t="s">
        <v>91</v>
      </c>
      <c r="CF297" s="1">
        <v>43936</v>
      </c>
      <c r="CI297">
        <v>1</v>
      </c>
      <c r="CJ297">
        <v>1</v>
      </c>
      <c r="CK297">
        <v>23</v>
      </c>
      <c r="CL297" t="s">
        <v>74</v>
      </c>
    </row>
    <row r="298" spans="1:90" x14ac:dyDescent="0.25">
      <c r="A298" t="s">
        <v>61</v>
      </c>
      <c r="B298" t="s">
        <v>62</v>
      </c>
      <c r="C298" t="s">
        <v>63</v>
      </c>
      <c r="E298" t="str">
        <f>"FES1162744442"</f>
        <v>FES1162744442</v>
      </c>
      <c r="F298" s="1">
        <v>43929</v>
      </c>
      <c r="G298">
        <v>202010</v>
      </c>
      <c r="H298" t="s">
        <v>64</v>
      </c>
      <c r="I298" t="s">
        <v>65</v>
      </c>
      <c r="J298" t="s">
        <v>66</v>
      </c>
      <c r="K298" t="s">
        <v>67</v>
      </c>
      <c r="L298" t="s">
        <v>92</v>
      </c>
      <c r="M298" t="s">
        <v>93</v>
      </c>
      <c r="N298" t="s">
        <v>165</v>
      </c>
      <c r="O298" t="s">
        <v>69</v>
      </c>
      <c r="P298" t="str">
        <f>"2170735781                    "</f>
        <v xml:space="preserve">2170735781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4.1900000000000004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46.06</v>
      </c>
      <c r="BM298">
        <v>6.91</v>
      </c>
      <c r="BN298">
        <v>52.97</v>
      </c>
      <c r="BO298">
        <v>52.97</v>
      </c>
      <c r="BQ298" t="s">
        <v>70</v>
      </c>
      <c r="BR298" t="s">
        <v>71</v>
      </c>
      <c r="BS298" s="1">
        <v>43930</v>
      </c>
      <c r="BT298" s="2">
        <v>0.30486111111111108</v>
      </c>
      <c r="BU298" t="s">
        <v>166</v>
      </c>
      <c r="BV298" t="s">
        <v>80</v>
      </c>
      <c r="BY298">
        <v>1200</v>
      </c>
      <c r="CA298" t="s">
        <v>167</v>
      </c>
      <c r="CC298" t="s">
        <v>93</v>
      </c>
      <c r="CD298">
        <v>7530</v>
      </c>
      <c r="CE298" t="s">
        <v>73</v>
      </c>
      <c r="CF298" s="1">
        <v>43935</v>
      </c>
      <c r="CI298">
        <v>1</v>
      </c>
      <c r="CJ298">
        <v>0</v>
      </c>
      <c r="CK298">
        <v>21</v>
      </c>
      <c r="CL298" t="s">
        <v>74</v>
      </c>
    </row>
    <row r="299" spans="1:90" x14ac:dyDescent="0.25">
      <c r="A299" t="s">
        <v>61</v>
      </c>
      <c r="B299" t="s">
        <v>62</v>
      </c>
      <c r="C299" t="s">
        <v>63</v>
      </c>
      <c r="E299" t="str">
        <f>"FES1162744476"</f>
        <v>FES1162744476</v>
      </c>
      <c r="F299" s="1">
        <v>43929</v>
      </c>
      <c r="G299">
        <v>202010</v>
      </c>
      <c r="H299" t="s">
        <v>64</v>
      </c>
      <c r="I299" t="s">
        <v>65</v>
      </c>
      <c r="J299" t="s">
        <v>66</v>
      </c>
      <c r="K299" t="s">
        <v>67</v>
      </c>
      <c r="L299" t="s">
        <v>262</v>
      </c>
      <c r="M299" t="s">
        <v>262</v>
      </c>
      <c r="N299" t="s">
        <v>551</v>
      </c>
      <c r="O299" t="s">
        <v>69</v>
      </c>
      <c r="P299" t="str">
        <f>"2170731607                    "</f>
        <v xml:space="preserve">2170731607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17.27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G299">
        <v>0</v>
      </c>
      <c r="BH299">
        <v>1</v>
      </c>
      <c r="BI299">
        <v>4.0999999999999996</v>
      </c>
      <c r="BJ299">
        <v>2.9</v>
      </c>
      <c r="BK299">
        <v>4.5</v>
      </c>
      <c r="BL299">
        <v>189.99</v>
      </c>
      <c r="BM299">
        <v>28.5</v>
      </c>
      <c r="BN299">
        <v>218.49</v>
      </c>
      <c r="BO299">
        <v>218.49</v>
      </c>
      <c r="BQ299" t="s">
        <v>78</v>
      </c>
      <c r="BR299" t="s">
        <v>71</v>
      </c>
      <c r="BS299" s="1">
        <v>43930</v>
      </c>
      <c r="BT299" s="2">
        <v>0.50069444444444444</v>
      </c>
      <c r="BU299" t="s">
        <v>552</v>
      </c>
      <c r="BV299" t="s">
        <v>80</v>
      </c>
      <c r="BY299">
        <v>14734.88</v>
      </c>
      <c r="CA299" t="s">
        <v>266</v>
      </c>
      <c r="CC299" t="s">
        <v>262</v>
      </c>
      <c r="CD299">
        <v>7655</v>
      </c>
      <c r="CE299" t="s">
        <v>91</v>
      </c>
      <c r="CF299" s="1">
        <v>43935</v>
      </c>
      <c r="CI299">
        <v>1</v>
      </c>
      <c r="CJ299">
        <v>1</v>
      </c>
      <c r="CK299">
        <v>23</v>
      </c>
      <c r="CL299" t="s">
        <v>74</v>
      </c>
    </row>
    <row r="300" spans="1:90" x14ac:dyDescent="0.25">
      <c r="A300" t="s">
        <v>61</v>
      </c>
      <c r="B300" t="s">
        <v>62</v>
      </c>
      <c r="C300" t="s">
        <v>63</v>
      </c>
      <c r="E300" t="str">
        <f>"FES1162744454"</f>
        <v>FES1162744454</v>
      </c>
      <c r="F300" s="1">
        <v>43929</v>
      </c>
      <c r="G300">
        <v>202010</v>
      </c>
      <c r="H300" t="s">
        <v>64</v>
      </c>
      <c r="I300" t="s">
        <v>65</v>
      </c>
      <c r="J300" t="s">
        <v>66</v>
      </c>
      <c r="K300" t="s">
        <v>67</v>
      </c>
      <c r="L300" t="s">
        <v>238</v>
      </c>
      <c r="M300" t="s">
        <v>239</v>
      </c>
      <c r="N300" t="s">
        <v>289</v>
      </c>
      <c r="O300" t="s">
        <v>69</v>
      </c>
      <c r="P300" t="str">
        <f>"2170735810                    "</f>
        <v xml:space="preserve">2170735810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8.3699999999999992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G300">
        <v>0</v>
      </c>
      <c r="BH300">
        <v>1</v>
      </c>
      <c r="BI300">
        <v>4</v>
      </c>
      <c r="BJ300">
        <v>1.5</v>
      </c>
      <c r="BK300">
        <v>4</v>
      </c>
      <c r="BL300">
        <v>92.08</v>
      </c>
      <c r="BM300">
        <v>13.81</v>
      </c>
      <c r="BN300">
        <v>105.89</v>
      </c>
      <c r="BO300">
        <v>105.89</v>
      </c>
      <c r="BQ300" t="s">
        <v>70</v>
      </c>
      <c r="BR300" t="s">
        <v>71</v>
      </c>
      <c r="BS300" s="1">
        <v>43930</v>
      </c>
      <c r="BT300" s="2">
        <v>0.34375</v>
      </c>
      <c r="BU300" t="s">
        <v>553</v>
      </c>
      <c r="BV300" t="s">
        <v>80</v>
      </c>
      <c r="BY300">
        <v>7517.46</v>
      </c>
      <c r="CA300" t="s">
        <v>297</v>
      </c>
      <c r="CC300" t="s">
        <v>239</v>
      </c>
      <c r="CD300">
        <v>5201</v>
      </c>
      <c r="CE300" t="s">
        <v>91</v>
      </c>
      <c r="CF300" s="1">
        <v>43938</v>
      </c>
      <c r="CI300">
        <v>1</v>
      </c>
      <c r="CJ300">
        <v>1</v>
      </c>
      <c r="CK300">
        <v>21</v>
      </c>
      <c r="CL300" t="s">
        <v>74</v>
      </c>
    </row>
    <row r="301" spans="1:90" x14ac:dyDescent="0.25">
      <c r="A301" t="s">
        <v>61</v>
      </c>
      <c r="B301" t="s">
        <v>62</v>
      </c>
      <c r="C301" t="s">
        <v>63</v>
      </c>
      <c r="E301" t="str">
        <f>"FES1162744022"</f>
        <v>FES1162744022</v>
      </c>
      <c r="F301" s="1">
        <v>43929</v>
      </c>
      <c r="G301">
        <v>202010</v>
      </c>
      <c r="H301" t="s">
        <v>64</v>
      </c>
      <c r="I301" t="s">
        <v>65</v>
      </c>
      <c r="J301" t="s">
        <v>66</v>
      </c>
      <c r="K301" t="s">
        <v>67</v>
      </c>
      <c r="L301" t="s">
        <v>99</v>
      </c>
      <c r="M301" t="s">
        <v>100</v>
      </c>
      <c r="N301" t="s">
        <v>512</v>
      </c>
      <c r="O301" t="s">
        <v>69</v>
      </c>
      <c r="P301" t="str">
        <f>"2170735316                    "</f>
        <v xml:space="preserve">2170735316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8.11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89.23</v>
      </c>
      <c r="BM301">
        <v>13.38</v>
      </c>
      <c r="BN301">
        <v>102.61</v>
      </c>
      <c r="BO301">
        <v>102.61</v>
      </c>
      <c r="BQ301" t="s">
        <v>268</v>
      </c>
      <c r="BR301" t="s">
        <v>71</v>
      </c>
      <c r="BS301" s="1">
        <v>43935</v>
      </c>
      <c r="BT301" s="2">
        <v>0.53125</v>
      </c>
      <c r="BU301" t="s">
        <v>513</v>
      </c>
      <c r="BV301" t="s">
        <v>80</v>
      </c>
      <c r="BY301">
        <v>1200</v>
      </c>
      <c r="CA301" t="s">
        <v>103</v>
      </c>
      <c r="CC301" t="s">
        <v>100</v>
      </c>
      <c r="CD301">
        <v>6850</v>
      </c>
      <c r="CE301" t="s">
        <v>73</v>
      </c>
      <c r="CF301" s="1">
        <v>43937</v>
      </c>
      <c r="CI301">
        <v>3</v>
      </c>
      <c r="CJ301">
        <v>3</v>
      </c>
      <c r="CK301">
        <v>23</v>
      </c>
      <c r="CL301" t="s">
        <v>74</v>
      </c>
    </row>
    <row r="302" spans="1:90" x14ac:dyDescent="0.25">
      <c r="A302" t="s">
        <v>61</v>
      </c>
      <c r="B302" t="s">
        <v>62</v>
      </c>
      <c r="C302" t="s">
        <v>63</v>
      </c>
      <c r="E302" t="str">
        <f>"FES1162744099"</f>
        <v>FES1162744099</v>
      </c>
      <c r="F302" s="1">
        <v>43929</v>
      </c>
      <c r="G302">
        <v>202010</v>
      </c>
      <c r="H302" t="s">
        <v>64</v>
      </c>
      <c r="I302" t="s">
        <v>65</v>
      </c>
      <c r="J302" t="s">
        <v>66</v>
      </c>
      <c r="K302" t="s">
        <v>67</v>
      </c>
      <c r="L302" t="s">
        <v>99</v>
      </c>
      <c r="M302" t="s">
        <v>100</v>
      </c>
      <c r="N302" t="s">
        <v>512</v>
      </c>
      <c r="O302" t="s">
        <v>69</v>
      </c>
      <c r="P302" t="str">
        <f>"2170735537                    "</f>
        <v xml:space="preserve">2170735537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8.11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89.23</v>
      </c>
      <c r="BM302">
        <v>13.38</v>
      </c>
      <c r="BN302">
        <v>102.61</v>
      </c>
      <c r="BO302">
        <v>102.61</v>
      </c>
      <c r="BQ302" t="s">
        <v>268</v>
      </c>
      <c r="BR302" t="s">
        <v>71</v>
      </c>
      <c r="BS302" s="1">
        <v>43935</v>
      </c>
      <c r="BT302" s="2">
        <v>0.53194444444444444</v>
      </c>
      <c r="BU302" t="s">
        <v>513</v>
      </c>
      <c r="BV302" t="s">
        <v>80</v>
      </c>
      <c r="BY302">
        <v>1200</v>
      </c>
      <c r="CA302" t="s">
        <v>103</v>
      </c>
      <c r="CC302" t="s">
        <v>100</v>
      </c>
      <c r="CD302">
        <v>6850</v>
      </c>
      <c r="CE302" t="s">
        <v>73</v>
      </c>
      <c r="CF302" s="1">
        <v>43937</v>
      </c>
      <c r="CI302">
        <v>3</v>
      </c>
      <c r="CJ302">
        <v>3</v>
      </c>
      <c r="CK302">
        <v>23</v>
      </c>
      <c r="CL302" t="s">
        <v>74</v>
      </c>
    </row>
    <row r="303" spans="1:90" x14ac:dyDescent="0.25">
      <c r="A303" t="s">
        <v>61</v>
      </c>
      <c r="B303" t="s">
        <v>62</v>
      </c>
      <c r="C303" t="s">
        <v>63</v>
      </c>
      <c r="E303" t="str">
        <f>"FES1162744077"</f>
        <v>FES1162744077</v>
      </c>
      <c r="F303" s="1">
        <v>43929</v>
      </c>
      <c r="G303">
        <v>202010</v>
      </c>
      <c r="H303" t="s">
        <v>64</v>
      </c>
      <c r="I303" t="s">
        <v>65</v>
      </c>
      <c r="J303" t="s">
        <v>66</v>
      </c>
      <c r="K303" t="s">
        <v>67</v>
      </c>
      <c r="L303" t="s">
        <v>99</v>
      </c>
      <c r="M303" t="s">
        <v>100</v>
      </c>
      <c r="N303" t="s">
        <v>512</v>
      </c>
      <c r="O303" t="s">
        <v>69</v>
      </c>
      <c r="P303" t="str">
        <f>"2170735400                    "</f>
        <v xml:space="preserve">2170735400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8.11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89.23</v>
      </c>
      <c r="BM303">
        <v>13.38</v>
      </c>
      <c r="BN303">
        <v>102.61</v>
      </c>
      <c r="BO303">
        <v>102.61</v>
      </c>
      <c r="BQ303" t="s">
        <v>268</v>
      </c>
      <c r="BR303" t="s">
        <v>71</v>
      </c>
      <c r="BS303" s="1">
        <v>43935</v>
      </c>
      <c r="BT303" s="2">
        <v>0.53125</v>
      </c>
      <c r="BU303" t="s">
        <v>513</v>
      </c>
      <c r="BV303" t="s">
        <v>80</v>
      </c>
      <c r="BY303">
        <v>1200</v>
      </c>
      <c r="CA303" t="s">
        <v>103</v>
      </c>
      <c r="CC303" t="s">
        <v>100</v>
      </c>
      <c r="CD303">
        <v>6850</v>
      </c>
      <c r="CE303" t="s">
        <v>73</v>
      </c>
      <c r="CF303" s="1">
        <v>43937</v>
      </c>
      <c r="CI303">
        <v>3</v>
      </c>
      <c r="CJ303">
        <v>3</v>
      </c>
      <c r="CK303">
        <v>23</v>
      </c>
      <c r="CL303" t="s">
        <v>74</v>
      </c>
    </row>
    <row r="304" spans="1:90" x14ac:dyDescent="0.25">
      <c r="A304" t="s">
        <v>61</v>
      </c>
      <c r="B304" t="s">
        <v>62</v>
      </c>
      <c r="C304" t="s">
        <v>63</v>
      </c>
      <c r="E304" t="str">
        <f>"FES1162744495"</f>
        <v>FES1162744495</v>
      </c>
      <c r="F304" s="1">
        <v>43929</v>
      </c>
      <c r="G304">
        <v>202010</v>
      </c>
      <c r="H304" t="s">
        <v>64</v>
      </c>
      <c r="I304" t="s">
        <v>65</v>
      </c>
      <c r="J304" t="s">
        <v>66</v>
      </c>
      <c r="K304" t="s">
        <v>67</v>
      </c>
      <c r="L304" t="s">
        <v>254</v>
      </c>
      <c r="M304" t="s">
        <v>255</v>
      </c>
      <c r="N304" t="s">
        <v>503</v>
      </c>
      <c r="O304" t="s">
        <v>69</v>
      </c>
      <c r="P304" t="str">
        <f>"2170735847                    "</f>
        <v xml:space="preserve">2170735847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11.51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G304">
        <v>0</v>
      </c>
      <c r="BH304">
        <v>1</v>
      </c>
      <c r="BI304">
        <v>3.5</v>
      </c>
      <c r="BJ304">
        <v>5.5</v>
      </c>
      <c r="BK304">
        <v>5.5</v>
      </c>
      <c r="BL304">
        <v>126.6</v>
      </c>
      <c r="BM304">
        <v>18.989999999999998</v>
      </c>
      <c r="BN304">
        <v>145.59</v>
      </c>
      <c r="BO304">
        <v>145.59</v>
      </c>
      <c r="BQ304" t="s">
        <v>78</v>
      </c>
      <c r="BR304" t="s">
        <v>71</v>
      </c>
      <c r="BS304" s="1">
        <v>43930</v>
      </c>
      <c r="BT304" s="2">
        <v>0.41666666666666669</v>
      </c>
      <c r="BU304" t="s">
        <v>541</v>
      </c>
      <c r="BV304" t="s">
        <v>80</v>
      </c>
      <c r="BY304">
        <v>27740.16</v>
      </c>
      <c r="CC304" t="s">
        <v>255</v>
      </c>
      <c r="CD304">
        <v>183</v>
      </c>
      <c r="CE304" t="s">
        <v>91</v>
      </c>
      <c r="CF304" s="1">
        <v>43936</v>
      </c>
      <c r="CI304">
        <v>1</v>
      </c>
      <c r="CJ304">
        <v>1</v>
      </c>
      <c r="CK304">
        <v>21</v>
      </c>
      <c r="CL304" t="s">
        <v>74</v>
      </c>
    </row>
    <row r="305" spans="1:90" x14ac:dyDescent="0.25">
      <c r="A305" t="s">
        <v>61</v>
      </c>
      <c r="B305" t="s">
        <v>62</v>
      </c>
      <c r="C305" t="s">
        <v>63</v>
      </c>
      <c r="E305" t="str">
        <f>"FES1162744481"</f>
        <v>FES1162744481</v>
      </c>
      <c r="F305" s="1">
        <v>43929</v>
      </c>
      <c r="G305">
        <v>202010</v>
      </c>
      <c r="H305" t="s">
        <v>64</v>
      </c>
      <c r="I305" t="s">
        <v>65</v>
      </c>
      <c r="J305" t="s">
        <v>66</v>
      </c>
      <c r="K305" t="s">
        <v>67</v>
      </c>
      <c r="L305" t="s">
        <v>238</v>
      </c>
      <c r="M305" t="s">
        <v>239</v>
      </c>
      <c r="N305" t="s">
        <v>289</v>
      </c>
      <c r="O305" t="s">
        <v>69</v>
      </c>
      <c r="P305" t="str">
        <f>"2170735810                    "</f>
        <v xml:space="preserve">2170735810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4.1900000000000004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G305">
        <v>0</v>
      </c>
      <c r="BH305">
        <v>1</v>
      </c>
      <c r="BI305">
        <v>1.8</v>
      </c>
      <c r="BJ305">
        <v>1.6</v>
      </c>
      <c r="BK305">
        <v>2</v>
      </c>
      <c r="BL305">
        <v>46.06</v>
      </c>
      <c r="BM305">
        <v>6.91</v>
      </c>
      <c r="BN305">
        <v>52.97</v>
      </c>
      <c r="BO305">
        <v>52.97</v>
      </c>
      <c r="BQ305" t="s">
        <v>70</v>
      </c>
      <c r="BR305" t="s">
        <v>71</v>
      </c>
      <c r="BS305" s="1">
        <v>43930</v>
      </c>
      <c r="BT305" s="2">
        <v>0.3444444444444445</v>
      </c>
      <c r="BU305" t="s">
        <v>553</v>
      </c>
      <c r="BV305" t="s">
        <v>80</v>
      </c>
      <c r="BY305">
        <v>7951.74</v>
      </c>
      <c r="CA305" t="s">
        <v>297</v>
      </c>
      <c r="CC305" t="s">
        <v>239</v>
      </c>
      <c r="CD305">
        <v>5201</v>
      </c>
      <c r="CE305" t="s">
        <v>91</v>
      </c>
      <c r="CF305" s="1">
        <v>43938</v>
      </c>
      <c r="CI305">
        <v>1</v>
      </c>
      <c r="CJ305">
        <v>1</v>
      </c>
      <c r="CK305">
        <v>21</v>
      </c>
      <c r="CL305" t="s">
        <v>74</v>
      </c>
    </row>
    <row r="306" spans="1:90" x14ac:dyDescent="0.25">
      <c r="A306" t="s">
        <v>61</v>
      </c>
      <c r="B306" t="s">
        <v>62</v>
      </c>
      <c r="C306" t="s">
        <v>63</v>
      </c>
      <c r="E306" t="str">
        <f>"FES1162744472"</f>
        <v>FES1162744472</v>
      </c>
      <c r="F306" s="1">
        <v>43929</v>
      </c>
      <c r="G306">
        <v>202010</v>
      </c>
      <c r="H306" t="s">
        <v>64</v>
      </c>
      <c r="I306" t="s">
        <v>65</v>
      </c>
      <c r="J306" t="s">
        <v>66</v>
      </c>
      <c r="K306" t="s">
        <v>67</v>
      </c>
      <c r="L306" t="s">
        <v>92</v>
      </c>
      <c r="M306" t="s">
        <v>93</v>
      </c>
      <c r="N306" t="s">
        <v>475</v>
      </c>
      <c r="O306" t="s">
        <v>69</v>
      </c>
      <c r="P306" t="str">
        <f>"2170735746                    "</f>
        <v xml:space="preserve">2170735746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32.43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G306">
        <v>0</v>
      </c>
      <c r="BH306">
        <v>1</v>
      </c>
      <c r="BI306">
        <v>9.3000000000000007</v>
      </c>
      <c r="BJ306">
        <v>15.1</v>
      </c>
      <c r="BK306">
        <v>15.5</v>
      </c>
      <c r="BL306">
        <v>356.72</v>
      </c>
      <c r="BM306">
        <v>53.51</v>
      </c>
      <c r="BN306">
        <v>410.23</v>
      </c>
      <c r="BO306">
        <v>410.23</v>
      </c>
      <c r="BQ306" t="s">
        <v>268</v>
      </c>
      <c r="BR306" t="s">
        <v>71</v>
      </c>
      <c r="BS306" s="1">
        <v>43930</v>
      </c>
      <c r="BT306" s="2">
        <v>0.35694444444444445</v>
      </c>
      <c r="BU306" t="s">
        <v>476</v>
      </c>
      <c r="BV306" t="s">
        <v>80</v>
      </c>
      <c r="BY306">
        <v>75522.880000000005</v>
      </c>
      <c r="CA306" t="s">
        <v>98</v>
      </c>
      <c r="CC306" t="s">
        <v>93</v>
      </c>
      <c r="CD306">
        <v>7441</v>
      </c>
      <c r="CE306" t="s">
        <v>91</v>
      </c>
      <c r="CF306" s="1">
        <v>43935</v>
      </c>
      <c r="CI306">
        <v>1</v>
      </c>
      <c r="CJ306">
        <v>1</v>
      </c>
      <c r="CK306">
        <v>21</v>
      </c>
      <c r="CL306" t="s">
        <v>74</v>
      </c>
    </row>
    <row r="307" spans="1:90" x14ac:dyDescent="0.25">
      <c r="A307" t="s">
        <v>61</v>
      </c>
      <c r="B307" t="s">
        <v>62</v>
      </c>
      <c r="C307" t="s">
        <v>63</v>
      </c>
      <c r="E307" t="str">
        <f>"FES1162744072"</f>
        <v>FES1162744072</v>
      </c>
      <c r="F307" s="1">
        <v>43929</v>
      </c>
      <c r="G307">
        <v>202010</v>
      </c>
      <c r="H307" t="s">
        <v>64</v>
      </c>
      <c r="I307" t="s">
        <v>65</v>
      </c>
      <c r="J307" t="s">
        <v>66</v>
      </c>
      <c r="K307" t="s">
        <v>67</v>
      </c>
      <c r="L307" t="s">
        <v>99</v>
      </c>
      <c r="M307" t="s">
        <v>100</v>
      </c>
      <c r="N307" t="s">
        <v>512</v>
      </c>
      <c r="O307" t="s">
        <v>69</v>
      </c>
      <c r="P307" t="str">
        <f>"2170735223                    "</f>
        <v xml:space="preserve">2170735223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8.11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89.23</v>
      </c>
      <c r="BM307">
        <v>13.38</v>
      </c>
      <c r="BN307">
        <v>102.61</v>
      </c>
      <c r="BO307">
        <v>102.61</v>
      </c>
      <c r="BQ307" t="s">
        <v>268</v>
      </c>
      <c r="BR307" t="s">
        <v>71</v>
      </c>
      <c r="BS307" s="1">
        <v>43935</v>
      </c>
      <c r="BT307" s="2">
        <v>0.53055555555555556</v>
      </c>
      <c r="BU307" t="s">
        <v>513</v>
      </c>
      <c r="BV307" t="s">
        <v>80</v>
      </c>
      <c r="BY307">
        <v>1200</v>
      </c>
      <c r="CA307" t="s">
        <v>103</v>
      </c>
      <c r="CC307" t="s">
        <v>100</v>
      </c>
      <c r="CD307">
        <v>6850</v>
      </c>
      <c r="CE307" t="s">
        <v>73</v>
      </c>
      <c r="CF307" s="1">
        <v>43937</v>
      </c>
      <c r="CI307">
        <v>3</v>
      </c>
      <c r="CJ307">
        <v>3</v>
      </c>
      <c r="CK307">
        <v>23</v>
      </c>
      <c r="CL307" t="s">
        <v>74</v>
      </c>
    </row>
    <row r="308" spans="1:90" x14ac:dyDescent="0.25">
      <c r="A308" t="s">
        <v>61</v>
      </c>
      <c r="B308" t="s">
        <v>62</v>
      </c>
      <c r="C308" t="s">
        <v>63</v>
      </c>
      <c r="E308" t="str">
        <f>"FES1162744428"</f>
        <v>FES1162744428</v>
      </c>
      <c r="F308" s="1">
        <v>43929</v>
      </c>
      <c r="G308">
        <v>202010</v>
      </c>
      <c r="H308" t="s">
        <v>64</v>
      </c>
      <c r="I308" t="s">
        <v>65</v>
      </c>
      <c r="J308" t="s">
        <v>66</v>
      </c>
      <c r="K308" t="s">
        <v>67</v>
      </c>
      <c r="L308" t="s">
        <v>212</v>
      </c>
      <c r="M308" t="s">
        <v>213</v>
      </c>
      <c r="N308" t="s">
        <v>554</v>
      </c>
      <c r="O308" t="s">
        <v>69</v>
      </c>
      <c r="P308" t="str">
        <f>"2170735763                    "</f>
        <v xml:space="preserve">2170735763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4.1900000000000004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46.06</v>
      </c>
      <c r="BM308">
        <v>6.91</v>
      </c>
      <c r="BN308">
        <v>52.97</v>
      </c>
      <c r="BO308">
        <v>52.97</v>
      </c>
      <c r="BQ308" t="s">
        <v>555</v>
      </c>
      <c r="BR308" t="s">
        <v>71</v>
      </c>
      <c r="BS308" s="1">
        <v>43930</v>
      </c>
      <c r="BT308" s="2">
        <v>0.48958333333333331</v>
      </c>
      <c r="BU308" t="s">
        <v>367</v>
      </c>
      <c r="BV308" t="s">
        <v>80</v>
      </c>
      <c r="BY308">
        <v>1200</v>
      </c>
      <c r="CC308" t="s">
        <v>213</v>
      </c>
      <c r="CD308">
        <v>3610</v>
      </c>
      <c r="CE308" t="s">
        <v>73</v>
      </c>
      <c r="CF308" s="1">
        <v>43935</v>
      </c>
      <c r="CI308">
        <v>1</v>
      </c>
      <c r="CJ308">
        <v>1</v>
      </c>
      <c r="CK308">
        <v>21</v>
      </c>
      <c r="CL308" t="s">
        <v>74</v>
      </c>
    </row>
    <row r="309" spans="1:90" x14ac:dyDescent="0.25">
      <c r="A309" t="s">
        <v>61</v>
      </c>
      <c r="B309" t="s">
        <v>62</v>
      </c>
      <c r="C309" t="s">
        <v>63</v>
      </c>
      <c r="E309" t="str">
        <f>"FES1162744468"</f>
        <v>FES1162744468</v>
      </c>
      <c r="F309" s="1">
        <v>43929</v>
      </c>
      <c r="G309">
        <v>202010</v>
      </c>
      <c r="H309" t="s">
        <v>64</v>
      </c>
      <c r="I309" t="s">
        <v>65</v>
      </c>
      <c r="J309" t="s">
        <v>66</v>
      </c>
      <c r="K309" t="s">
        <v>67</v>
      </c>
      <c r="L309" t="s">
        <v>556</v>
      </c>
      <c r="M309" t="s">
        <v>557</v>
      </c>
      <c r="N309" t="s">
        <v>558</v>
      </c>
      <c r="O309" t="s">
        <v>69</v>
      </c>
      <c r="P309" t="str">
        <f>"2170734147                    "</f>
        <v xml:space="preserve">2170734147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8.11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89.23</v>
      </c>
      <c r="BM309">
        <v>13.38</v>
      </c>
      <c r="BN309">
        <v>102.61</v>
      </c>
      <c r="BO309">
        <v>102.61</v>
      </c>
      <c r="BQ309" t="s">
        <v>268</v>
      </c>
      <c r="BR309" t="s">
        <v>71</v>
      </c>
      <c r="BS309" s="1">
        <v>43936</v>
      </c>
      <c r="BT309" s="2">
        <v>0.41666666666666669</v>
      </c>
      <c r="BU309" t="s">
        <v>559</v>
      </c>
      <c r="BV309" t="s">
        <v>80</v>
      </c>
      <c r="BY309">
        <v>1200</v>
      </c>
      <c r="CC309" t="s">
        <v>557</v>
      </c>
      <c r="CD309">
        <v>7380</v>
      </c>
      <c r="CE309" t="s">
        <v>73</v>
      </c>
      <c r="CF309" s="1">
        <v>43943</v>
      </c>
      <c r="CI309">
        <v>4</v>
      </c>
      <c r="CJ309">
        <v>4</v>
      </c>
      <c r="CK309">
        <v>23</v>
      </c>
      <c r="CL309" t="s">
        <v>74</v>
      </c>
    </row>
    <row r="310" spans="1:90" x14ac:dyDescent="0.25">
      <c r="A310" t="s">
        <v>61</v>
      </c>
      <c r="B310" t="s">
        <v>62</v>
      </c>
      <c r="C310" t="s">
        <v>63</v>
      </c>
      <c r="E310" t="str">
        <f>"FES1162744483"</f>
        <v>FES1162744483</v>
      </c>
      <c r="F310" s="1">
        <v>43929</v>
      </c>
      <c r="G310">
        <v>202010</v>
      </c>
      <c r="H310" t="s">
        <v>64</v>
      </c>
      <c r="I310" t="s">
        <v>65</v>
      </c>
      <c r="J310" t="s">
        <v>66</v>
      </c>
      <c r="K310" t="s">
        <v>67</v>
      </c>
      <c r="L310" t="s">
        <v>92</v>
      </c>
      <c r="M310" t="s">
        <v>93</v>
      </c>
      <c r="N310" t="s">
        <v>165</v>
      </c>
      <c r="O310" t="s">
        <v>69</v>
      </c>
      <c r="P310" t="str">
        <f>"2170735839                    "</f>
        <v xml:space="preserve">2170735839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4.1900000000000004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G310">
        <v>0</v>
      </c>
      <c r="BH310">
        <v>1</v>
      </c>
      <c r="BI310">
        <v>1</v>
      </c>
      <c r="BJ310">
        <v>0.2</v>
      </c>
      <c r="BK310">
        <v>1</v>
      </c>
      <c r="BL310">
        <v>46.06</v>
      </c>
      <c r="BM310">
        <v>6.91</v>
      </c>
      <c r="BN310">
        <v>52.97</v>
      </c>
      <c r="BO310">
        <v>52.97</v>
      </c>
      <c r="BQ310" t="s">
        <v>70</v>
      </c>
      <c r="BR310" t="s">
        <v>71</v>
      </c>
      <c r="BS310" s="1">
        <v>43930</v>
      </c>
      <c r="BT310" s="2">
        <v>0.30486111111111108</v>
      </c>
      <c r="BU310" t="s">
        <v>166</v>
      </c>
      <c r="BV310" t="s">
        <v>80</v>
      </c>
      <c r="BY310">
        <v>1200</v>
      </c>
      <c r="CA310" t="s">
        <v>167</v>
      </c>
      <c r="CC310" t="s">
        <v>93</v>
      </c>
      <c r="CD310">
        <v>7530</v>
      </c>
      <c r="CE310" t="s">
        <v>73</v>
      </c>
      <c r="CF310" s="1">
        <v>43935</v>
      </c>
      <c r="CI310">
        <v>1</v>
      </c>
      <c r="CJ310">
        <v>0</v>
      </c>
      <c r="CK310">
        <v>21</v>
      </c>
      <c r="CL310" t="s">
        <v>74</v>
      </c>
    </row>
    <row r="311" spans="1:90" x14ac:dyDescent="0.25">
      <c r="A311" t="s">
        <v>61</v>
      </c>
      <c r="B311" t="s">
        <v>62</v>
      </c>
      <c r="C311" t="s">
        <v>63</v>
      </c>
      <c r="E311" t="str">
        <f>"FES1162744494"</f>
        <v>FES1162744494</v>
      </c>
      <c r="F311" s="1">
        <v>43929</v>
      </c>
      <c r="G311">
        <v>202010</v>
      </c>
      <c r="H311" t="s">
        <v>64</v>
      </c>
      <c r="I311" t="s">
        <v>65</v>
      </c>
      <c r="J311" t="s">
        <v>66</v>
      </c>
      <c r="K311" t="s">
        <v>67</v>
      </c>
      <c r="L311" t="s">
        <v>151</v>
      </c>
      <c r="M311" t="s">
        <v>152</v>
      </c>
      <c r="N311" t="s">
        <v>560</v>
      </c>
      <c r="O311" t="s">
        <v>69</v>
      </c>
      <c r="P311" t="str">
        <f>"2170735846                    "</f>
        <v xml:space="preserve">2170735846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4.1900000000000004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46.06</v>
      </c>
      <c r="BM311">
        <v>6.91</v>
      </c>
      <c r="BN311">
        <v>52.97</v>
      </c>
      <c r="BO311">
        <v>52.97</v>
      </c>
      <c r="BQ311" t="s">
        <v>70</v>
      </c>
      <c r="BR311" t="s">
        <v>71</v>
      </c>
      <c r="BS311" s="1">
        <v>43935</v>
      </c>
      <c r="BT311" s="2">
        <v>8.3333333333333329E-2</v>
      </c>
      <c r="BU311" t="s">
        <v>561</v>
      </c>
      <c r="BV311" t="s">
        <v>74</v>
      </c>
      <c r="BY311">
        <v>1200</v>
      </c>
      <c r="CC311" t="s">
        <v>152</v>
      </c>
      <c r="CD311">
        <v>3201</v>
      </c>
      <c r="CE311" t="s">
        <v>73</v>
      </c>
      <c r="CF311" s="1">
        <v>43937</v>
      </c>
      <c r="CI311">
        <v>1</v>
      </c>
      <c r="CJ311">
        <v>4</v>
      </c>
      <c r="CK311">
        <v>21</v>
      </c>
      <c r="CL311" t="s">
        <v>74</v>
      </c>
    </row>
    <row r="312" spans="1:90" x14ac:dyDescent="0.25">
      <c r="A312" t="s">
        <v>61</v>
      </c>
      <c r="B312" t="s">
        <v>62</v>
      </c>
      <c r="C312" t="s">
        <v>63</v>
      </c>
      <c r="E312" t="str">
        <f>"FES1162744469"</f>
        <v>FES1162744469</v>
      </c>
      <c r="F312" s="1">
        <v>43929</v>
      </c>
      <c r="G312">
        <v>202010</v>
      </c>
      <c r="H312" t="s">
        <v>64</v>
      </c>
      <c r="I312" t="s">
        <v>65</v>
      </c>
      <c r="J312" t="s">
        <v>66</v>
      </c>
      <c r="K312" t="s">
        <v>67</v>
      </c>
      <c r="L312" t="s">
        <v>92</v>
      </c>
      <c r="M312" t="s">
        <v>93</v>
      </c>
      <c r="N312" t="s">
        <v>562</v>
      </c>
      <c r="O312" t="s">
        <v>69</v>
      </c>
      <c r="P312" t="str">
        <f>"2170734245                    "</f>
        <v xml:space="preserve">2170734245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4.1900000000000004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G312">
        <v>0</v>
      </c>
      <c r="BH312">
        <v>1</v>
      </c>
      <c r="BI312">
        <v>1</v>
      </c>
      <c r="BJ312">
        <v>0.2</v>
      </c>
      <c r="BK312">
        <v>1</v>
      </c>
      <c r="BL312">
        <v>46.06</v>
      </c>
      <c r="BM312">
        <v>6.91</v>
      </c>
      <c r="BN312">
        <v>52.97</v>
      </c>
      <c r="BO312">
        <v>52.97</v>
      </c>
      <c r="BQ312" t="s">
        <v>78</v>
      </c>
      <c r="BR312" t="s">
        <v>71</v>
      </c>
      <c r="BS312" s="1">
        <v>43930</v>
      </c>
      <c r="BT312" s="2">
        <v>0.4465277777777778</v>
      </c>
      <c r="BU312" t="s">
        <v>563</v>
      </c>
      <c r="BV312" t="s">
        <v>80</v>
      </c>
      <c r="BY312">
        <v>1200</v>
      </c>
      <c r="CA312" t="s">
        <v>538</v>
      </c>
      <c r="CC312" t="s">
        <v>93</v>
      </c>
      <c r="CD312">
        <v>7945</v>
      </c>
      <c r="CE312" t="s">
        <v>73</v>
      </c>
      <c r="CF312" s="1">
        <v>43935</v>
      </c>
      <c r="CI312">
        <v>1</v>
      </c>
      <c r="CJ312">
        <v>0</v>
      </c>
      <c r="CK312">
        <v>21</v>
      </c>
      <c r="CL312" t="s">
        <v>74</v>
      </c>
    </row>
    <row r="313" spans="1:90" x14ac:dyDescent="0.25">
      <c r="A313" t="s">
        <v>61</v>
      </c>
      <c r="B313" t="s">
        <v>62</v>
      </c>
      <c r="C313" t="s">
        <v>63</v>
      </c>
      <c r="E313" t="str">
        <f>"FES1162744446"</f>
        <v>FES1162744446</v>
      </c>
      <c r="F313" s="1">
        <v>43929</v>
      </c>
      <c r="G313">
        <v>202010</v>
      </c>
      <c r="H313" t="s">
        <v>64</v>
      </c>
      <c r="I313" t="s">
        <v>65</v>
      </c>
      <c r="J313" t="s">
        <v>66</v>
      </c>
      <c r="K313" t="s">
        <v>67</v>
      </c>
      <c r="L313" t="s">
        <v>564</v>
      </c>
      <c r="M313" t="s">
        <v>565</v>
      </c>
      <c r="N313" t="s">
        <v>566</v>
      </c>
      <c r="O313" t="s">
        <v>69</v>
      </c>
      <c r="P313" t="str">
        <f>"2170735795                    "</f>
        <v xml:space="preserve">2170735795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8.11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G313">
        <v>0</v>
      </c>
      <c r="BH313">
        <v>1</v>
      </c>
      <c r="BI313">
        <v>1.2</v>
      </c>
      <c r="BJ313">
        <v>0.8</v>
      </c>
      <c r="BK313">
        <v>1.5</v>
      </c>
      <c r="BL313">
        <v>89.23</v>
      </c>
      <c r="BM313">
        <v>13.38</v>
      </c>
      <c r="BN313">
        <v>102.61</v>
      </c>
      <c r="BO313">
        <v>102.61</v>
      </c>
      <c r="BQ313" t="s">
        <v>268</v>
      </c>
      <c r="BR313" t="s">
        <v>71</v>
      </c>
      <c r="BS313" s="1">
        <v>43935</v>
      </c>
      <c r="BT313" s="2">
        <v>0.39583333333333331</v>
      </c>
      <c r="BU313" t="s">
        <v>567</v>
      </c>
      <c r="BV313" t="s">
        <v>74</v>
      </c>
      <c r="BY313">
        <v>3856.86</v>
      </c>
      <c r="CA313" t="s">
        <v>568</v>
      </c>
      <c r="CC313" t="s">
        <v>565</v>
      </c>
      <c r="CD313">
        <v>9650</v>
      </c>
      <c r="CE313" t="s">
        <v>91</v>
      </c>
      <c r="CF313" s="1">
        <v>43936</v>
      </c>
      <c r="CI313">
        <v>1</v>
      </c>
      <c r="CJ313">
        <v>4</v>
      </c>
      <c r="CK313">
        <v>23</v>
      </c>
      <c r="CL313" t="s">
        <v>74</v>
      </c>
    </row>
    <row r="314" spans="1:90" x14ac:dyDescent="0.25">
      <c r="A314" t="s">
        <v>61</v>
      </c>
      <c r="B314" t="s">
        <v>62</v>
      </c>
      <c r="C314" t="s">
        <v>63</v>
      </c>
      <c r="E314" t="str">
        <f>"FES1162744091"</f>
        <v>FES1162744091</v>
      </c>
      <c r="F314" s="1">
        <v>43929</v>
      </c>
      <c r="G314">
        <v>202010</v>
      </c>
      <c r="H314" t="s">
        <v>64</v>
      </c>
      <c r="I314" t="s">
        <v>65</v>
      </c>
      <c r="J314" t="s">
        <v>66</v>
      </c>
      <c r="K314" t="s">
        <v>67</v>
      </c>
      <c r="L314" t="s">
        <v>75</v>
      </c>
      <c r="M314" t="s">
        <v>76</v>
      </c>
      <c r="N314" t="s">
        <v>569</v>
      </c>
      <c r="O314" t="s">
        <v>69</v>
      </c>
      <c r="P314" t="str">
        <f>"2170734887                    "</f>
        <v xml:space="preserve">2170734887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3.27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G314">
        <v>0</v>
      </c>
      <c r="BH314">
        <v>1</v>
      </c>
      <c r="BI314">
        <v>2</v>
      </c>
      <c r="BJ314">
        <v>0.9</v>
      </c>
      <c r="BK314">
        <v>2</v>
      </c>
      <c r="BL314">
        <v>35.979999999999997</v>
      </c>
      <c r="BM314">
        <v>5.4</v>
      </c>
      <c r="BN314">
        <v>41.38</v>
      </c>
      <c r="BO314">
        <v>41.38</v>
      </c>
      <c r="BQ314" t="s">
        <v>78</v>
      </c>
      <c r="BR314" t="s">
        <v>71</v>
      </c>
      <c r="BS314" s="1">
        <v>43930</v>
      </c>
      <c r="BT314" s="2">
        <v>0.41666666666666669</v>
      </c>
      <c r="BU314" t="s">
        <v>570</v>
      </c>
      <c r="BV314" t="s">
        <v>80</v>
      </c>
      <c r="BY314">
        <v>4495.08</v>
      </c>
      <c r="CC314" t="s">
        <v>76</v>
      </c>
      <c r="CD314">
        <v>1459</v>
      </c>
      <c r="CE314" t="s">
        <v>73</v>
      </c>
      <c r="CF314" s="1">
        <v>43936</v>
      </c>
      <c r="CI314">
        <v>1</v>
      </c>
      <c r="CJ314">
        <v>1</v>
      </c>
      <c r="CK314">
        <v>22</v>
      </c>
      <c r="CL314" t="s">
        <v>74</v>
      </c>
    </row>
    <row r="315" spans="1:90" x14ac:dyDescent="0.25">
      <c r="A315" t="s">
        <v>61</v>
      </c>
      <c r="B315" t="s">
        <v>62</v>
      </c>
      <c r="C315" t="s">
        <v>63</v>
      </c>
      <c r="E315" t="str">
        <f>"FES1162744447"</f>
        <v>FES1162744447</v>
      </c>
      <c r="F315" s="1">
        <v>43929</v>
      </c>
      <c r="G315">
        <v>202010</v>
      </c>
      <c r="H315" t="s">
        <v>64</v>
      </c>
      <c r="I315" t="s">
        <v>65</v>
      </c>
      <c r="J315" t="s">
        <v>66</v>
      </c>
      <c r="K315" t="s">
        <v>67</v>
      </c>
      <c r="L315" t="s">
        <v>238</v>
      </c>
      <c r="M315" t="s">
        <v>239</v>
      </c>
      <c r="N315" t="s">
        <v>240</v>
      </c>
      <c r="O315" t="s">
        <v>69</v>
      </c>
      <c r="P315" t="str">
        <f>"2170735801                    "</f>
        <v xml:space="preserve">2170735801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4.1900000000000004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G315">
        <v>0</v>
      </c>
      <c r="BH315">
        <v>1</v>
      </c>
      <c r="BI315">
        <v>1</v>
      </c>
      <c r="BJ315">
        <v>0.2</v>
      </c>
      <c r="BK315">
        <v>1</v>
      </c>
      <c r="BL315">
        <v>46.06</v>
      </c>
      <c r="BM315">
        <v>6.91</v>
      </c>
      <c r="BN315">
        <v>52.97</v>
      </c>
      <c r="BO315">
        <v>52.97</v>
      </c>
      <c r="BQ315" t="s">
        <v>70</v>
      </c>
      <c r="BR315" t="s">
        <v>71</v>
      </c>
      <c r="BS315" s="1">
        <v>43930</v>
      </c>
      <c r="BT315" s="2">
        <v>0.40972222222222227</v>
      </c>
      <c r="BU315" t="s">
        <v>571</v>
      </c>
      <c r="BV315" t="s">
        <v>80</v>
      </c>
      <c r="BY315">
        <v>1200</v>
      </c>
      <c r="CA315" t="s">
        <v>242</v>
      </c>
      <c r="CC315" t="s">
        <v>239</v>
      </c>
      <c r="CD315">
        <v>5200</v>
      </c>
      <c r="CE315" t="s">
        <v>73</v>
      </c>
      <c r="CF315" s="1">
        <v>43938</v>
      </c>
      <c r="CI315">
        <v>1</v>
      </c>
      <c r="CJ315">
        <v>1</v>
      </c>
      <c r="CK315">
        <v>21</v>
      </c>
      <c r="CL315" t="s">
        <v>74</v>
      </c>
    </row>
    <row r="316" spans="1:90" x14ac:dyDescent="0.25">
      <c r="A316" t="s">
        <v>61</v>
      </c>
      <c r="B316" t="s">
        <v>62</v>
      </c>
      <c r="C316" t="s">
        <v>63</v>
      </c>
      <c r="E316" t="str">
        <f>"FES1162744490"</f>
        <v>FES1162744490</v>
      </c>
      <c r="F316" s="1">
        <v>43929</v>
      </c>
      <c r="G316">
        <v>202010</v>
      </c>
      <c r="H316" t="s">
        <v>64</v>
      </c>
      <c r="I316" t="s">
        <v>65</v>
      </c>
      <c r="J316" t="s">
        <v>66</v>
      </c>
      <c r="K316" t="s">
        <v>67</v>
      </c>
      <c r="L316" t="s">
        <v>120</v>
      </c>
      <c r="M316" t="s">
        <v>121</v>
      </c>
      <c r="N316" t="s">
        <v>572</v>
      </c>
      <c r="O316" t="s">
        <v>69</v>
      </c>
      <c r="P316" t="str">
        <f>"2170735845                    "</f>
        <v xml:space="preserve">2170735845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12.56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G316">
        <v>0</v>
      </c>
      <c r="BH316">
        <v>1</v>
      </c>
      <c r="BI316">
        <v>5.8</v>
      </c>
      <c r="BJ316">
        <v>1.2</v>
      </c>
      <c r="BK316">
        <v>6</v>
      </c>
      <c r="BL316">
        <v>138.11000000000001</v>
      </c>
      <c r="BM316">
        <v>20.72</v>
      </c>
      <c r="BN316">
        <v>158.83000000000001</v>
      </c>
      <c r="BO316">
        <v>158.83000000000001</v>
      </c>
      <c r="BQ316" t="s">
        <v>78</v>
      </c>
      <c r="BR316" t="s">
        <v>71</v>
      </c>
      <c r="BS316" s="1">
        <v>43936</v>
      </c>
      <c r="BT316" s="2">
        <v>0.48055555555555557</v>
      </c>
      <c r="BU316" t="s">
        <v>573</v>
      </c>
      <c r="BV316" t="s">
        <v>74</v>
      </c>
      <c r="BW316" t="s">
        <v>85</v>
      </c>
      <c r="BX316" t="s">
        <v>128</v>
      </c>
      <c r="BY316">
        <v>6176.3</v>
      </c>
      <c r="CA316" t="s">
        <v>574</v>
      </c>
      <c r="CC316" t="s">
        <v>121</v>
      </c>
      <c r="CD316">
        <v>4051</v>
      </c>
      <c r="CE316" t="s">
        <v>91</v>
      </c>
      <c r="CF316" s="1">
        <v>43937</v>
      </c>
      <c r="CI316">
        <v>1</v>
      </c>
      <c r="CJ316">
        <v>5</v>
      </c>
      <c r="CK316">
        <v>21</v>
      </c>
      <c r="CL316" t="s">
        <v>74</v>
      </c>
    </row>
    <row r="317" spans="1:90" x14ac:dyDescent="0.25">
      <c r="A317" t="s">
        <v>61</v>
      </c>
      <c r="B317" t="s">
        <v>62</v>
      </c>
      <c r="C317" t="s">
        <v>63</v>
      </c>
      <c r="E317" t="str">
        <f>"FES1162744378"</f>
        <v>FES1162744378</v>
      </c>
      <c r="F317" s="1">
        <v>43929</v>
      </c>
      <c r="G317">
        <v>202010</v>
      </c>
      <c r="H317" t="s">
        <v>64</v>
      </c>
      <c r="I317" t="s">
        <v>65</v>
      </c>
      <c r="J317" t="s">
        <v>66</v>
      </c>
      <c r="K317" t="s">
        <v>67</v>
      </c>
      <c r="L317" t="s">
        <v>254</v>
      </c>
      <c r="M317" t="s">
        <v>255</v>
      </c>
      <c r="N317" t="s">
        <v>575</v>
      </c>
      <c r="O317" t="s">
        <v>69</v>
      </c>
      <c r="P317" t="str">
        <f>"2170735725                    "</f>
        <v xml:space="preserve">2170735725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13.6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G317">
        <v>0</v>
      </c>
      <c r="BH317">
        <v>1</v>
      </c>
      <c r="BI317">
        <v>6.4</v>
      </c>
      <c r="BJ317">
        <v>1.6</v>
      </c>
      <c r="BK317">
        <v>6.5</v>
      </c>
      <c r="BL317">
        <v>149.61000000000001</v>
      </c>
      <c r="BM317">
        <v>22.44</v>
      </c>
      <c r="BN317">
        <v>172.05</v>
      </c>
      <c r="BO317">
        <v>172.05</v>
      </c>
      <c r="BQ317" t="s">
        <v>70</v>
      </c>
      <c r="BR317" t="s">
        <v>71</v>
      </c>
      <c r="BS317" s="1">
        <v>43930</v>
      </c>
      <c r="BT317" s="2">
        <v>0.41666666666666669</v>
      </c>
      <c r="BU317" t="s">
        <v>576</v>
      </c>
      <c r="BV317" t="s">
        <v>80</v>
      </c>
      <c r="BY317">
        <v>8213.4</v>
      </c>
      <c r="CC317" t="s">
        <v>255</v>
      </c>
      <c r="CD317">
        <v>1</v>
      </c>
      <c r="CE317" t="s">
        <v>91</v>
      </c>
      <c r="CF317" s="1">
        <v>43936</v>
      </c>
      <c r="CI317">
        <v>1</v>
      </c>
      <c r="CJ317">
        <v>1</v>
      </c>
      <c r="CK317">
        <v>21</v>
      </c>
      <c r="CL317" t="s">
        <v>74</v>
      </c>
    </row>
    <row r="318" spans="1:90" x14ac:dyDescent="0.25">
      <c r="A318" t="s">
        <v>61</v>
      </c>
      <c r="B318" t="s">
        <v>62</v>
      </c>
      <c r="C318" t="s">
        <v>63</v>
      </c>
      <c r="E318" t="str">
        <f>"FES1162744427"</f>
        <v>FES1162744427</v>
      </c>
      <c r="F318" s="1">
        <v>43929</v>
      </c>
      <c r="G318">
        <v>202010</v>
      </c>
      <c r="H318" t="s">
        <v>64</v>
      </c>
      <c r="I318" t="s">
        <v>65</v>
      </c>
      <c r="J318" t="s">
        <v>66</v>
      </c>
      <c r="K318" t="s">
        <v>67</v>
      </c>
      <c r="L318" t="s">
        <v>92</v>
      </c>
      <c r="M318" t="s">
        <v>93</v>
      </c>
      <c r="N318" t="s">
        <v>165</v>
      </c>
      <c r="O318" t="s">
        <v>69</v>
      </c>
      <c r="P318" t="str">
        <f>"2170735759                    "</f>
        <v xml:space="preserve">2170735759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4.1900000000000004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G318">
        <v>0</v>
      </c>
      <c r="BH318">
        <v>1</v>
      </c>
      <c r="BI318">
        <v>1</v>
      </c>
      <c r="BJ318">
        <v>0.2</v>
      </c>
      <c r="BK318">
        <v>1</v>
      </c>
      <c r="BL318">
        <v>46.06</v>
      </c>
      <c r="BM318">
        <v>6.91</v>
      </c>
      <c r="BN318">
        <v>52.97</v>
      </c>
      <c r="BO318">
        <v>52.97</v>
      </c>
      <c r="BQ318" t="s">
        <v>70</v>
      </c>
      <c r="BR318" t="s">
        <v>71</v>
      </c>
      <c r="BS318" s="1">
        <v>43930</v>
      </c>
      <c r="BT318" s="2">
        <v>0.30486111111111108</v>
      </c>
      <c r="BU318" t="s">
        <v>166</v>
      </c>
      <c r="BV318" t="s">
        <v>80</v>
      </c>
      <c r="BY318">
        <v>1200</v>
      </c>
      <c r="CA318" t="s">
        <v>167</v>
      </c>
      <c r="CC318" t="s">
        <v>93</v>
      </c>
      <c r="CD318">
        <v>7530</v>
      </c>
      <c r="CE318" t="s">
        <v>73</v>
      </c>
      <c r="CF318" s="1">
        <v>43935</v>
      </c>
      <c r="CI318">
        <v>1</v>
      </c>
      <c r="CJ318">
        <v>0</v>
      </c>
      <c r="CK318">
        <v>21</v>
      </c>
      <c r="CL318" t="s">
        <v>74</v>
      </c>
    </row>
    <row r="319" spans="1:90" x14ac:dyDescent="0.25">
      <c r="A319" t="s">
        <v>61</v>
      </c>
      <c r="B319" t="s">
        <v>62</v>
      </c>
      <c r="C319" t="s">
        <v>63</v>
      </c>
      <c r="E319" t="str">
        <f>"FES1162744474"</f>
        <v>FES1162744474</v>
      </c>
      <c r="F319" s="1">
        <v>43929</v>
      </c>
      <c r="G319">
        <v>202010</v>
      </c>
      <c r="H319" t="s">
        <v>64</v>
      </c>
      <c r="I319" t="s">
        <v>65</v>
      </c>
      <c r="J319" t="s">
        <v>66</v>
      </c>
      <c r="K319" t="s">
        <v>67</v>
      </c>
      <c r="L319" t="s">
        <v>146</v>
      </c>
      <c r="M319" t="s">
        <v>147</v>
      </c>
      <c r="N319" t="s">
        <v>577</v>
      </c>
      <c r="O319" t="s">
        <v>69</v>
      </c>
      <c r="P319" t="str">
        <f>"2170735835                    "</f>
        <v xml:space="preserve">2170735835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4.1900000000000004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G319">
        <v>0</v>
      </c>
      <c r="BH319">
        <v>1</v>
      </c>
      <c r="BI319">
        <v>1.9</v>
      </c>
      <c r="BJ319">
        <v>1.1000000000000001</v>
      </c>
      <c r="BK319">
        <v>2</v>
      </c>
      <c r="BL319">
        <v>46.06</v>
      </c>
      <c r="BM319">
        <v>6.91</v>
      </c>
      <c r="BN319">
        <v>52.97</v>
      </c>
      <c r="BO319">
        <v>52.97</v>
      </c>
      <c r="BQ319" t="s">
        <v>78</v>
      </c>
      <c r="BR319" t="s">
        <v>71</v>
      </c>
      <c r="BS319" s="1">
        <v>43930</v>
      </c>
      <c r="BT319" s="2">
        <v>0.51388888888888895</v>
      </c>
      <c r="BU319" t="s">
        <v>578</v>
      </c>
      <c r="BV319" t="s">
        <v>74</v>
      </c>
      <c r="BW319" t="s">
        <v>124</v>
      </c>
      <c r="BX319" t="s">
        <v>284</v>
      </c>
      <c r="BY319">
        <v>5429.97</v>
      </c>
      <c r="CA319" t="s">
        <v>150</v>
      </c>
      <c r="CC319" t="s">
        <v>147</v>
      </c>
      <c r="CD319">
        <v>6001</v>
      </c>
      <c r="CE319" t="s">
        <v>91</v>
      </c>
      <c r="CF319" s="1">
        <v>43936</v>
      </c>
      <c r="CI319">
        <v>1</v>
      </c>
      <c r="CJ319">
        <v>1</v>
      </c>
      <c r="CK319">
        <v>21</v>
      </c>
      <c r="CL319" t="s">
        <v>74</v>
      </c>
    </row>
    <row r="320" spans="1:90" x14ac:dyDescent="0.25">
      <c r="A320" t="s">
        <v>61</v>
      </c>
      <c r="B320" t="s">
        <v>62</v>
      </c>
      <c r="C320" t="s">
        <v>63</v>
      </c>
      <c r="E320" t="str">
        <f>"FES1162744240"</f>
        <v>FES1162744240</v>
      </c>
      <c r="F320" s="1">
        <v>43929</v>
      </c>
      <c r="G320">
        <v>202010</v>
      </c>
      <c r="H320" t="s">
        <v>64</v>
      </c>
      <c r="I320" t="s">
        <v>65</v>
      </c>
      <c r="J320" t="s">
        <v>66</v>
      </c>
      <c r="K320" t="s">
        <v>67</v>
      </c>
      <c r="L320" t="s">
        <v>92</v>
      </c>
      <c r="M320" t="s">
        <v>93</v>
      </c>
      <c r="N320" t="s">
        <v>165</v>
      </c>
      <c r="O320" t="s">
        <v>69</v>
      </c>
      <c r="P320" t="str">
        <f>"2170735106                    "</f>
        <v xml:space="preserve">2170735106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4.1900000000000004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G320">
        <v>0</v>
      </c>
      <c r="BH320">
        <v>1</v>
      </c>
      <c r="BI320">
        <v>1</v>
      </c>
      <c r="BJ320">
        <v>0.2</v>
      </c>
      <c r="BK320">
        <v>1</v>
      </c>
      <c r="BL320">
        <v>46.06</v>
      </c>
      <c r="BM320">
        <v>6.91</v>
      </c>
      <c r="BN320">
        <v>52.97</v>
      </c>
      <c r="BO320">
        <v>52.97</v>
      </c>
      <c r="BQ320" t="s">
        <v>70</v>
      </c>
      <c r="BR320" t="s">
        <v>71</v>
      </c>
      <c r="BS320" s="1">
        <v>43930</v>
      </c>
      <c r="BT320" s="2">
        <v>0.30486111111111108</v>
      </c>
      <c r="BU320" t="s">
        <v>166</v>
      </c>
      <c r="BV320" t="s">
        <v>80</v>
      </c>
      <c r="BY320">
        <v>1200</v>
      </c>
      <c r="CA320" t="s">
        <v>167</v>
      </c>
      <c r="CC320" t="s">
        <v>93</v>
      </c>
      <c r="CD320">
        <v>7530</v>
      </c>
      <c r="CE320" t="s">
        <v>73</v>
      </c>
      <c r="CF320" s="1">
        <v>43935</v>
      </c>
      <c r="CI320">
        <v>1</v>
      </c>
      <c r="CJ320">
        <v>0</v>
      </c>
      <c r="CK320">
        <v>21</v>
      </c>
      <c r="CL320" t="s">
        <v>74</v>
      </c>
    </row>
    <row r="321" spans="1:90" x14ac:dyDescent="0.25">
      <c r="A321" t="s">
        <v>61</v>
      </c>
      <c r="B321" t="s">
        <v>62</v>
      </c>
      <c r="C321" t="s">
        <v>63</v>
      </c>
      <c r="E321" t="str">
        <f>"FES1162744436"</f>
        <v>FES1162744436</v>
      </c>
      <c r="F321" s="1">
        <v>43929</v>
      </c>
      <c r="G321">
        <v>202010</v>
      </c>
      <c r="H321" t="s">
        <v>64</v>
      </c>
      <c r="I321" t="s">
        <v>65</v>
      </c>
      <c r="J321" t="s">
        <v>66</v>
      </c>
      <c r="K321" t="s">
        <v>67</v>
      </c>
      <c r="L321" t="s">
        <v>75</v>
      </c>
      <c r="M321" t="s">
        <v>76</v>
      </c>
      <c r="N321" t="s">
        <v>308</v>
      </c>
      <c r="O321" t="s">
        <v>69</v>
      </c>
      <c r="P321" t="str">
        <f>"2170734904                    "</f>
        <v xml:space="preserve">2170734904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3.27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G321">
        <v>0</v>
      </c>
      <c r="BH321">
        <v>1</v>
      </c>
      <c r="BI321">
        <v>1</v>
      </c>
      <c r="BJ321">
        <v>0.2</v>
      </c>
      <c r="BK321">
        <v>1</v>
      </c>
      <c r="BL321">
        <v>35.979999999999997</v>
      </c>
      <c r="BM321">
        <v>5.4</v>
      </c>
      <c r="BN321">
        <v>41.38</v>
      </c>
      <c r="BO321">
        <v>41.38</v>
      </c>
      <c r="BQ321" t="s">
        <v>70</v>
      </c>
      <c r="BR321" t="s">
        <v>71</v>
      </c>
      <c r="BS321" s="1">
        <v>43937</v>
      </c>
      <c r="BT321" s="2">
        <v>0.4375</v>
      </c>
      <c r="BU321" t="s">
        <v>483</v>
      </c>
      <c r="BV321" t="s">
        <v>74</v>
      </c>
      <c r="BW321" t="s">
        <v>85</v>
      </c>
      <c r="BX321" t="s">
        <v>203</v>
      </c>
      <c r="BY321">
        <v>1200</v>
      </c>
      <c r="CC321" t="s">
        <v>76</v>
      </c>
      <c r="CD321">
        <v>1459</v>
      </c>
      <c r="CE321" t="s">
        <v>73</v>
      </c>
      <c r="CI321">
        <v>1</v>
      </c>
      <c r="CJ321">
        <v>6</v>
      </c>
      <c r="CK321">
        <v>22</v>
      </c>
      <c r="CL321" t="s">
        <v>74</v>
      </c>
    </row>
    <row r="322" spans="1:90" x14ac:dyDescent="0.25">
      <c r="A322" t="s">
        <v>61</v>
      </c>
      <c r="B322" t="s">
        <v>62</v>
      </c>
      <c r="C322" t="s">
        <v>63</v>
      </c>
      <c r="E322" t="str">
        <f>"FES1162744460"</f>
        <v>FES1162744460</v>
      </c>
      <c r="F322" s="1">
        <v>43929</v>
      </c>
      <c r="G322">
        <v>202010</v>
      </c>
      <c r="H322" t="s">
        <v>64</v>
      </c>
      <c r="I322" t="s">
        <v>65</v>
      </c>
      <c r="J322" t="s">
        <v>66</v>
      </c>
      <c r="K322" t="s">
        <v>67</v>
      </c>
      <c r="L322" t="s">
        <v>81</v>
      </c>
      <c r="M322" t="s">
        <v>82</v>
      </c>
      <c r="N322" t="s">
        <v>83</v>
      </c>
      <c r="O322" t="s">
        <v>69</v>
      </c>
      <c r="P322" t="str">
        <f>"2170734672                    "</f>
        <v xml:space="preserve">2170734672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13.6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G322">
        <v>0</v>
      </c>
      <c r="BH322">
        <v>2</v>
      </c>
      <c r="BI322">
        <v>6.5</v>
      </c>
      <c r="BJ322">
        <v>6.1</v>
      </c>
      <c r="BK322">
        <v>6.5</v>
      </c>
      <c r="BL322">
        <v>149.61000000000001</v>
      </c>
      <c r="BM322">
        <v>22.44</v>
      </c>
      <c r="BN322">
        <v>172.05</v>
      </c>
      <c r="BO322">
        <v>172.05</v>
      </c>
      <c r="BQ322" t="s">
        <v>78</v>
      </c>
      <c r="BR322" t="s">
        <v>71</v>
      </c>
      <c r="BS322" s="1">
        <v>43930</v>
      </c>
      <c r="BT322" s="2">
        <v>0.41666666666666669</v>
      </c>
      <c r="BU322" t="s">
        <v>373</v>
      </c>
      <c r="BV322" t="s">
        <v>80</v>
      </c>
      <c r="BY322">
        <v>30250.400000000001</v>
      </c>
      <c r="CC322" t="s">
        <v>82</v>
      </c>
      <c r="CD322">
        <v>9300</v>
      </c>
      <c r="CE322" t="s">
        <v>579</v>
      </c>
      <c r="CF322" s="1">
        <v>43936</v>
      </c>
      <c r="CI322">
        <v>1</v>
      </c>
      <c r="CJ322">
        <v>1</v>
      </c>
      <c r="CK322">
        <v>21</v>
      </c>
      <c r="CL322" t="s">
        <v>74</v>
      </c>
    </row>
    <row r="323" spans="1:90" x14ac:dyDescent="0.25">
      <c r="A323" t="s">
        <v>61</v>
      </c>
      <c r="B323" t="s">
        <v>62</v>
      </c>
      <c r="C323" t="s">
        <v>63</v>
      </c>
      <c r="E323" t="str">
        <f>"FES1162744435"</f>
        <v>FES1162744435</v>
      </c>
      <c r="F323" s="1">
        <v>43929</v>
      </c>
      <c r="G323">
        <v>202010</v>
      </c>
      <c r="H323" t="s">
        <v>64</v>
      </c>
      <c r="I323" t="s">
        <v>65</v>
      </c>
      <c r="J323" t="s">
        <v>66</v>
      </c>
      <c r="K323" t="s">
        <v>67</v>
      </c>
      <c r="L323" t="s">
        <v>151</v>
      </c>
      <c r="M323" t="s">
        <v>152</v>
      </c>
      <c r="N323" t="s">
        <v>280</v>
      </c>
      <c r="O323" t="s">
        <v>69</v>
      </c>
      <c r="P323" t="str">
        <f>"2170733735                    "</f>
        <v xml:space="preserve">2170733735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5.23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G323">
        <v>0</v>
      </c>
      <c r="BH323">
        <v>1</v>
      </c>
      <c r="BI323">
        <v>2.2000000000000002</v>
      </c>
      <c r="BJ323">
        <v>1</v>
      </c>
      <c r="BK323">
        <v>2.5</v>
      </c>
      <c r="BL323">
        <v>57.56</v>
      </c>
      <c r="BM323">
        <v>8.6300000000000008</v>
      </c>
      <c r="BN323">
        <v>66.19</v>
      </c>
      <c r="BO323">
        <v>66.19</v>
      </c>
      <c r="BQ323" t="s">
        <v>78</v>
      </c>
      <c r="BR323" t="s">
        <v>71</v>
      </c>
      <c r="BS323" s="1">
        <v>43941</v>
      </c>
      <c r="BT323" s="2">
        <v>0.52777777777777779</v>
      </c>
      <c r="BU323" t="s">
        <v>281</v>
      </c>
      <c r="BV323" t="s">
        <v>74</v>
      </c>
      <c r="BY323">
        <v>4932.91</v>
      </c>
      <c r="CC323" t="s">
        <v>152</v>
      </c>
      <c r="CD323">
        <v>3699</v>
      </c>
      <c r="CE323" t="s">
        <v>73</v>
      </c>
      <c r="CF323" s="1">
        <v>43943</v>
      </c>
      <c r="CI323">
        <v>1</v>
      </c>
      <c r="CJ323">
        <v>8</v>
      </c>
      <c r="CK323">
        <v>21</v>
      </c>
      <c r="CL323" t="s">
        <v>74</v>
      </c>
    </row>
    <row r="324" spans="1:90" x14ac:dyDescent="0.25">
      <c r="A324" t="s">
        <v>61</v>
      </c>
      <c r="B324" t="s">
        <v>62</v>
      </c>
      <c r="C324" t="s">
        <v>63</v>
      </c>
      <c r="E324" t="str">
        <f>"009939928202"</f>
        <v>009939928202</v>
      </c>
      <c r="F324" s="1">
        <v>43930</v>
      </c>
      <c r="G324">
        <v>202010</v>
      </c>
      <c r="H324" t="s">
        <v>368</v>
      </c>
      <c r="I324" t="s">
        <v>369</v>
      </c>
      <c r="J324" t="s">
        <v>580</v>
      </c>
      <c r="K324" t="s">
        <v>67</v>
      </c>
      <c r="L324" t="s">
        <v>64</v>
      </c>
      <c r="M324" t="s">
        <v>65</v>
      </c>
      <c r="N324" t="s">
        <v>581</v>
      </c>
      <c r="O324" t="s">
        <v>230</v>
      </c>
      <c r="P324" t="str">
        <f>"019911311224                  "</f>
        <v xml:space="preserve">019911311224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5.89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G324">
        <v>0</v>
      </c>
      <c r="BH324">
        <v>1</v>
      </c>
      <c r="BI324">
        <v>3</v>
      </c>
      <c r="BJ324">
        <v>1.4</v>
      </c>
      <c r="BK324">
        <v>3</v>
      </c>
      <c r="BL324">
        <v>69.77</v>
      </c>
      <c r="BM324">
        <v>10.47</v>
      </c>
      <c r="BN324">
        <v>80.239999999999995</v>
      </c>
      <c r="BO324">
        <v>80.239999999999995</v>
      </c>
      <c r="BQ324" t="s">
        <v>582</v>
      </c>
      <c r="BR324" t="s">
        <v>583</v>
      </c>
      <c r="BS324" s="1">
        <v>43935</v>
      </c>
      <c r="BT324" s="2">
        <v>0.3444444444444445</v>
      </c>
      <c r="BU324" t="s">
        <v>237</v>
      </c>
      <c r="BV324" t="s">
        <v>80</v>
      </c>
      <c r="BY324">
        <v>6750</v>
      </c>
      <c r="CA324" t="s">
        <v>193</v>
      </c>
      <c r="CC324" t="s">
        <v>65</v>
      </c>
      <c r="CD324">
        <v>1619</v>
      </c>
      <c r="CE324" t="s">
        <v>91</v>
      </c>
      <c r="CF324" s="1">
        <v>43936</v>
      </c>
      <c r="CI324">
        <v>1</v>
      </c>
      <c r="CJ324">
        <v>3</v>
      </c>
      <c r="CK324" t="s">
        <v>584</v>
      </c>
      <c r="CL324" t="s">
        <v>74</v>
      </c>
    </row>
    <row r="325" spans="1:90" x14ac:dyDescent="0.25">
      <c r="A325" t="s">
        <v>61</v>
      </c>
      <c r="B325" t="s">
        <v>62</v>
      </c>
      <c r="C325" t="s">
        <v>63</v>
      </c>
      <c r="E325" t="str">
        <f>"FES1162744475"</f>
        <v>FES1162744475</v>
      </c>
      <c r="F325" s="1">
        <v>43929</v>
      </c>
      <c r="G325">
        <v>202010</v>
      </c>
      <c r="H325" t="s">
        <v>64</v>
      </c>
      <c r="I325" t="s">
        <v>65</v>
      </c>
      <c r="J325" t="s">
        <v>66</v>
      </c>
      <c r="K325" t="s">
        <v>67</v>
      </c>
      <c r="L325" t="s">
        <v>151</v>
      </c>
      <c r="M325" t="s">
        <v>152</v>
      </c>
      <c r="N325" t="s">
        <v>383</v>
      </c>
      <c r="O325" t="s">
        <v>69</v>
      </c>
      <c r="P325" t="str">
        <f>"2170735836                    "</f>
        <v xml:space="preserve">2170735836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4.1900000000000004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G325">
        <v>0</v>
      </c>
      <c r="BH325">
        <v>1</v>
      </c>
      <c r="BI325">
        <v>1.2</v>
      </c>
      <c r="BJ325">
        <v>1.5</v>
      </c>
      <c r="BK325">
        <v>1.5</v>
      </c>
      <c r="BL325">
        <v>46.06</v>
      </c>
      <c r="BM325">
        <v>6.91</v>
      </c>
      <c r="BN325">
        <v>52.97</v>
      </c>
      <c r="BO325">
        <v>52.97</v>
      </c>
      <c r="BQ325" t="s">
        <v>268</v>
      </c>
      <c r="BR325" t="s">
        <v>71</v>
      </c>
      <c r="BS325" s="1">
        <v>43930</v>
      </c>
      <c r="BT325" s="2">
        <v>0.41666666666666669</v>
      </c>
      <c r="BU325" t="s">
        <v>481</v>
      </c>
      <c r="BV325" t="s">
        <v>80</v>
      </c>
      <c r="BY325">
        <v>7657.34</v>
      </c>
      <c r="CC325" t="s">
        <v>152</v>
      </c>
      <c r="CD325">
        <v>3201</v>
      </c>
      <c r="CE325" t="s">
        <v>91</v>
      </c>
      <c r="CF325" s="1">
        <v>43937</v>
      </c>
      <c r="CI325">
        <v>1</v>
      </c>
      <c r="CJ325">
        <v>1</v>
      </c>
      <c r="CK325">
        <v>21</v>
      </c>
      <c r="CL325" t="s">
        <v>74</v>
      </c>
    </row>
    <row r="326" spans="1:90" x14ac:dyDescent="0.25">
      <c r="A326" t="s">
        <v>61</v>
      </c>
      <c r="B326" t="s">
        <v>62</v>
      </c>
      <c r="C326" t="s">
        <v>63</v>
      </c>
      <c r="E326" t="str">
        <f>"FES1162744905"</f>
        <v>FES1162744905</v>
      </c>
      <c r="F326" s="1">
        <v>43937</v>
      </c>
      <c r="G326">
        <v>202010</v>
      </c>
      <c r="H326" t="s">
        <v>64</v>
      </c>
      <c r="I326" t="s">
        <v>65</v>
      </c>
      <c r="J326" t="s">
        <v>66</v>
      </c>
      <c r="K326" t="s">
        <v>67</v>
      </c>
      <c r="L326" t="s">
        <v>151</v>
      </c>
      <c r="M326" t="s">
        <v>152</v>
      </c>
      <c r="N326" t="s">
        <v>585</v>
      </c>
      <c r="O326" t="s">
        <v>69</v>
      </c>
      <c r="P326" t="str">
        <f>"2170736137                    "</f>
        <v xml:space="preserve">2170736137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4.1900000000000004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G326">
        <v>0</v>
      </c>
      <c r="BH326">
        <v>1</v>
      </c>
      <c r="BI326">
        <v>1</v>
      </c>
      <c r="BJ326">
        <v>0.2</v>
      </c>
      <c r="BK326">
        <v>1</v>
      </c>
      <c r="BL326">
        <v>46.06</v>
      </c>
      <c r="BM326">
        <v>6.91</v>
      </c>
      <c r="BN326">
        <v>52.97</v>
      </c>
      <c r="BO326">
        <v>52.97</v>
      </c>
      <c r="BQ326" t="s">
        <v>70</v>
      </c>
      <c r="BR326" t="s">
        <v>71</v>
      </c>
      <c r="BS326" s="1">
        <v>43941</v>
      </c>
      <c r="BT326" s="2">
        <v>0.41666666666666669</v>
      </c>
      <c r="BU326" t="s">
        <v>586</v>
      </c>
      <c r="BV326" t="s">
        <v>74</v>
      </c>
      <c r="BY326">
        <v>1200</v>
      </c>
      <c r="CC326" t="s">
        <v>152</v>
      </c>
      <c r="CD326">
        <v>3212</v>
      </c>
      <c r="CE326" t="s">
        <v>73</v>
      </c>
      <c r="CF326" s="1">
        <v>43943</v>
      </c>
      <c r="CI326">
        <v>1</v>
      </c>
      <c r="CJ326">
        <v>2</v>
      </c>
      <c r="CK326">
        <v>21</v>
      </c>
      <c r="CL326" t="s">
        <v>74</v>
      </c>
    </row>
    <row r="327" spans="1:90" x14ac:dyDescent="0.25">
      <c r="A327" t="s">
        <v>61</v>
      </c>
      <c r="B327" t="s">
        <v>62</v>
      </c>
      <c r="C327" t="s">
        <v>63</v>
      </c>
      <c r="E327" t="str">
        <f>"FES1162744888"</f>
        <v>FES1162744888</v>
      </c>
      <c r="F327" s="1">
        <v>43937</v>
      </c>
      <c r="G327">
        <v>202010</v>
      </c>
      <c r="H327" t="s">
        <v>64</v>
      </c>
      <c r="I327" t="s">
        <v>65</v>
      </c>
      <c r="J327" t="s">
        <v>66</v>
      </c>
      <c r="K327" t="s">
        <v>67</v>
      </c>
      <c r="L327" t="s">
        <v>254</v>
      </c>
      <c r="M327" t="s">
        <v>255</v>
      </c>
      <c r="N327" t="s">
        <v>587</v>
      </c>
      <c r="O327" t="s">
        <v>69</v>
      </c>
      <c r="P327" t="str">
        <f>"2170735968                    "</f>
        <v xml:space="preserve">2170735968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29.29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G327">
        <v>0</v>
      </c>
      <c r="BH327">
        <v>2</v>
      </c>
      <c r="BI327">
        <v>13.6</v>
      </c>
      <c r="BJ327">
        <v>4.5999999999999996</v>
      </c>
      <c r="BK327">
        <v>14</v>
      </c>
      <c r="BL327">
        <v>322.2</v>
      </c>
      <c r="BM327">
        <v>48.33</v>
      </c>
      <c r="BN327">
        <v>370.53</v>
      </c>
      <c r="BO327">
        <v>370.53</v>
      </c>
      <c r="BQ327" t="s">
        <v>78</v>
      </c>
      <c r="BR327" t="s">
        <v>71</v>
      </c>
      <c r="BS327" s="1">
        <v>43938</v>
      </c>
      <c r="BT327" s="2">
        <v>0.4375</v>
      </c>
      <c r="BU327" t="s">
        <v>588</v>
      </c>
      <c r="BV327" t="s">
        <v>80</v>
      </c>
      <c r="BY327">
        <v>23012.14</v>
      </c>
      <c r="CA327" t="s">
        <v>542</v>
      </c>
      <c r="CC327" t="s">
        <v>255</v>
      </c>
      <c r="CD327">
        <v>117</v>
      </c>
      <c r="CE327" t="s">
        <v>381</v>
      </c>
      <c r="CF327" s="1">
        <v>43942</v>
      </c>
      <c r="CI327">
        <v>1</v>
      </c>
      <c r="CJ327">
        <v>1</v>
      </c>
      <c r="CK327">
        <v>21</v>
      </c>
      <c r="CL327" t="s">
        <v>74</v>
      </c>
    </row>
    <row r="328" spans="1:90" x14ac:dyDescent="0.25">
      <c r="A328" t="s">
        <v>61</v>
      </c>
      <c r="B328" t="s">
        <v>62</v>
      </c>
      <c r="C328" t="s">
        <v>63</v>
      </c>
      <c r="E328" t="str">
        <f>"FES1162744878"</f>
        <v>FES1162744878</v>
      </c>
      <c r="F328" s="1">
        <v>43937</v>
      </c>
      <c r="G328">
        <v>202010</v>
      </c>
      <c r="H328" t="s">
        <v>64</v>
      </c>
      <c r="I328" t="s">
        <v>65</v>
      </c>
      <c r="J328" t="s">
        <v>66</v>
      </c>
      <c r="K328" t="s">
        <v>67</v>
      </c>
      <c r="L328" t="s">
        <v>81</v>
      </c>
      <c r="M328" t="s">
        <v>82</v>
      </c>
      <c r="N328" t="s">
        <v>83</v>
      </c>
      <c r="O328" t="s">
        <v>69</v>
      </c>
      <c r="P328" t="str">
        <f>"2170736113                    "</f>
        <v xml:space="preserve">2170736113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4.1900000000000004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>
        <v>46.06</v>
      </c>
      <c r="BM328">
        <v>6.91</v>
      </c>
      <c r="BN328">
        <v>52.97</v>
      </c>
      <c r="BO328">
        <v>52.97</v>
      </c>
      <c r="BR328" t="s">
        <v>71</v>
      </c>
      <c r="BS328" s="1">
        <v>43941</v>
      </c>
      <c r="BT328" s="2">
        <v>0.35069444444444442</v>
      </c>
      <c r="BU328" t="s">
        <v>589</v>
      </c>
      <c r="BV328" t="s">
        <v>74</v>
      </c>
      <c r="BW328" t="s">
        <v>85</v>
      </c>
      <c r="BX328" t="s">
        <v>86</v>
      </c>
      <c r="BY328">
        <v>1200</v>
      </c>
      <c r="CC328" t="s">
        <v>82</v>
      </c>
      <c r="CD328">
        <v>9300</v>
      </c>
      <c r="CE328" t="s">
        <v>73</v>
      </c>
      <c r="CF328" s="1">
        <v>43943</v>
      </c>
      <c r="CI328">
        <v>1</v>
      </c>
      <c r="CJ328">
        <v>2</v>
      </c>
      <c r="CK328">
        <v>21</v>
      </c>
      <c r="CL328" t="s">
        <v>74</v>
      </c>
    </row>
    <row r="329" spans="1:90" x14ac:dyDescent="0.25">
      <c r="A329" t="s">
        <v>61</v>
      </c>
      <c r="B329" t="s">
        <v>62</v>
      </c>
      <c r="C329" t="s">
        <v>63</v>
      </c>
      <c r="E329" t="str">
        <f>"FES1162744859"</f>
        <v>FES1162744859</v>
      </c>
      <c r="F329" s="1">
        <v>43937</v>
      </c>
      <c r="G329">
        <v>202010</v>
      </c>
      <c r="H329" t="s">
        <v>64</v>
      </c>
      <c r="I329" t="s">
        <v>65</v>
      </c>
      <c r="J329" t="s">
        <v>66</v>
      </c>
      <c r="K329" t="s">
        <v>67</v>
      </c>
      <c r="L329" t="s">
        <v>225</v>
      </c>
      <c r="M329" t="s">
        <v>226</v>
      </c>
      <c r="N329" t="s">
        <v>280</v>
      </c>
      <c r="O329" t="s">
        <v>69</v>
      </c>
      <c r="P329" t="str">
        <f>"2170736095                    "</f>
        <v xml:space="preserve">2170736095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11.78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G329">
        <v>0</v>
      </c>
      <c r="BH329">
        <v>1</v>
      </c>
      <c r="BI329">
        <v>2.1</v>
      </c>
      <c r="BJ329">
        <v>2.8</v>
      </c>
      <c r="BK329">
        <v>3</v>
      </c>
      <c r="BL329">
        <v>129.54</v>
      </c>
      <c r="BM329">
        <v>19.43</v>
      </c>
      <c r="BN329">
        <v>148.97</v>
      </c>
      <c r="BO329">
        <v>148.97</v>
      </c>
      <c r="BQ329" t="s">
        <v>70</v>
      </c>
      <c r="BR329" t="s">
        <v>71</v>
      </c>
      <c r="BS329" s="1">
        <v>43938</v>
      </c>
      <c r="BT329" s="2">
        <v>0.4375</v>
      </c>
      <c r="BU329" t="s">
        <v>509</v>
      </c>
      <c r="BV329" t="s">
        <v>80</v>
      </c>
      <c r="BY329">
        <v>13817.6</v>
      </c>
      <c r="CC329" t="s">
        <v>226</v>
      </c>
      <c r="CD329">
        <v>1947</v>
      </c>
      <c r="CE329" t="s">
        <v>91</v>
      </c>
      <c r="CF329" s="1">
        <v>43941</v>
      </c>
      <c r="CI329">
        <v>1</v>
      </c>
      <c r="CJ329">
        <v>1</v>
      </c>
      <c r="CK329">
        <v>23</v>
      </c>
      <c r="CL329" t="s">
        <v>74</v>
      </c>
    </row>
    <row r="330" spans="1:90" x14ac:dyDescent="0.25">
      <c r="A330" t="s">
        <v>61</v>
      </c>
      <c r="B330" t="s">
        <v>62</v>
      </c>
      <c r="C330" t="s">
        <v>63</v>
      </c>
      <c r="E330" t="str">
        <f>"FES1162744738"</f>
        <v>FES1162744738</v>
      </c>
      <c r="F330" s="1">
        <v>43935</v>
      </c>
      <c r="G330">
        <v>202010</v>
      </c>
      <c r="H330" t="s">
        <v>64</v>
      </c>
      <c r="I330" t="s">
        <v>65</v>
      </c>
      <c r="J330" t="s">
        <v>66</v>
      </c>
      <c r="K330" t="s">
        <v>67</v>
      </c>
      <c r="L330" t="s">
        <v>92</v>
      </c>
      <c r="M330" t="s">
        <v>93</v>
      </c>
      <c r="N330" t="s">
        <v>94</v>
      </c>
      <c r="O330" t="s">
        <v>69</v>
      </c>
      <c r="P330" t="str">
        <f>"2170735807                    "</f>
        <v xml:space="preserve">2170735807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4.1900000000000004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G330">
        <v>0</v>
      </c>
      <c r="BH330">
        <v>1</v>
      </c>
      <c r="BI330">
        <v>0.5</v>
      </c>
      <c r="BJ330">
        <v>1.7</v>
      </c>
      <c r="BK330">
        <v>2</v>
      </c>
      <c r="BL330">
        <v>46.06</v>
      </c>
      <c r="BM330">
        <v>6.91</v>
      </c>
      <c r="BN330">
        <v>52.97</v>
      </c>
      <c r="BO330">
        <v>52.97</v>
      </c>
      <c r="BQ330" t="s">
        <v>70</v>
      </c>
      <c r="BR330" t="s">
        <v>71</v>
      </c>
      <c r="BS330" s="1">
        <v>43936</v>
      </c>
      <c r="BT330" s="2">
        <v>0.41666666666666669</v>
      </c>
      <c r="BU330" t="s">
        <v>590</v>
      </c>
      <c r="BV330" t="s">
        <v>80</v>
      </c>
      <c r="BY330">
        <v>8637.0499999999993</v>
      </c>
      <c r="CC330" t="s">
        <v>93</v>
      </c>
      <c r="CD330">
        <v>7441</v>
      </c>
      <c r="CE330" t="s">
        <v>91</v>
      </c>
      <c r="CF330" s="1">
        <v>43937</v>
      </c>
      <c r="CI330">
        <v>1</v>
      </c>
      <c r="CJ330">
        <v>1</v>
      </c>
      <c r="CK330">
        <v>21</v>
      </c>
      <c r="CL330" t="s">
        <v>74</v>
      </c>
    </row>
    <row r="331" spans="1:90" x14ac:dyDescent="0.25">
      <c r="A331" t="s">
        <v>61</v>
      </c>
      <c r="B331" t="s">
        <v>62</v>
      </c>
      <c r="C331" t="s">
        <v>63</v>
      </c>
      <c r="E331" t="str">
        <f>"FES1162744914"</f>
        <v>FES1162744914</v>
      </c>
      <c r="F331" s="1">
        <v>43937</v>
      </c>
      <c r="G331">
        <v>202010</v>
      </c>
      <c r="H331" t="s">
        <v>64</v>
      </c>
      <c r="I331" t="s">
        <v>65</v>
      </c>
      <c r="J331" t="s">
        <v>66</v>
      </c>
      <c r="K331" t="s">
        <v>67</v>
      </c>
      <c r="L331" t="s">
        <v>120</v>
      </c>
      <c r="M331" t="s">
        <v>121</v>
      </c>
      <c r="N331" t="s">
        <v>278</v>
      </c>
      <c r="O331" t="s">
        <v>69</v>
      </c>
      <c r="P331" t="str">
        <f>"2170736150                    "</f>
        <v xml:space="preserve">2170736150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4.1900000000000004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G331">
        <v>0</v>
      </c>
      <c r="BH331">
        <v>1</v>
      </c>
      <c r="BI331">
        <v>1</v>
      </c>
      <c r="BJ331">
        <v>0.2</v>
      </c>
      <c r="BK331">
        <v>1</v>
      </c>
      <c r="BL331">
        <v>46.06</v>
      </c>
      <c r="BM331">
        <v>6.91</v>
      </c>
      <c r="BN331">
        <v>52.97</v>
      </c>
      <c r="BO331">
        <v>52.97</v>
      </c>
      <c r="BQ331" t="s">
        <v>70</v>
      </c>
      <c r="BR331" t="s">
        <v>71</v>
      </c>
      <c r="BS331" s="1">
        <v>43938</v>
      </c>
      <c r="BT331" s="2">
        <v>0.54861111111111105</v>
      </c>
      <c r="BU331" t="s">
        <v>591</v>
      </c>
      <c r="BV331" t="s">
        <v>74</v>
      </c>
      <c r="BW331" t="s">
        <v>85</v>
      </c>
      <c r="BX331" t="s">
        <v>128</v>
      </c>
      <c r="BY331">
        <v>1200</v>
      </c>
      <c r="CA331" t="s">
        <v>592</v>
      </c>
      <c r="CC331" t="s">
        <v>121</v>
      </c>
      <c r="CD331">
        <v>4001</v>
      </c>
      <c r="CE331" t="s">
        <v>73</v>
      </c>
      <c r="CF331" s="1">
        <v>43941</v>
      </c>
      <c r="CI331">
        <v>1</v>
      </c>
      <c r="CJ331">
        <v>1</v>
      </c>
      <c r="CK331">
        <v>21</v>
      </c>
      <c r="CL331" t="s">
        <v>74</v>
      </c>
    </row>
    <row r="332" spans="1:90" x14ac:dyDescent="0.25">
      <c r="A332" t="s">
        <v>61</v>
      </c>
      <c r="B332" t="s">
        <v>62</v>
      </c>
      <c r="C332" t="s">
        <v>63</v>
      </c>
      <c r="E332" t="str">
        <f>"FES1162744919"</f>
        <v>FES1162744919</v>
      </c>
      <c r="F332" s="1">
        <v>43937</v>
      </c>
      <c r="G332">
        <v>202010</v>
      </c>
      <c r="H332" t="s">
        <v>64</v>
      </c>
      <c r="I332" t="s">
        <v>65</v>
      </c>
      <c r="J332" t="s">
        <v>66</v>
      </c>
      <c r="K332" t="s">
        <v>67</v>
      </c>
      <c r="L332" t="s">
        <v>212</v>
      </c>
      <c r="M332" t="s">
        <v>213</v>
      </c>
      <c r="N332" t="s">
        <v>593</v>
      </c>
      <c r="O332" t="s">
        <v>69</v>
      </c>
      <c r="P332" t="str">
        <f>"2170734370                    "</f>
        <v xml:space="preserve">2170734370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29.29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G332">
        <v>0</v>
      </c>
      <c r="BH332">
        <v>1</v>
      </c>
      <c r="BI332">
        <v>13.8</v>
      </c>
      <c r="BJ332">
        <v>5.6</v>
      </c>
      <c r="BK332">
        <v>14</v>
      </c>
      <c r="BL332">
        <v>322.2</v>
      </c>
      <c r="BM332">
        <v>48.33</v>
      </c>
      <c r="BN332">
        <v>370.53</v>
      </c>
      <c r="BO332">
        <v>370.53</v>
      </c>
      <c r="BQ332" t="s">
        <v>78</v>
      </c>
      <c r="BR332" t="s">
        <v>71</v>
      </c>
      <c r="BS332" s="1">
        <v>43938</v>
      </c>
      <c r="BT332" s="2">
        <v>0.45555555555555555</v>
      </c>
      <c r="BU332" t="s">
        <v>594</v>
      </c>
      <c r="BV332" t="s">
        <v>80</v>
      </c>
      <c r="BY332">
        <v>28007.1</v>
      </c>
      <c r="CA332" t="s">
        <v>216</v>
      </c>
      <c r="CC332" t="s">
        <v>213</v>
      </c>
      <c r="CD332">
        <v>3610</v>
      </c>
      <c r="CE332" t="s">
        <v>91</v>
      </c>
      <c r="CF332" s="1">
        <v>43941</v>
      </c>
      <c r="CI332">
        <v>1</v>
      </c>
      <c r="CJ332">
        <v>0</v>
      </c>
      <c r="CK332">
        <v>21</v>
      </c>
      <c r="CL332" t="s">
        <v>74</v>
      </c>
    </row>
    <row r="333" spans="1:90" x14ac:dyDescent="0.25">
      <c r="A333" t="s">
        <v>61</v>
      </c>
      <c r="B333" t="s">
        <v>62</v>
      </c>
      <c r="C333" t="s">
        <v>63</v>
      </c>
      <c r="E333" t="str">
        <f>"FES1162744890"</f>
        <v>FES1162744890</v>
      </c>
      <c r="F333" s="1">
        <v>43937</v>
      </c>
      <c r="G333">
        <v>202010</v>
      </c>
      <c r="H333" t="s">
        <v>64</v>
      </c>
      <c r="I333" t="s">
        <v>65</v>
      </c>
      <c r="J333" t="s">
        <v>66</v>
      </c>
      <c r="K333" t="s">
        <v>67</v>
      </c>
      <c r="L333" t="s">
        <v>92</v>
      </c>
      <c r="M333" t="s">
        <v>93</v>
      </c>
      <c r="N333" t="s">
        <v>595</v>
      </c>
      <c r="O333" t="s">
        <v>69</v>
      </c>
      <c r="P333" t="str">
        <f>"2170736085                    "</f>
        <v xml:space="preserve">2170736085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66.95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G333">
        <v>0</v>
      </c>
      <c r="BH333">
        <v>1</v>
      </c>
      <c r="BI333">
        <v>10.1</v>
      </c>
      <c r="BJ333">
        <v>32</v>
      </c>
      <c r="BK333">
        <v>32</v>
      </c>
      <c r="BL333">
        <v>736.42</v>
      </c>
      <c r="BM333">
        <v>110.46</v>
      </c>
      <c r="BN333">
        <v>846.88</v>
      </c>
      <c r="BO333">
        <v>846.88</v>
      </c>
      <c r="BQ333" t="s">
        <v>78</v>
      </c>
      <c r="BR333" t="s">
        <v>71</v>
      </c>
      <c r="BS333" s="1">
        <v>43938</v>
      </c>
      <c r="BT333" s="2">
        <v>0.31666666666666665</v>
      </c>
      <c r="BU333" t="s">
        <v>596</v>
      </c>
      <c r="BV333" t="s">
        <v>80</v>
      </c>
      <c r="BY333">
        <v>160248.38</v>
      </c>
      <c r="CA333" t="s">
        <v>167</v>
      </c>
      <c r="CC333" t="s">
        <v>93</v>
      </c>
      <c r="CD333">
        <v>7500</v>
      </c>
      <c r="CE333" t="s">
        <v>91</v>
      </c>
      <c r="CF333" s="1">
        <v>43941</v>
      </c>
      <c r="CI333">
        <v>1</v>
      </c>
      <c r="CJ333">
        <v>1</v>
      </c>
      <c r="CK333">
        <v>21</v>
      </c>
      <c r="CL333" t="s">
        <v>74</v>
      </c>
    </row>
    <row r="334" spans="1:90" x14ac:dyDescent="0.25">
      <c r="A334" t="s">
        <v>61</v>
      </c>
      <c r="B334" t="s">
        <v>62</v>
      </c>
      <c r="C334" t="s">
        <v>63</v>
      </c>
      <c r="E334" t="str">
        <f>"FES1162744487"</f>
        <v>FES1162744487</v>
      </c>
      <c r="F334" s="1">
        <v>43929</v>
      </c>
      <c r="G334">
        <v>202010</v>
      </c>
      <c r="H334" t="s">
        <v>64</v>
      </c>
      <c r="I334" t="s">
        <v>65</v>
      </c>
      <c r="J334" t="s">
        <v>66</v>
      </c>
      <c r="K334" t="s">
        <v>67</v>
      </c>
      <c r="L334" t="s">
        <v>92</v>
      </c>
      <c r="M334" t="s">
        <v>93</v>
      </c>
      <c r="N334" t="s">
        <v>94</v>
      </c>
      <c r="O334" t="s">
        <v>69</v>
      </c>
      <c r="P334" t="str">
        <f>"2170735842                    "</f>
        <v xml:space="preserve">2170735842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6.28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G334">
        <v>0</v>
      </c>
      <c r="BH334">
        <v>1</v>
      </c>
      <c r="BI334">
        <v>2.7</v>
      </c>
      <c r="BJ334">
        <v>1.3</v>
      </c>
      <c r="BK334">
        <v>3</v>
      </c>
      <c r="BL334">
        <v>69.069999999999993</v>
      </c>
      <c r="BM334">
        <v>10.36</v>
      </c>
      <c r="BN334">
        <v>79.430000000000007</v>
      </c>
      <c r="BO334">
        <v>79.430000000000007</v>
      </c>
      <c r="BQ334" t="s">
        <v>70</v>
      </c>
      <c r="BR334" t="s">
        <v>71</v>
      </c>
      <c r="BS334" s="1">
        <v>43930</v>
      </c>
      <c r="BT334" s="2">
        <v>0.5541666666666667</v>
      </c>
      <c r="BU334" t="s">
        <v>516</v>
      </c>
      <c r="BV334" t="s">
        <v>74</v>
      </c>
      <c r="BW334" t="s">
        <v>96</v>
      </c>
      <c r="BX334" t="s">
        <v>97</v>
      </c>
      <c r="BY334">
        <v>6493.83</v>
      </c>
      <c r="CA334" t="s">
        <v>331</v>
      </c>
      <c r="CC334" t="s">
        <v>93</v>
      </c>
      <c r="CD334">
        <v>7441</v>
      </c>
      <c r="CE334" t="s">
        <v>91</v>
      </c>
      <c r="CF334" s="1">
        <v>43935</v>
      </c>
      <c r="CI334">
        <v>1</v>
      </c>
      <c r="CJ334">
        <v>1</v>
      </c>
      <c r="CK334">
        <v>21</v>
      </c>
      <c r="CL334" t="s">
        <v>74</v>
      </c>
    </row>
    <row r="335" spans="1:90" x14ac:dyDescent="0.25">
      <c r="A335" t="s">
        <v>61</v>
      </c>
      <c r="B335" t="s">
        <v>62</v>
      </c>
      <c r="C335" t="s">
        <v>63</v>
      </c>
      <c r="E335" t="str">
        <f>"FES1162744577"</f>
        <v>FES1162744577</v>
      </c>
      <c r="F335" s="1">
        <v>43930</v>
      </c>
      <c r="G335">
        <v>202010</v>
      </c>
      <c r="H335" t="s">
        <v>64</v>
      </c>
      <c r="I335" t="s">
        <v>65</v>
      </c>
      <c r="J335" t="s">
        <v>66</v>
      </c>
      <c r="K335" t="s">
        <v>67</v>
      </c>
      <c r="L335" t="s">
        <v>177</v>
      </c>
      <c r="M335" t="s">
        <v>178</v>
      </c>
      <c r="N335" t="s">
        <v>179</v>
      </c>
      <c r="O335" t="s">
        <v>69</v>
      </c>
      <c r="P335" t="str">
        <f>"2170735126                    "</f>
        <v xml:space="preserve">2170735126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6.28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G335">
        <v>0</v>
      </c>
      <c r="BH335">
        <v>1</v>
      </c>
      <c r="BI335">
        <v>2.9</v>
      </c>
      <c r="BJ335">
        <v>1.9</v>
      </c>
      <c r="BK335">
        <v>3</v>
      </c>
      <c r="BL335">
        <v>69.069999999999993</v>
      </c>
      <c r="BM335">
        <v>10.36</v>
      </c>
      <c r="BN335">
        <v>79.430000000000007</v>
      </c>
      <c r="BO335">
        <v>79.430000000000007</v>
      </c>
      <c r="BQ335" t="s">
        <v>70</v>
      </c>
      <c r="BR335" t="s">
        <v>71</v>
      </c>
      <c r="BS335" s="1">
        <v>43935</v>
      </c>
      <c r="BT335" s="2">
        <v>0.44861111111111113</v>
      </c>
      <c r="BU335" t="s">
        <v>597</v>
      </c>
      <c r="BV335" t="s">
        <v>80</v>
      </c>
      <c r="BY335">
        <v>9450.14</v>
      </c>
      <c r="CA335" t="s">
        <v>598</v>
      </c>
      <c r="CC335" t="s">
        <v>178</v>
      </c>
      <c r="CD335">
        <v>4302</v>
      </c>
      <c r="CE335" t="s">
        <v>91</v>
      </c>
      <c r="CF335" s="1">
        <v>43936</v>
      </c>
      <c r="CI335">
        <v>1</v>
      </c>
      <c r="CJ335">
        <v>3</v>
      </c>
      <c r="CK335">
        <v>21</v>
      </c>
      <c r="CL335" t="s">
        <v>74</v>
      </c>
    </row>
    <row r="336" spans="1:90" x14ac:dyDescent="0.25">
      <c r="A336" t="s">
        <v>61</v>
      </c>
      <c r="B336" t="s">
        <v>62</v>
      </c>
      <c r="C336" t="s">
        <v>63</v>
      </c>
      <c r="E336" t="str">
        <f>"FES1162744704"</f>
        <v>FES1162744704</v>
      </c>
      <c r="F336" s="1">
        <v>43935</v>
      </c>
      <c r="G336">
        <v>202010</v>
      </c>
      <c r="H336" t="s">
        <v>64</v>
      </c>
      <c r="I336" t="s">
        <v>65</v>
      </c>
      <c r="J336" t="s">
        <v>66</v>
      </c>
      <c r="K336" t="s">
        <v>67</v>
      </c>
      <c r="L336" t="s">
        <v>368</v>
      </c>
      <c r="M336" t="s">
        <v>369</v>
      </c>
      <c r="N336" t="s">
        <v>599</v>
      </c>
      <c r="O336" t="s">
        <v>69</v>
      </c>
      <c r="P336" t="str">
        <f>"2170735041                    "</f>
        <v xml:space="preserve">2170735041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3.27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>
        <v>35.979999999999997</v>
      </c>
      <c r="BM336">
        <v>5.4</v>
      </c>
      <c r="BN336">
        <v>41.38</v>
      </c>
      <c r="BO336">
        <v>41.38</v>
      </c>
      <c r="BQ336" t="s">
        <v>600</v>
      </c>
      <c r="BR336" t="s">
        <v>71</v>
      </c>
      <c r="BS336" s="1">
        <v>43936</v>
      </c>
      <c r="BT336" s="2">
        <v>0.4375</v>
      </c>
      <c r="BU336" t="s">
        <v>601</v>
      </c>
      <c r="BV336" t="s">
        <v>80</v>
      </c>
      <c r="BY336">
        <v>1200</v>
      </c>
      <c r="CA336" t="s">
        <v>428</v>
      </c>
      <c r="CC336" t="s">
        <v>369</v>
      </c>
      <c r="CD336">
        <v>1422</v>
      </c>
      <c r="CE336" t="s">
        <v>73</v>
      </c>
      <c r="CF336" s="1">
        <v>43943</v>
      </c>
      <c r="CI336">
        <v>1</v>
      </c>
      <c r="CJ336">
        <v>1</v>
      </c>
      <c r="CK336">
        <v>22</v>
      </c>
      <c r="CL336" t="s">
        <v>74</v>
      </c>
    </row>
    <row r="337" spans="1:90" x14ac:dyDescent="0.25">
      <c r="A337" t="s">
        <v>61</v>
      </c>
      <c r="B337" t="s">
        <v>62</v>
      </c>
      <c r="C337" t="s">
        <v>63</v>
      </c>
      <c r="E337" t="str">
        <f>"FES1162744621"</f>
        <v>FES1162744621</v>
      </c>
      <c r="F337" s="1">
        <v>43935</v>
      </c>
      <c r="G337">
        <v>202010</v>
      </c>
      <c r="H337" t="s">
        <v>64</v>
      </c>
      <c r="I337" t="s">
        <v>65</v>
      </c>
      <c r="J337" t="s">
        <v>66</v>
      </c>
      <c r="K337" t="s">
        <v>67</v>
      </c>
      <c r="L337" t="s">
        <v>602</v>
      </c>
      <c r="M337" t="s">
        <v>603</v>
      </c>
      <c r="N337" t="s">
        <v>604</v>
      </c>
      <c r="O337" t="s">
        <v>69</v>
      </c>
      <c r="P337" t="str">
        <f>"2170733305                    "</f>
        <v xml:space="preserve">2170733305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3.27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G337">
        <v>0</v>
      </c>
      <c r="BH337">
        <v>1</v>
      </c>
      <c r="BI337">
        <v>1</v>
      </c>
      <c r="BJ337">
        <v>0.2</v>
      </c>
      <c r="BK337">
        <v>1</v>
      </c>
      <c r="BL337">
        <v>35.979999999999997</v>
      </c>
      <c r="BM337">
        <v>5.4</v>
      </c>
      <c r="BN337">
        <v>41.38</v>
      </c>
      <c r="BO337">
        <v>41.38</v>
      </c>
      <c r="BQ337" t="s">
        <v>70</v>
      </c>
      <c r="BR337" t="s">
        <v>71</v>
      </c>
      <c r="BS337" s="1">
        <v>43944</v>
      </c>
      <c r="BT337" s="2">
        <v>0.38263888888888892</v>
      </c>
      <c r="BU337" t="s">
        <v>605</v>
      </c>
      <c r="BV337" t="s">
        <v>74</v>
      </c>
      <c r="BW337" t="s">
        <v>85</v>
      </c>
      <c r="BX337" t="s">
        <v>606</v>
      </c>
      <c r="BY337">
        <v>1200</v>
      </c>
      <c r="CA337" t="s">
        <v>486</v>
      </c>
      <c r="CC337" t="s">
        <v>603</v>
      </c>
      <c r="CD337">
        <v>1501</v>
      </c>
      <c r="CE337" t="s">
        <v>73</v>
      </c>
      <c r="CF337" s="1">
        <v>43945</v>
      </c>
      <c r="CI337">
        <v>1</v>
      </c>
      <c r="CJ337">
        <v>7</v>
      </c>
      <c r="CK337">
        <v>22</v>
      </c>
      <c r="CL337" t="s">
        <v>74</v>
      </c>
    </row>
    <row r="338" spans="1:90" x14ac:dyDescent="0.25">
      <c r="A338" t="s">
        <v>61</v>
      </c>
      <c r="B338" t="s">
        <v>62</v>
      </c>
      <c r="C338" t="s">
        <v>63</v>
      </c>
      <c r="E338" t="str">
        <f>"FES1162744701"</f>
        <v>FES1162744701</v>
      </c>
      <c r="F338" s="1">
        <v>43935</v>
      </c>
      <c r="G338">
        <v>202010</v>
      </c>
      <c r="H338" t="s">
        <v>64</v>
      </c>
      <c r="I338" t="s">
        <v>65</v>
      </c>
      <c r="J338" t="s">
        <v>66</v>
      </c>
      <c r="K338" t="s">
        <v>67</v>
      </c>
      <c r="L338" t="s">
        <v>270</v>
      </c>
      <c r="M338" t="s">
        <v>271</v>
      </c>
      <c r="N338" t="s">
        <v>526</v>
      </c>
      <c r="O338" t="s">
        <v>69</v>
      </c>
      <c r="P338" t="str">
        <f>"2170733880                    "</f>
        <v xml:space="preserve">2170733880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3.27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G338">
        <v>0</v>
      </c>
      <c r="BH338">
        <v>1</v>
      </c>
      <c r="BI338">
        <v>1</v>
      </c>
      <c r="BJ338">
        <v>0.2</v>
      </c>
      <c r="BK338">
        <v>1</v>
      </c>
      <c r="BL338">
        <v>35.979999999999997</v>
      </c>
      <c r="BM338">
        <v>5.4</v>
      </c>
      <c r="BN338">
        <v>41.38</v>
      </c>
      <c r="BO338">
        <v>41.38</v>
      </c>
      <c r="BQ338" t="s">
        <v>268</v>
      </c>
      <c r="BR338" t="s">
        <v>71</v>
      </c>
      <c r="BS338" s="1">
        <v>43936</v>
      </c>
      <c r="BT338" s="2">
        <v>0.34930555555555554</v>
      </c>
      <c r="BU338" t="s">
        <v>607</v>
      </c>
      <c r="BV338" t="s">
        <v>80</v>
      </c>
      <c r="BY338">
        <v>1200</v>
      </c>
      <c r="CA338" t="s">
        <v>486</v>
      </c>
      <c r="CC338" t="s">
        <v>271</v>
      </c>
      <c r="CD338">
        <v>2013</v>
      </c>
      <c r="CE338" t="s">
        <v>73</v>
      </c>
      <c r="CF338" s="1">
        <v>43937</v>
      </c>
      <c r="CI338">
        <v>1</v>
      </c>
      <c r="CJ338">
        <v>1</v>
      </c>
      <c r="CK338">
        <v>22</v>
      </c>
      <c r="CL338" t="s">
        <v>74</v>
      </c>
    </row>
    <row r="339" spans="1:90" x14ac:dyDescent="0.25">
      <c r="A339" t="s">
        <v>61</v>
      </c>
      <c r="B339" t="s">
        <v>62</v>
      </c>
      <c r="C339" t="s">
        <v>63</v>
      </c>
      <c r="E339" t="str">
        <f>"FES1162744632"</f>
        <v>FES1162744632</v>
      </c>
      <c r="F339" s="1">
        <v>43935</v>
      </c>
      <c r="G339">
        <v>202010</v>
      </c>
      <c r="H339" t="s">
        <v>64</v>
      </c>
      <c r="I339" t="s">
        <v>65</v>
      </c>
      <c r="J339" t="s">
        <v>66</v>
      </c>
      <c r="K339" t="s">
        <v>67</v>
      </c>
      <c r="L339" t="s">
        <v>75</v>
      </c>
      <c r="M339" t="s">
        <v>76</v>
      </c>
      <c r="N339" t="s">
        <v>569</v>
      </c>
      <c r="O339" t="s">
        <v>69</v>
      </c>
      <c r="P339" t="str">
        <f>"2170733416                    "</f>
        <v xml:space="preserve">2170733416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3.27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G339">
        <v>0</v>
      </c>
      <c r="BH339">
        <v>1</v>
      </c>
      <c r="BI339">
        <v>1</v>
      </c>
      <c r="BJ339">
        <v>0.2</v>
      </c>
      <c r="BK339">
        <v>1</v>
      </c>
      <c r="BL339">
        <v>35.979999999999997</v>
      </c>
      <c r="BM339">
        <v>5.4</v>
      </c>
      <c r="BN339">
        <v>41.38</v>
      </c>
      <c r="BO339">
        <v>41.38</v>
      </c>
      <c r="BQ339" t="s">
        <v>78</v>
      </c>
      <c r="BR339" t="s">
        <v>71</v>
      </c>
      <c r="BS339" s="1">
        <v>43936</v>
      </c>
      <c r="BT339" s="2">
        <v>0.41666666666666669</v>
      </c>
      <c r="BU339" t="s">
        <v>570</v>
      </c>
      <c r="BV339" t="s">
        <v>80</v>
      </c>
      <c r="BY339">
        <v>1200</v>
      </c>
      <c r="CC339" t="s">
        <v>76</v>
      </c>
      <c r="CD339">
        <v>1459</v>
      </c>
      <c r="CE339" t="s">
        <v>73</v>
      </c>
      <c r="CF339" s="1">
        <v>43943</v>
      </c>
      <c r="CI339">
        <v>1</v>
      </c>
      <c r="CJ339">
        <v>1</v>
      </c>
      <c r="CK339">
        <v>22</v>
      </c>
      <c r="CL339" t="s">
        <v>74</v>
      </c>
    </row>
    <row r="340" spans="1:90" x14ac:dyDescent="0.25">
      <c r="A340" t="s">
        <v>61</v>
      </c>
      <c r="B340" t="s">
        <v>62</v>
      </c>
      <c r="C340" t="s">
        <v>63</v>
      </c>
      <c r="E340" t="str">
        <f>"FES1162744703"</f>
        <v>FES1162744703</v>
      </c>
      <c r="F340" s="1">
        <v>43935</v>
      </c>
      <c r="G340">
        <v>202010</v>
      </c>
      <c r="H340" t="s">
        <v>64</v>
      </c>
      <c r="I340" t="s">
        <v>65</v>
      </c>
      <c r="J340" t="s">
        <v>66</v>
      </c>
      <c r="K340" t="s">
        <v>67</v>
      </c>
      <c r="L340" t="s">
        <v>270</v>
      </c>
      <c r="M340" t="s">
        <v>271</v>
      </c>
      <c r="N340" t="s">
        <v>526</v>
      </c>
      <c r="O340" t="s">
        <v>69</v>
      </c>
      <c r="P340" t="str">
        <f>"2170733948                    "</f>
        <v xml:space="preserve">2170733948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3.27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G340">
        <v>0</v>
      </c>
      <c r="BH340">
        <v>1</v>
      </c>
      <c r="BI340">
        <v>1</v>
      </c>
      <c r="BJ340">
        <v>0.2</v>
      </c>
      <c r="BK340">
        <v>1</v>
      </c>
      <c r="BL340">
        <v>35.979999999999997</v>
      </c>
      <c r="BM340">
        <v>5.4</v>
      </c>
      <c r="BN340">
        <v>41.38</v>
      </c>
      <c r="BO340">
        <v>41.38</v>
      </c>
      <c r="BQ340" t="s">
        <v>268</v>
      </c>
      <c r="BR340" t="s">
        <v>71</v>
      </c>
      <c r="BS340" s="1">
        <v>43936</v>
      </c>
      <c r="BT340" s="2">
        <v>0.34930555555555554</v>
      </c>
      <c r="BU340" t="s">
        <v>607</v>
      </c>
      <c r="BV340" t="s">
        <v>80</v>
      </c>
      <c r="BY340">
        <v>1200</v>
      </c>
      <c r="CA340" t="s">
        <v>486</v>
      </c>
      <c r="CC340" t="s">
        <v>271</v>
      </c>
      <c r="CD340">
        <v>2013</v>
      </c>
      <c r="CE340" t="s">
        <v>73</v>
      </c>
      <c r="CF340" s="1">
        <v>43937</v>
      </c>
      <c r="CI340">
        <v>1</v>
      </c>
      <c r="CJ340">
        <v>1</v>
      </c>
      <c r="CK340">
        <v>22</v>
      </c>
      <c r="CL340" t="s">
        <v>74</v>
      </c>
    </row>
    <row r="341" spans="1:90" x14ac:dyDescent="0.25">
      <c r="A341" t="s">
        <v>61</v>
      </c>
      <c r="B341" t="s">
        <v>62</v>
      </c>
      <c r="C341" t="s">
        <v>63</v>
      </c>
      <c r="E341" t="str">
        <f>"FES1162744663"</f>
        <v>FES1162744663</v>
      </c>
      <c r="F341" s="1">
        <v>43935</v>
      </c>
      <c r="G341">
        <v>202010</v>
      </c>
      <c r="H341" t="s">
        <v>64</v>
      </c>
      <c r="I341" t="s">
        <v>65</v>
      </c>
      <c r="J341" t="s">
        <v>66</v>
      </c>
      <c r="K341" t="s">
        <v>67</v>
      </c>
      <c r="L341" t="s">
        <v>270</v>
      </c>
      <c r="M341" t="s">
        <v>271</v>
      </c>
      <c r="N341" t="s">
        <v>484</v>
      </c>
      <c r="O341" t="s">
        <v>69</v>
      </c>
      <c r="P341" t="str">
        <f>"2170731844                    "</f>
        <v xml:space="preserve">2170731844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3.27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G341">
        <v>0</v>
      </c>
      <c r="BH341">
        <v>1</v>
      </c>
      <c r="BI341">
        <v>1</v>
      </c>
      <c r="BJ341">
        <v>0.2</v>
      </c>
      <c r="BK341">
        <v>1</v>
      </c>
      <c r="BL341">
        <v>35.979999999999997</v>
      </c>
      <c r="BM341">
        <v>5.4</v>
      </c>
      <c r="BN341">
        <v>41.38</v>
      </c>
      <c r="BO341">
        <v>41.38</v>
      </c>
      <c r="BQ341" t="s">
        <v>70</v>
      </c>
      <c r="BR341" t="s">
        <v>71</v>
      </c>
      <c r="BS341" s="1">
        <v>43936</v>
      </c>
      <c r="BT341" s="2">
        <v>0.36458333333333331</v>
      </c>
      <c r="BU341" t="s">
        <v>608</v>
      </c>
      <c r="BV341" t="s">
        <v>80</v>
      </c>
      <c r="BY341">
        <v>1200</v>
      </c>
      <c r="CA341" t="s">
        <v>486</v>
      </c>
      <c r="CC341" t="s">
        <v>271</v>
      </c>
      <c r="CD341">
        <v>2013</v>
      </c>
      <c r="CE341" t="s">
        <v>73</v>
      </c>
      <c r="CI341">
        <v>1</v>
      </c>
      <c r="CJ341">
        <v>1</v>
      </c>
      <c r="CK341">
        <v>22</v>
      </c>
      <c r="CL341" t="s">
        <v>74</v>
      </c>
    </row>
    <row r="342" spans="1:90" x14ac:dyDescent="0.25">
      <c r="A342" t="s">
        <v>61</v>
      </c>
      <c r="B342" t="s">
        <v>62</v>
      </c>
      <c r="C342" t="s">
        <v>63</v>
      </c>
      <c r="E342" t="str">
        <f>"FES1162744702"</f>
        <v>FES1162744702</v>
      </c>
      <c r="F342" s="1">
        <v>43935</v>
      </c>
      <c r="G342">
        <v>202010</v>
      </c>
      <c r="H342" t="s">
        <v>64</v>
      </c>
      <c r="I342" t="s">
        <v>65</v>
      </c>
      <c r="J342" t="s">
        <v>66</v>
      </c>
      <c r="K342" t="s">
        <v>67</v>
      </c>
      <c r="L342" t="s">
        <v>270</v>
      </c>
      <c r="M342" t="s">
        <v>271</v>
      </c>
      <c r="N342" t="s">
        <v>526</v>
      </c>
      <c r="O342" t="s">
        <v>69</v>
      </c>
      <c r="P342" t="str">
        <f>"2170733940                    "</f>
        <v xml:space="preserve">2170733940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3.27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G342">
        <v>0</v>
      </c>
      <c r="BH342">
        <v>1</v>
      </c>
      <c r="BI342">
        <v>1</v>
      </c>
      <c r="BJ342">
        <v>0.2</v>
      </c>
      <c r="BK342">
        <v>1</v>
      </c>
      <c r="BL342">
        <v>35.979999999999997</v>
      </c>
      <c r="BM342">
        <v>5.4</v>
      </c>
      <c r="BN342">
        <v>41.38</v>
      </c>
      <c r="BO342">
        <v>41.38</v>
      </c>
      <c r="BQ342" t="s">
        <v>268</v>
      </c>
      <c r="BR342" t="s">
        <v>71</v>
      </c>
      <c r="BS342" s="1">
        <v>43936</v>
      </c>
      <c r="BT342" s="2">
        <v>0.34930555555555554</v>
      </c>
      <c r="BU342" t="s">
        <v>607</v>
      </c>
      <c r="BV342" t="s">
        <v>80</v>
      </c>
      <c r="BY342">
        <v>1200</v>
      </c>
      <c r="CA342" t="s">
        <v>486</v>
      </c>
      <c r="CC342" t="s">
        <v>271</v>
      </c>
      <c r="CD342">
        <v>2013</v>
      </c>
      <c r="CE342" t="s">
        <v>73</v>
      </c>
      <c r="CF342" s="1">
        <v>43937</v>
      </c>
      <c r="CI342">
        <v>1</v>
      </c>
      <c r="CJ342">
        <v>1</v>
      </c>
      <c r="CK342">
        <v>22</v>
      </c>
      <c r="CL342" t="s">
        <v>74</v>
      </c>
    </row>
    <row r="343" spans="1:90" x14ac:dyDescent="0.25">
      <c r="A343" t="s">
        <v>61</v>
      </c>
      <c r="B343" t="s">
        <v>62</v>
      </c>
      <c r="C343" t="s">
        <v>63</v>
      </c>
      <c r="E343" t="str">
        <f>"FES1162744695"</f>
        <v>FES1162744695</v>
      </c>
      <c r="F343" s="1">
        <v>43935</v>
      </c>
      <c r="G343">
        <v>202010</v>
      </c>
      <c r="H343" t="s">
        <v>64</v>
      </c>
      <c r="I343" t="s">
        <v>65</v>
      </c>
      <c r="J343" t="s">
        <v>66</v>
      </c>
      <c r="K343" t="s">
        <v>67</v>
      </c>
      <c r="L343" t="s">
        <v>75</v>
      </c>
      <c r="M343" t="s">
        <v>76</v>
      </c>
      <c r="N343" t="s">
        <v>435</v>
      </c>
      <c r="O343" t="s">
        <v>69</v>
      </c>
      <c r="P343" t="str">
        <f>"2170735219                    "</f>
        <v xml:space="preserve">2170735219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3.27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G343">
        <v>0</v>
      </c>
      <c r="BH343">
        <v>1</v>
      </c>
      <c r="BI343">
        <v>1</v>
      </c>
      <c r="BJ343">
        <v>0.2</v>
      </c>
      <c r="BK343">
        <v>1</v>
      </c>
      <c r="BL343">
        <v>35.979999999999997</v>
      </c>
      <c r="BM343">
        <v>5.4</v>
      </c>
      <c r="BN343">
        <v>41.38</v>
      </c>
      <c r="BO343">
        <v>41.38</v>
      </c>
      <c r="BQ343" t="s">
        <v>70</v>
      </c>
      <c r="BR343" t="s">
        <v>71</v>
      </c>
      <c r="BS343" s="1">
        <v>43936</v>
      </c>
      <c r="BT343" s="2">
        <v>0.34722222222222227</v>
      </c>
      <c r="BU343" t="s">
        <v>609</v>
      </c>
      <c r="BV343" t="s">
        <v>80</v>
      </c>
      <c r="BY343">
        <v>1200</v>
      </c>
      <c r="CC343" t="s">
        <v>76</v>
      </c>
      <c r="CD343">
        <v>1459</v>
      </c>
      <c r="CE343" t="s">
        <v>73</v>
      </c>
      <c r="CF343" s="1">
        <v>43943</v>
      </c>
      <c r="CI343">
        <v>1</v>
      </c>
      <c r="CJ343">
        <v>1</v>
      </c>
      <c r="CK343">
        <v>22</v>
      </c>
      <c r="CL343" t="s">
        <v>74</v>
      </c>
    </row>
    <row r="344" spans="1:90" x14ac:dyDescent="0.25">
      <c r="A344" t="s">
        <v>61</v>
      </c>
      <c r="B344" t="s">
        <v>62</v>
      </c>
      <c r="C344" t="s">
        <v>63</v>
      </c>
      <c r="E344" t="str">
        <f>"FES1162744728"</f>
        <v>FES1162744728</v>
      </c>
      <c r="F344" s="1">
        <v>43935</v>
      </c>
      <c r="G344">
        <v>202010</v>
      </c>
      <c r="H344" t="s">
        <v>64</v>
      </c>
      <c r="I344" t="s">
        <v>65</v>
      </c>
      <c r="J344" t="s">
        <v>66</v>
      </c>
      <c r="K344" t="s">
        <v>67</v>
      </c>
      <c r="L344" t="s">
        <v>92</v>
      </c>
      <c r="M344" t="s">
        <v>93</v>
      </c>
      <c r="N344" t="s">
        <v>329</v>
      </c>
      <c r="O344" t="s">
        <v>69</v>
      </c>
      <c r="P344" t="str">
        <f>"2170734813                    "</f>
        <v xml:space="preserve">2170734813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13.6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G344">
        <v>0</v>
      </c>
      <c r="BH344">
        <v>1</v>
      </c>
      <c r="BI344">
        <v>6.1</v>
      </c>
      <c r="BJ344">
        <v>2.2999999999999998</v>
      </c>
      <c r="BK344">
        <v>6.5</v>
      </c>
      <c r="BL344">
        <v>149.61000000000001</v>
      </c>
      <c r="BM344">
        <v>22.44</v>
      </c>
      <c r="BN344">
        <v>172.05</v>
      </c>
      <c r="BO344">
        <v>172.05</v>
      </c>
      <c r="BQ344" t="s">
        <v>70</v>
      </c>
      <c r="BR344" t="s">
        <v>71</v>
      </c>
      <c r="BS344" s="1">
        <v>43936</v>
      </c>
      <c r="BT344" s="2">
        <v>0.41666666666666669</v>
      </c>
      <c r="BU344" t="s">
        <v>610</v>
      </c>
      <c r="BV344" t="s">
        <v>80</v>
      </c>
      <c r="BY344">
        <v>11508.9</v>
      </c>
      <c r="CC344" t="s">
        <v>93</v>
      </c>
      <c r="CD344">
        <v>7441</v>
      </c>
      <c r="CE344" t="s">
        <v>91</v>
      </c>
      <c r="CF344" s="1">
        <v>43937</v>
      </c>
      <c r="CI344">
        <v>1</v>
      </c>
      <c r="CJ344">
        <v>1</v>
      </c>
      <c r="CK344">
        <v>21</v>
      </c>
      <c r="CL344" t="s">
        <v>74</v>
      </c>
    </row>
    <row r="345" spans="1:90" x14ac:dyDescent="0.25">
      <c r="A345" t="s">
        <v>61</v>
      </c>
      <c r="B345" t="s">
        <v>62</v>
      </c>
      <c r="C345" t="s">
        <v>63</v>
      </c>
      <c r="E345" t="str">
        <f>"FES1162744727"</f>
        <v>FES1162744727</v>
      </c>
      <c r="F345" s="1">
        <v>43935</v>
      </c>
      <c r="G345">
        <v>202010</v>
      </c>
      <c r="H345" t="s">
        <v>64</v>
      </c>
      <c r="I345" t="s">
        <v>65</v>
      </c>
      <c r="J345" t="s">
        <v>66</v>
      </c>
      <c r="K345" t="s">
        <v>67</v>
      </c>
      <c r="L345" t="s">
        <v>92</v>
      </c>
      <c r="M345" t="s">
        <v>93</v>
      </c>
      <c r="N345" t="s">
        <v>482</v>
      </c>
      <c r="O345" t="s">
        <v>69</v>
      </c>
      <c r="P345" t="str">
        <f>"2170734681                    "</f>
        <v xml:space="preserve">2170734681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9.42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G345">
        <v>0</v>
      </c>
      <c r="BH345">
        <v>1</v>
      </c>
      <c r="BI345">
        <v>2</v>
      </c>
      <c r="BJ345">
        <v>4.4000000000000004</v>
      </c>
      <c r="BK345">
        <v>4.5</v>
      </c>
      <c r="BL345">
        <v>103.59</v>
      </c>
      <c r="BM345">
        <v>15.54</v>
      </c>
      <c r="BN345">
        <v>119.13</v>
      </c>
      <c r="BO345">
        <v>119.13</v>
      </c>
      <c r="BQ345" t="s">
        <v>78</v>
      </c>
      <c r="BR345" t="s">
        <v>71</v>
      </c>
      <c r="BS345" s="1">
        <v>43936</v>
      </c>
      <c r="BT345" s="2">
        <v>0.41666666666666669</v>
      </c>
      <c r="BU345" t="s">
        <v>312</v>
      </c>
      <c r="BV345" t="s">
        <v>80</v>
      </c>
      <c r="BY345">
        <v>21761.46</v>
      </c>
      <c r="CC345" t="s">
        <v>93</v>
      </c>
      <c r="CD345">
        <v>7441</v>
      </c>
      <c r="CE345" t="s">
        <v>91</v>
      </c>
      <c r="CF345" s="1">
        <v>43937</v>
      </c>
      <c r="CI345">
        <v>1</v>
      </c>
      <c r="CJ345">
        <v>1</v>
      </c>
      <c r="CK345">
        <v>21</v>
      </c>
      <c r="CL345" t="s">
        <v>74</v>
      </c>
    </row>
    <row r="346" spans="1:90" x14ac:dyDescent="0.25">
      <c r="A346" t="s">
        <v>61</v>
      </c>
      <c r="B346" t="s">
        <v>62</v>
      </c>
      <c r="C346" t="s">
        <v>63</v>
      </c>
      <c r="E346" t="str">
        <f>"FES1162744684"</f>
        <v>FES1162744684</v>
      </c>
      <c r="F346" s="1">
        <v>43935</v>
      </c>
      <c r="G346">
        <v>202010</v>
      </c>
      <c r="H346" t="s">
        <v>64</v>
      </c>
      <c r="I346" t="s">
        <v>65</v>
      </c>
      <c r="J346" t="s">
        <v>66</v>
      </c>
      <c r="K346" t="s">
        <v>67</v>
      </c>
      <c r="L346" t="s">
        <v>374</v>
      </c>
      <c r="M346" t="s">
        <v>375</v>
      </c>
      <c r="N346" t="s">
        <v>376</v>
      </c>
      <c r="O346" t="s">
        <v>69</v>
      </c>
      <c r="P346" t="str">
        <f>"2170732521                    "</f>
        <v xml:space="preserve">2170732521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5.89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G346">
        <v>0</v>
      </c>
      <c r="BH346">
        <v>1</v>
      </c>
      <c r="BI346">
        <v>1</v>
      </c>
      <c r="BJ346">
        <v>0.2</v>
      </c>
      <c r="BK346">
        <v>1</v>
      </c>
      <c r="BL346">
        <v>64.77</v>
      </c>
      <c r="BM346">
        <v>9.7200000000000006</v>
      </c>
      <c r="BN346">
        <v>74.489999999999995</v>
      </c>
      <c r="BO346">
        <v>74.489999999999995</v>
      </c>
      <c r="BQ346" t="s">
        <v>70</v>
      </c>
      <c r="BR346" t="s">
        <v>71</v>
      </c>
      <c r="BS346" s="1">
        <v>43936</v>
      </c>
      <c r="BT346" s="2">
        <v>0.4375</v>
      </c>
      <c r="BU346" t="s">
        <v>377</v>
      </c>
      <c r="BV346" t="s">
        <v>80</v>
      </c>
      <c r="BY346">
        <v>1200</v>
      </c>
      <c r="CC346" t="s">
        <v>375</v>
      </c>
      <c r="CD346">
        <v>2210</v>
      </c>
      <c r="CE346" t="s">
        <v>73</v>
      </c>
      <c r="CF346" s="1">
        <v>43943</v>
      </c>
      <c r="CI346">
        <v>1</v>
      </c>
      <c r="CJ346">
        <v>1</v>
      </c>
      <c r="CK346">
        <v>24</v>
      </c>
      <c r="CL346" t="s">
        <v>74</v>
      </c>
    </row>
    <row r="347" spans="1:90" x14ac:dyDescent="0.25">
      <c r="A347" t="s">
        <v>61</v>
      </c>
      <c r="B347" t="s">
        <v>62</v>
      </c>
      <c r="C347" t="s">
        <v>63</v>
      </c>
      <c r="E347" t="str">
        <f>"FES1162744710"</f>
        <v>FES1162744710</v>
      </c>
      <c r="F347" s="1">
        <v>43935</v>
      </c>
      <c r="G347">
        <v>202010</v>
      </c>
      <c r="H347" t="s">
        <v>64</v>
      </c>
      <c r="I347" t="s">
        <v>65</v>
      </c>
      <c r="J347" t="s">
        <v>66</v>
      </c>
      <c r="K347" t="s">
        <v>67</v>
      </c>
      <c r="L347" t="s">
        <v>254</v>
      </c>
      <c r="M347" t="s">
        <v>255</v>
      </c>
      <c r="N347" t="s">
        <v>611</v>
      </c>
      <c r="O347" t="s">
        <v>69</v>
      </c>
      <c r="P347" t="str">
        <f>"2170735963                    "</f>
        <v xml:space="preserve">2170735963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4.1900000000000004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G347">
        <v>0</v>
      </c>
      <c r="BH347">
        <v>1</v>
      </c>
      <c r="BI347">
        <v>1</v>
      </c>
      <c r="BJ347">
        <v>0.2</v>
      </c>
      <c r="BK347">
        <v>1</v>
      </c>
      <c r="BL347">
        <v>46.06</v>
      </c>
      <c r="BM347">
        <v>6.91</v>
      </c>
      <c r="BN347">
        <v>52.97</v>
      </c>
      <c r="BO347">
        <v>52.97</v>
      </c>
      <c r="BQ347" t="s">
        <v>109</v>
      </c>
      <c r="BR347" t="s">
        <v>71</v>
      </c>
      <c r="BS347" s="1">
        <v>43936</v>
      </c>
      <c r="BT347" s="2">
        <v>0.42291666666666666</v>
      </c>
      <c r="BU347" t="s">
        <v>612</v>
      </c>
      <c r="BV347" t="s">
        <v>80</v>
      </c>
      <c r="BY347">
        <v>1200</v>
      </c>
      <c r="CC347" t="s">
        <v>255</v>
      </c>
      <c r="CD347">
        <v>157</v>
      </c>
      <c r="CE347" t="s">
        <v>73</v>
      </c>
      <c r="CF347" s="1">
        <v>43937</v>
      </c>
      <c r="CI347">
        <v>1</v>
      </c>
      <c r="CJ347">
        <v>1</v>
      </c>
      <c r="CK347">
        <v>21</v>
      </c>
      <c r="CL347" t="s">
        <v>74</v>
      </c>
    </row>
    <row r="348" spans="1:90" x14ac:dyDescent="0.25">
      <c r="A348" t="s">
        <v>61</v>
      </c>
      <c r="B348" t="s">
        <v>62</v>
      </c>
      <c r="C348" t="s">
        <v>63</v>
      </c>
      <c r="E348" t="str">
        <f>"FES1162744712"</f>
        <v>FES1162744712</v>
      </c>
      <c r="F348" s="1">
        <v>43935</v>
      </c>
      <c r="G348">
        <v>202010</v>
      </c>
      <c r="H348" t="s">
        <v>64</v>
      </c>
      <c r="I348" t="s">
        <v>65</v>
      </c>
      <c r="J348" t="s">
        <v>66</v>
      </c>
      <c r="K348" t="s">
        <v>67</v>
      </c>
      <c r="L348" t="s">
        <v>254</v>
      </c>
      <c r="M348" t="s">
        <v>255</v>
      </c>
      <c r="N348" t="s">
        <v>613</v>
      </c>
      <c r="O348" t="s">
        <v>69</v>
      </c>
      <c r="P348" t="str">
        <f>"2170735920                    "</f>
        <v xml:space="preserve">2170735920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4.1900000000000004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G348">
        <v>0</v>
      </c>
      <c r="BH348">
        <v>1</v>
      </c>
      <c r="BI348">
        <v>1</v>
      </c>
      <c r="BJ348">
        <v>0.2</v>
      </c>
      <c r="BK348">
        <v>1</v>
      </c>
      <c r="BL348">
        <v>46.06</v>
      </c>
      <c r="BM348">
        <v>6.91</v>
      </c>
      <c r="BN348">
        <v>52.97</v>
      </c>
      <c r="BO348">
        <v>52.97</v>
      </c>
      <c r="BQ348" t="s">
        <v>78</v>
      </c>
      <c r="BR348" t="s">
        <v>71</v>
      </c>
      <c r="BS348" s="1">
        <v>43936</v>
      </c>
      <c r="BT348" s="2">
        <v>0.41666666666666669</v>
      </c>
      <c r="BU348" t="s">
        <v>614</v>
      </c>
      <c r="BV348" t="s">
        <v>80</v>
      </c>
      <c r="BY348">
        <v>1200</v>
      </c>
      <c r="CA348" t="s">
        <v>615</v>
      </c>
      <c r="CC348" t="s">
        <v>255</v>
      </c>
      <c r="CD348">
        <v>157</v>
      </c>
      <c r="CE348" t="s">
        <v>73</v>
      </c>
      <c r="CF348" s="1">
        <v>43938</v>
      </c>
      <c r="CI348">
        <v>1</v>
      </c>
      <c r="CJ348">
        <v>1</v>
      </c>
      <c r="CK348">
        <v>21</v>
      </c>
      <c r="CL348" t="s">
        <v>74</v>
      </c>
    </row>
    <row r="349" spans="1:90" x14ac:dyDescent="0.25">
      <c r="A349" t="s">
        <v>61</v>
      </c>
      <c r="B349" t="s">
        <v>62</v>
      </c>
      <c r="C349" t="s">
        <v>63</v>
      </c>
      <c r="E349" t="str">
        <f>"FES1162744696"</f>
        <v>FES1162744696</v>
      </c>
      <c r="F349" s="1">
        <v>43935</v>
      </c>
      <c r="G349">
        <v>202010</v>
      </c>
      <c r="H349" t="s">
        <v>64</v>
      </c>
      <c r="I349" t="s">
        <v>65</v>
      </c>
      <c r="J349" t="s">
        <v>66</v>
      </c>
      <c r="K349" t="s">
        <v>67</v>
      </c>
      <c r="L349" t="s">
        <v>75</v>
      </c>
      <c r="M349" t="s">
        <v>76</v>
      </c>
      <c r="N349" t="s">
        <v>155</v>
      </c>
      <c r="O349" t="s">
        <v>69</v>
      </c>
      <c r="P349" t="str">
        <f>"2170735942                    "</f>
        <v xml:space="preserve">2170735942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3.27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G349">
        <v>0</v>
      </c>
      <c r="BH349">
        <v>1</v>
      </c>
      <c r="BI349">
        <v>1</v>
      </c>
      <c r="BJ349">
        <v>0.2</v>
      </c>
      <c r="BK349">
        <v>1</v>
      </c>
      <c r="BL349">
        <v>35.979999999999997</v>
      </c>
      <c r="BM349">
        <v>5.4</v>
      </c>
      <c r="BN349">
        <v>41.38</v>
      </c>
      <c r="BO349">
        <v>41.38</v>
      </c>
      <c r="BQ349" t="s">
        <v>78</v>
      </c>
      <c r="BR349" t="s">
        <v>71</v>
      </c>
      <c r="BS349" s="1">
        <v>43936</v>
      </c>
      <c r="BT349" s="2">
        <v>0.3611111111111111</v>
      </c>
      <c r="BU349" t="s">
        <v>616</v>
      </c>
      <c r="BV349" t="s">
        <v>80</v>
      </c>
      <c r="BY349">
        <v>1200</v>
      </c>
      <c r="CA349" t="s">
        <v>157</v>
      </c>
      <c r="CC349" t="s">
        <v>76</v>
      </c>
      <c r="CD349">
        <v>1459</v>
      </c>
      <c r="CE349" t="s">
        <v>73</v>
      </c>
      <c r="CF349" s="1">
        <v>43943</v>
      </c>
      <c r="CI349">
        <v>1</v>
      </c>
      <c r="CJ349">
        <v>1</v>
      </c>
      <c r="CK349">
        <v>22</v>
      </c>
      <c r="CL349" t="s">
        <v>74</v>
      </c>
    </row>
    <row r="350" spans="1:90" x14ac:dyDescent="0.25">
      <c r="A350" t="s">
        <v>61</v>
      </c>
      <c r="B350" t="s">
        <v>62</v>
      </c>
      <c r="C350" t="s">
        <v>63</v>
      </c>
      <c r="E350" t="str">
        <f>"FES1162744564"</f>
        <v>FES1162744564</v>
      </c>
      <c r="F350" s="1">
        <v>43935</v>
      </c>
      <c r="G350">
        <v>202010</v>
      </c>
      <c r="H350" t="s">
        <v>64</v>
      </c>
      <c r="I350" t="s">
        <v>65</v>
      </c>
      <c r="J350" t="s">
        <v>66</v>
      </c>
      <c r="K350" t="s">
        <v>67</v>
      </c>
      <c r="L350" t="s">
        <v>75</v>
      </c>
      <c r="M350" t="s">
        <v>76</v>
      </c>
      <c r="N350" t="s">
        <v>308</v>
      </c>
      <c r="O350" t="s">
        <v>69</v>
      </c>
      <c r="P350" t="str">
        <f>"2170734895                    "</f>
        <v xml:space="preserve">2170734895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3.27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G350">
        <v>0</v>
      </c>
      <c r="BH350">
        <v>1</v>
      </c>
      <c r="BI350">
        <v>1</v>
      </c>
      <c r="BJ350">
        <v>0.2</v>
      </c>
      <c r="BK350">
        <v>1</v>
      </c>
      <c r="BL350">
        <v>35.979999999999997</v>
      </c>
      <c r="BM350">
        <v>5.4</v>
      </c>
      <c r="BN350">
        <v>41.38</v>
      </c>
      <c r="BO350">
        <v>41.38</v>
      </c>
      <c r="BQ350" t="s">
        <v>70</v>
      </c>
      <c r="BR350" t="s">
        <v>71</v>
      </c>
      <c r="BS350" s="1">
        <v>43937</v>
      </c>
      <c r="BT350" s="2">
        <v>0.4375</v>
      </c>
      <c r="BU350" t="s">
        <v>483</v>
      </c>
      <c r="BV350" t="s">
        <v>74</v>
      </c>
      <c r="BW350" t="s">
        <v>85</v>
      </c>
      <c r="BX350" t="s">
        <v>203</v>
      </c>
      <c r="BY350">
        <v>1200</v>
      </c>
      <c r="CC350" t="s">
        <v>76</v>
      </c>
      <c r="CD350">
        <v>1459</v>
      </c>
      <c r="CE350" t="s">
        <v>73</v>
      </c>
      <c r="CF350" s="1">
        <v>43938</v>
      </c>
      <c r="CI350">
        <v>1</v>
      </c>
      <c r="CJ350">
        <v>2</v>
      </c>
      <c r="CK350">
        <v>22</v>
      </c>
      <c r="CL350" t="s">
        <v>74</v>
      </c>
    </row>
    <row r="351" spans="1:90" x14ac:dyDescent="0.25">
      <c r="A351" t="s">
        <v>61</v>
      </c>
      <c r="B351" t="s">
        <v>62</v>
      </c>
      <c r="C351" t="s">
        <v>63</v>
      </c>
      <c r="E351" t="str">
        <f>"FES1162744658"</f>
        <v>FES1162744658</v>
      </c>
      <c r="F351" s="1">
        <v>43935</v>
      </c>
      <c r="G351">
        <v>202010</v>
      </c>
      <c r="H351" t="s">
        <v>64</v>
      </c>
      <c r="I351" t="s">
        <v>65</v>
      </c>
      <c r="J351" t="s">
        <v>66</v>
      </c>
      <c r="K351" t="s">
        <v>67</v>
      </c>
      <c r="L351" t="s">
        <v>92</v>
      </c>
      <c r="M351" t="s">
        <v>93</v>
      </c>
      <c r="N351" t="s">
        <v>165</v>
      </c>
      <c r="O351" t="s">
        <v>69</v>
      </c>
      <c r="P351" t="str">
        <f>"2170735928                    "</f>
        <v xml:space="preserve">2170735928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4.1900000000000004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G351">
        <v>0</v>
      </c>
      <c r="BH351">
        <v>1</v>
      </c>
      <c r="BI351">
        <v>1</v>
      </c>
      <c r="BJ351">
        <v>0.2</v>
      </c>
      <c r="BK351">
        <v>1</v>
      </c>
      <c r="BL351">
        <v>46.06</v>
      </c>
      <c r="BM351">
        <v>6.91</v>
      </c>
      <c r="BN351">
        <v>52.97</v>
      </c>
      <c r="BO351">
        <v>52.97</v>
      </c>
      <c r="BQ351" t="s">
        <v>70</v>
      </c>
      <c r="BR351" t="s">
        <v>71</v>
      </c>
      <c r="BS351" s="1">
        <v>43936</v>
      </c>
      <c r="BT351" s="2">
        <v>0.38680555555555557</v>
      </c>
      <c r="BU351" t="s">
        <v>617</v>
      </c>
      <c r="BV351" t="s">
        <v>80</v>
      </c>
      <c r="BY351">
        <v>1200</v>
      </c>
      <c r="CA351" t="s">
        <v>167</v>
      </c>
      <c r="CC351" t="s">
        <v>93</v>
      </c>
      <c r="CD351">
        <v>7530</v>
      </c>
      <c r="CE351" t="s">
        <v>73</v>
      </c>
      <c r="CF351" s="1">
        <v>43937</v>
      </c>
      <c r="CI351">
        <v>1</v>
      </c>
      <c r="CJ351">
        <v>1</v>
      </c>
      <c r="CK351">
        <v>21</v>
      </c>
      <c r="CL351" t="s">
        <v>74</v>
      </c>
    </row>
    <row r="352" spans="1:90" x14ac:dyDescent="0.25">
      <c r="A352" t="s">
        <v>61</v>
      </c>
      <c r="B352" t="s">
        <v>62</v>
      </c>
      <c r="C352" t="s">
        <v>63</v>
      </c>
      <c r="E352" t="str">
        <f>"FES1162744574"</f>
        <v>FES1162744574</v>
      </c>
      <c r="F352" s="1">
        <v>43930</v>
      </c>
      <c r="G352">
        <v>202010</v>
      </c>
      <c r="H352" t="s">
        <v>64</v>
      </c>
      <c r="I352" t="s">
        <v>65</v>
      </c>
      <c r="J352" t="s">
        <v>66</v>
      </c>
      <c r="K352" t="s">
        <v>67</v>
      </c>
      <c r="L352" t="s">
        <v>104</v>
      </c>
      <c r="M352" t="s">
        <v>105</v>
      </c>
      <c r="N352" t="s">
        <v>251</v>
      </c>
      <c r="O352" t="s">
        <v>69</v>
      </c>
      <c r="P352" t="str">
        <f>"2170735060                    "</f>
        <v xml:space="preserve">2170735060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5.89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G352">
        <v>0</v>
      </c>
      <c r="BH352">
        <v>1</v>
      </c>
      <c r="BI352">
        <v>1</v>
      </c>
      <c r="BJ352">
        <v>0.2</v>
      </c>
      <c r="BK352">
        <v>1</v>
      </c>
      <c r="BL352">
        <v>64.77</v>
      </c>
      <c r="BM352">
        <v>9.7200000000000006</v>
      </c>
      <c r="BN352">
        <v>74.489999999999995</v>
      </c>
      <c r="BO352">
        <v>74.489999999999995</v>
      </c>
      <c r="BQ352" t="s">
        <v>70</v>
      </c>
      <c r="BR352" t="s">
        <v>71</v>
      </c>
      <c r="BS352" s="1">
        <v>43935</v>
      </c>
      <c r="BT352" s="2">
        <v>0.40972222222222227</v>
      </c>
      <c r="BU352" t="s">
        <v>618</v>
      </c>
      <c r="BV352" t="s">
        <v>80</v>
      </c>
      <c r="BY352">
        <v>1200</v>
      </c>
      <c r="CC352" t="s">
        <v>105</v>
      </c>
      <c r="CD352">
        <v>1759</v>
      </c>
      <c r="CE352" t="s">
        <v>73</v>
      </c>
      <c r="CF352" s="1">
        <v>43936</v>
      </c>
      <c r="CI352">
        <v>1</v>
      </c>
      <c r="CJ352">
        <v>3</v>
      </c>
      <c r="CK352">
        <v>24</v>
      </c>
      <c r="CL352" t="s">
        <v>74</v>
      </c>
    </row>
    <row r="353" spans="1:90" x14ac:dyDescent="0.25">
      <c r="A353" t="s">
        <v>61</v>
      </c>
      <c r="B353" t="s">
        <v>62</v>
      </c>
      <c r="C353" t="s">
        <v>63</v>
      </c>
      <c r="E353" t="str">
        <f>"FES1162744531"</f>
        <v>FES1162744531</v>
      </c>
      <c r="F353" s="1">
        <v>43930</v>
      </c>
      <c r="G353">
        <v>202010</v>
      </c>
      <c r="H353" t="s">
        <v>64</v>
      </c>
      <c r="I353" t="s">
        <v>65</v>
      </c>
      <c r="J353" t="s">
        <v>66</v>
      </c>
      <c r="K353" t="s">
        <v>67</v>
      </c>
      <c r="L353" t="s">
        <v>254</v>
      </c>
      <c r="M353" t="s">
        <v>255</v>
      </c>
      <c r="N353" t="s">
        <v>497</v>
      </c>
      <c r="O353" t="s">
        <v>69</v>
      </c>
      <c r="P353" t="str">
        <f>"2170735033                    "</f>
        <v xml:space="preserve">2170735033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4.1900000000000004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G353">
        <v>0</v>
      </c>
      <c r="BH353">
        <v>1</v>
      </c>
      <c r="BI353">
        <v>1</v>
      </c>
      <c r="BJ353">
        <v>0.2</v>
      </c>
      <c r="BK353">
        <v>1</v>
      </c>
      <c r="BL353">
        <v>46.06</v>
      </c>
      <c r="BM353">
        <v>6.91</v>
      </c>
      <c r="BN353">
        <v>52.97</v>
      </c>
      <c r="BO353">
        <v>52.97</v>
      </c>
      <c r="BQ353" t="s">
        <v>268</v>
      </c>
      <c r="BR353" t="s">
        <v>71</v>
      </c>
      <c r="BS353" s="1">
        <v>43935</v>
      </c>
      <c r="BT353" s="2">
        <v>0.43055555555555558</v>
      </c>
      <c r="BU353" t="s">
        <v>619</v>
      </c>
      <c r="BV353" t="s">
        <v>80</v>
      </c>
      <c r="BY353">
        <v>1200</v>
      </c>
      <c r="CA353" t="s">
        <v>260</v>
      </c>
      <c r="CC353" t="s">
        <v>255</v>
      </c>
      <c r="CD353">
        <v>200</v>
      </c>
      <c r="CE353" t="s">
        <v>73</v>
      </c>
      <c r="CI353">
        <v>1</v>
      </c>
      <c r="CJ353">
        <v>3</v>
      </c>
      <c r="CK353">
        <v>21</v>
      </c>
      <c r="CL353" t="s">
        <v>74</v>
      </c>
    </row>
    <row r="354" spans="1:90" x14ac:dyDescent="0.25">
      <c r="A354" t="s">
        <v>61</v>
      </c>
      <c r="B354" t="s">
        <v>62</v>
      </c>
      <c r="C354" t="s">
        <v>63</v>
      </c>
      <c r="E354" t="str">
        <f>"FES1162744689"</f>
        <v>FES1162744689</v>
      </c>
      <c r="F354" s="1">
        <v>43941</v>
      </c>
      <c r="G354">
        <v>202010</v>
      </c>
      <c r="H354" t="s">
        <v>64</v>
      </c>
      <c r="I354" t="s">
        <v>65</v>
      </c>
      <c r="J354" t="s">
        <v>66</v>
      </c>
      <c r="K354" t="s">
        <v>67</v>
      </c>
      <c r="L354" t="s">
        <v>99</v>
      </c>
      <c r="M354" t="s">
        <v>100</v>
      </c>
      <c r="N354" t="s">
        <v>101</v>
      </c>
      <c r="O354" t="s">
        <v>69</v>
      </c>
      <c r="P354" t="str">
        <f>"2170734908                    "</f>
        <v xml:space="preserve">2170734908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42.92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G354">
        <v>0</v>
      </c>
      <c r="BH354">
        <v>1</v>
      </c>
      <c r="BI354">
        <v>11.1</v>
      </c>
      <c r="BJ354">
        <v>3.1</v>
      </c>
      <c r="BK354">
        <v>11.5</v>
      </c>
      <c r="BL354">
        <v>472.12</v>
      </c>
      <c r="BM354">
        <v>70.819999999999993</v>
      </c>
      <c r="BN354">
        <v>542.94000000000005</v>
      </c>
      <c r="BO354">
        <v>542.94000000000005</v>
      </c>
      <c r="BQ354" t="s">
        <v>78</v>
      </c>
      <c r="BR354" t="s">
        <v>71</v>
      </c>
      <c r="BS354" s="1">
        <v>43943</v>
      </c>
      <c r="BT354" s="2">
        <v>0.79652777777777783</v>
      </c>
      <c r="BU354" t="s">
        <v>102</v>
      </c>
      <c r="BV354" t="s">
        <v>80</v>
      </c>
      <c r="BY354">
        <v>15358.2</v>
      </c>
      <c r="CA354" t="s">
        <v>103</v>
      </c>
      <c r="CC354" t="s">
        <v>100</v>
      </c>
      <c r="CD354">
        <v>6849</v>
      </c>
      <c r="CE354" t="s">
        <v>91</v>
      </c>
      <c r="CF354" s="1">
        <v>43951</v>
      </c>
      <c r="CI354">
        <v>3</v>
      </c>
      <c r="CJ354">
        <v>2</v>
      </c>
      <c r="CK354">
        <v>23</v>
      </c>
      <c r="CL354" t="s">
        <v>74</v>
      </c>
    </row>
    <row r="355" spans="1:90" x14ac:dyDescent="0.25">
      <c r="A355" t="s">
        <v>61</v>
      </c>
      <c r="B355" t="s">
        <v>62</v>
      </c>
      <c r="C355" t="s">
        <v>63</v>
      </c>
      <c r="E355" t="str">
        <f>"FES1162744614"</f>
        <v>FES1162744614</v>
      </c>
      <c r="F355" s="1">
        <v>43930</v>
      </c>
      <c r="G355">
        <v>202010</v>
      </c>
      <c r="H355" t="s">
        <v>64</v>
      </c>
      <c r="I355" t="s">
        <v>65</v>
      </c>
      <c r="J355" t="s">
        <v>66</v>
      </c>
      <c r="K355" t="s">
        <v>67</v>
      </c>
      <c r="L355" t="s">
        <v>151</v>
      </c>
      <c r="M355" t="s">
        <v>152</v>
      </c>
      <c r="N355" t="s">
        <v>560</v>
      </c>
      <c r="O355" t="s">
        <v>69</v>
      </c>
      <c r="P355" t="str">
        <f>"2170730788                    "</f>
        <v xml:space="preserve">2170730788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4.1900000000000004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G355">
        <v>0</v>
      </c>
      <c r="BH355">
        <v>1</v>
      </c>
      <c r="BI355">
        <v>1.4</v>
      </c>
      <c r="BJ355">
        <v>1</v>
      </c>
      <c r="BK355">
        <v>1.5</v>
      </c>
      <c r="BL355">
        <v>46.06</v>
      </c>
      <c r="BM355">
        <v>6.91</v>
      </c>
      <c r="BN355">
        <v>52.97</v>
      </c>
      <c r="BO355">
        <v>52.97</v>
      </c>
      <c r="BQ355" t="s">
        <v>70</v>
      </c>
      <c r="BR355" t="s">
        <v>71</v>
      </c>
      <c r="BS355" s="1">
        <v>43935</v>
      </c>
      <c r="BT355" s="2">
        <v>8.3333333333333329E-2</v>
      </c>
      <c r="BU355" t="s">
        <v>561</v>
      </c>
      <c r="BV355" t="s">
        <v>80</v>
      </c>
      <c r="BY355">
        <v>4922.5200000000004</v>
      </c>
      <c r="CC355" t="s">
        <v>152</v>
      </c>
      <c r="CD355">
        <v>3201</v>
      </c>
      <c r="CE355" t="s">
        <v>91</v>
      </c>
      <c r="CF355" s="1">
        <v>43937</v>
      </c>
      <c r="CI355">
        <v>1</v>
      </c>
      <c r="CJ355">
        <v>3</v>
      </c>
      <c r="CK355">
        <v>21</v>
      </c>
      <c r="CL355" t="s">
        <v>74</v>
      </c>
    </row>
    <row r="356" spans="1:90" x14ac:dyDescent="0.25">
      <c r="A356" t="s">
        <v>61</v>
      </c>
      <c r="B356" t="s">
        <v>62</v>
      </c>
      <c r="C356" t="s">
        <v>63</v>
      </c>
      <c r="E356" t="str">
        <f>"FES1162744461"</f>
        <v>FES1162744461</v>
      </c>
      <c r="F356" s="1">
        <v>43930</v>
      </c>
      <c r="G356">
        <v>202010</v>
      </c>
      <c r="H356" t="s">
        <v>64</v>
      </c>
      <c r="I356" t="s">
        <v>65</v>
      </c>
      <c r="J356" t="s">
        <v>66</v>
      </c>
      <c r="K356" t="s">
        <v>67</v>
      </c>
      <c r="L356" t="s">
        <v>450</v>
      </c>
      <c r="M356" t="s">
        <v>451</v>
      </c>
      <c r="N356" t="s">
        <v>452</v>
      </c>
      <c r="O356" t="s">
        <v>69</v>
      </c>
      <c r="P356" t="str">
        <f>"2170735539                    "</f>
        <v xml:space="preserve">2170735539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4.1900000000000004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G356">
        <v>0</v>
      </c>
      <c r="BH356">
        <v>1</v>
      </c>
      <c r="BI356">
        <v>1</v>
      </c>
      <c r="BJ356">
        <v>0.2</v>
      </c>
      <c r="BK356">
        <v>1</v>
      </c>
      <c r="BL356">
        <v>46.06</v>
      </c>
      <c r="BM356">
        <v>6.91</v>
      </c>
      <c r="BN356">
        <v>52.97</v>
      </c>
      <c r="BO356">
        <v>52.97</v>
      </c>
      <c r="BQ356" t="s">
        <v>78</v>
      </c>
      <c r="BR356" t="s">
        <v>71</v>
      </c>
      <c r="BS356" s="1">
        <v>43935</v>
      </c>
      <c r="BT356" s="2">
        <v>0.37847222222222227</v>
      </c>
      <c r="BU356" t="s">
        <v>453</v>
      </c>
      <c r="BV356" t="s">
        <v>80</v>
      </c>
      <c r="BY356">
        <v>1200</v>
      </c>
      <c r="CA356" t="s">
        <v>454</v>
      </c>
      <c r="CC356" t="s">
        <v>451</v>
      </c>
      <c r="CD356">
        <v>1240</v>
      </c>
      <c r="CE356" t="s">
        <v>73</v>
      </c>
      <c r="CF356" s="1">
        <v>43936</v>
      </c>
      <c r="CI356">
        <v>1</v>
      </c>
      <c r="CJ356">
        <v>2</v>
      </c>
      <c r="CK356">
        <v>21</v>
      </c>
      <c r="CL356" t="s">
        <v>74</v>
      </c>
    </row>
    <row r="357" spans="1:90" x14ac:dyDescent="0.25">
      <c r="A357" t="s">
        <v>61</v>
      </c>
      <c r="B357" t="s">
        <v>62</v>
      </c>
      <c r="C357" t="s">
        <v>63</v>
      </c>
      <c r="E357" t="str">
        <f>"FES1162744644"</f>
        <v>FES1162744644</v>
      </c>
      <c r="F357" s="1">
        <v>43930</v>
      </c>
      <c r="G357">
        <v>202010</v>
      </c>
      <c r="H357" t="s">
        <v>64</v>
      </c>
      <c r="I357" t="s">
        <v>65</v>
      </c>
      <c r="J357" t="s">
        <v>66</v>
      </c>
      <c r="K357" t="s">
        <v>67</v>
      </c>
      <c r="L357" t="s">
        <v>254</v>
      </c>
      <c r="M357" t="s">
        <v>255</v>
      </c>
      <c r="N357" t="s">
        <v>620</v>
      </c>
      <c r="O357" t="s">
        <v>69</v>
      </c>
      <c r="P357" t="str">
        <f>"2170735507                    "</f>
        <v xml:space="preserve">2170735507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4.1900000000000004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G357">
        <v>0</v>
      </c>
      <c r="BH357">
        <v>1</v>
      </c>
      <c r="BI357">
        <v>1</v>
      </c>
      <c r="BJ357">
        <v>0.2</v>
      </c>
      <c r="BK357">
        <v>1</v>
      </c>
      <c r="BL357">
        <v>46.06</v>
      </c>
      <c r="BM357">
        <v>6.91</v>
      </c>
      <c r="BN357">
        <v>52.97</v>
      </c>
      <c r="BO357">
        <v>52.97</v>
      </c>
      <c r="BQ357" t="s">
        <v>621</v>
      </c>
      <c r="BR357" t="s">
        <v>71</v>
      </c>
      <c r="BS357" s="1">
        <v>43935</v>
      </c>
      <c r="BT357" s="2">
        <v>0.38194444444444442</v>
      </c>
      <c r="BU357" t="s">
        <v>622</v>
      </c>
      <c r="BV357" t="s">
        <v>80</v>
      </c>
      <c r="BY357">
        <v>1200</v>
      </c>
      <c r="CC357" t="s">
        <v>255</v>
      </c>
      <c r="CD357">
        <v>184</v>
      </c>
      <c r="CE357" t="s">
        <v>73</v>
      </c>
      <c r="CF357" s="1">
        <v>43936</v>
      </c>
      <c r="CI357">
        <v>1</v>
      </c>
      <c r="CJ357">
        <v>3</v>
      </c>
      <c r="CK357">
        <v>21</v>
      </c>
      <c r="CL357" t="s">
        <v>74</v>
      </c>
    </row>
    <row r="358" spans="1:90" x14ac:dyDescent="0.25">
      <c r="A358" t="s">
        <v>61</v>
      </c>
      <c r="B358" t="s">
        <v>62</v>
      </c>
      <c r="C358" t="s">
        <v>63</v>
      </c>
      <c r="E358" t="str">
        <f>"FES1162744638"</f>
        <v>FES1162744638</v>
      </c>
      <c r="F358" s="1">
        <v>43930</v>
      </c>
      <c r="G358">
        <v>202010</v>
      </c>
      <c r="H358" t="s">
        <v>64</v>
      </c>
      <c r="I358" t="s">
        <v>65</v>
      </c>
      <c r="J358" t="s">
        <v>66</v>
      </c>
      <c r="K358" t="s">
        <v>67</v>
      </c>
      <c r="L358" t="s">
        <v>368</v>
      </c>
      <c r="M358" t="s">
        <v>369</v>
      </c>
      <c r="N358" t="s">
        <v>623</v>
      </c>
      <c r="O358" t="s">
        <v>69</v>
      </c>
      <c r="P358" t="str">
        <f>"2170735471                    "</f>
        <v xml:space="preserve">2170735471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3.27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G358">
        <v>0</v>
      </c>
      <c r="BH358">
        <v>1</v>
      </c>
      <c r="BI358">
        <v>1</v>
      </c>
      <c r="BJ358">
        <v>0.2</v>
      </c>
      <c r="BK358">
        <v>1</v>
      </c>
      <c r="BL358">
        <v>35.979999999999997</v>
      </c>
      <c r="BM358">
        <v>5.4</v>
      </c>
      <c r="BN358">
        <v>41.38</v>
      </c>
      <c r="BO358">
        <v>41.38</v>
      </c>
      <c r="BQ358" t="s">
        <v>78</v>
      </c>
      <c r="BR358" t="s">
        <v>71</v>
      </c>
      <c r="BS358" s="1">
        <v>43935</v>
      </c>
      <c r="BT358" s="2">
        <v>0.42569444444444443</v>
      </c>
      <c r="BU358" t="s">
        <v>624</v>
      </c>
      <c r="BV358" t="s">
        <v>80</v>
      </c>
      <c r="BY358">
        <v>1200</v>
      </c>
      <c r="CA358" t="s">
        <v>428</v>
      </c>
      <c r="CC358" t="s">
        <v>369</v>
      </c>
      <c r="CD358">
        <v>1422</v>
      </c>
      <c r="CE358" t="s">
        <v>73</v>
      </c>
      <c r="CF358" s="1">
        <v>43936</v>
      </c>
      <c r="CI358">
        <v>1</v>
      </c>
      <c r="CJ358">
        <v>3</v>
      </c>
      <c r="CK358">
        <v>22</v>
      </c>
      <c r="CL358" t="s">
        <v>74</v>
      </c>
    </row>
    <row r="359" spans="1:90" x14ac:dyDescent="0.25">
      <c r="A359" t="s">
        <v>61</v>
      </c>
      <c r="B359" t="s">
        <v>62</v>
      </c>
      <c r="C359" t="s">
        <v>63</v>
      </c>
      <c r="E359" t="str">
        <f>"FES1162744552"</f>
        <v>FES1162744552</v>
      </c>
      <c r="F359" s="1">
        <v>43930</v>
      </c>
      <c r="G359">
        <v>202010</v>
      </c>
      <c r="H359" t="s">
        <v>64</v>
      </c>
      <c r="I359" t="s">
        <v>65</v>
      </c>
      <c r="J359" t="s">
        <v>66</v>
      </c>
      <c r="K359" t="s">
        <v>67</v>
      </c>
      <c r="L359" t="s">
        <v>92</v>
      </c>
      <c r="M359" t="s">
        <v>93</v>
      </c>
      <c r="N359" t="s">
        <v>482</v>
      </c>
      <c r="O359" t="s">
        <v>69</v>
      </c>
      <c r="P359" t="str">
        <f>"2170734132                    "</f>
        <v xml:space="preserve">2170734132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4.1900000000000004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G359">
        <v>0</v>
      </c>
      <c r="BH359">
        <v>1</v>
      </c>
      <c r="BI359">
        <v>1</v>
      </c>
      <c r="BJ359">
        <v>0.2</v>
      </c>
      <c r="BK359">
        <v>1</v>
      </c>
      <c r="BL359">
        <v>46.06</v>
      </c>
      <c r="BM359">
        <v>6.91</v>
      </c>
      <c r="BN359">
        <v>52.97</v>
      </c>
      <c r="BO359">
        <v>52.97</v>
      </c>
      <c r="BQ359" t="s">
        <v>78</v>
      </c>
      <c r="BR359" t="s">
        <v>71</v>
      </c>
      <c r="BS359" s="1">
        <v>43935</v>
      </c>
      <c r="BT359" s="2">
        <v>0.41666666666666669</v>
      </c>
      <c r="BU359" t="s">
        <v>312</v>
      </c>
      <c r="BV359" t="s">
        <v>80</v>
      </c>
      <c r="BY359">
        <v>1200</v>
      </c>
      <c r="CC359" t="s">
        <v>93</v>
      </c>
      <c r="CD359">
        <v>7441</v>
      </c>
      <c r="CE359" t="s">
        <v>73</v>
      </c>
      <c r="CF359" s="1">
        <v>43936</v>
      </c>
      <c r="CI359">
        <v>1</v>
      </c>
      <c r="CJ359">
        <v>3</v>
      </c>
      <c r="CK359">
        <v>21</v>
      </c>
      <c r="CL359" t="s">
        <v>74</v>
      </c>
    </row>
    <row r="360" spans="1:90" x14ac:dyDescent="0.25">
      <c r="A360" t="s">
        <v>61</v>
      </c>
      <c r="B360" t="s">
        <v>62</v>
      </c>
      <c r="C360" t="s">
        <v>63</v>
      </c>
      <c r="E360" t="str">
        <f>"FES1162744602"</f>
        <v>FES1162744602</v>
      </c>
      <c r="F360" s="1">
        <v>43930</v>
      </c>
      <c r="G360">
        <v>202010</v>
      </c>
      <c r="H360" t="s">
        <v>64</v>
      </c>
      <c r="I360" t="s">
        <v>65</v>
      </c>
      <c r="J360" t="s">
        <v>66</v>
      </c>
      <c r="K360" t="s">
        <v>67</v>
      </c>
      <c r="L360" t="s">
        <v>238</v>
      </c>
      <c r="M360" t="s">
        <v>239</v>
      </c>
      <c r="N360" t="s">
        <v>289</v>
      </c>
      <c r="O360" t="s">
        <v>69</v>
      </c>
      <c r="P360" t="str">
        <f>"2170732143                    "</f>
        <v xml:space="preserve">2170732143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18.829999999999998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G360">
        <v>0</v>
      </c>
      <c r="BH360">
        <v>1</v>
      </c>
      <c r="BI360">
        <v>8</v>
      </c>
      <c r="BJ360">
        <v>8.8000000000000007</v>
      </c>
      <c r="BK360">
        <v>9</v>
      </c>
      <c r="BL360">
        <v>207.14</v>
      </c>
      <c r="BM360">
        <v>31.07</v>
      </c>
      <c r="BN360">
        <v>238.21</v>
      </c>
      <c r="BO360">
        <v>238.21</v>
      </c>
      <c r="BQ360" t="s">
        <v>70</v>
      </c>
      <c r="BR360" t="s">
        <v>71</v>
      </c>
      <c r="BS360" s="1">
        <v>43935</v>
      </c>
      <c r="BT360" s="2">
        <v>0.36388888888888887</v>
      </c>
      <c r="BU360" t="s">
        <v>553</v>
      </c>
      <c r="BV360" t="s">
        <v>80</v>
      </c>
      <c r="BY360">
        <v>44167.4</v>
      </c>
      <c r="CA360" t="s">
        <v>297</v>
      </c>
      <c r="CC360" t="s">
        <v>239</v>
      </c>
      <c r="CD360">
        <v>5201</v>
      </c>
      <c r="CE360" t="s">
        <v>91</v>
      </c>
      <c r="CF360" s="1">
        <v>43938</v>
      </c>
      <c r="CI360">
        <v>1</v>
      </c>
      <c r="CJ360">
        <v>3</v>
      </c>
      <c r="CK360">
        <v>21</v>
      </c>
      <c r="CL360" t="s">
        <v>74</v>
      </c>
    </row>
    <row r="361" spans="1:90" x14ac:dyDescent="0.25">
      <c r="A361" t="s">
        <v>61</v>
      </c>
      <c r="B361" t="s">
        <v>62</v>
      </c>
      <c r="C361" t="s">
        <v>63</v>
      </c>
      <c r="E361" t="str">
        <f>"FES1162744563"</f>
        <v>FES1162744563</v>
      </c>
      <c r="F361" s="1">
        <v>43930</v>
      </c>
      <c r="G361">
        <v>202010</v>
      </c>
      <c r="H361" t="s">
        <v>64</v>
      </c>
      <c r="I361" t="s">
        <v>65</v>
      </c>
      <c r="J361" t="s">
        <v>66</v>
      </c>
      <c r="K361" t="s">
        <v>67</v>
      </c>
      <c r="L361" t="s">
        <v>92</v>
      </c>
      <c r="M361" t="s">
        <v>93</v>
      </c>
      <c r="N361" t="s">
        <v>475</v>
      </c>
      <c r="O361" t="s">
        <v>69</v>
      </c>
      <c r="P361" t="str">
        <f>"2170734888                    "</f>
        <v xml:space="preserve">2170734888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6.28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G361">
        <v>0</v>
      </c>
      <c r="BH361">
        <v>1</v>
      </c>
      <c r="BI361">
        <v>2.8</v>
      </c>
      <c r="BJ361">
        <v>1.1000000000000001</v>
      </c>
      <c r="BK361">
        <v>3</v>
      </c>
      <c r="BL361">
        <v>69.069999999999993</v>
      </c>
      <c r="BM361">
        <v>10.36</v>
      </c>
      <c r="BN361">
        <v>79.430000000000007</v>
      </c>
      <c r="BO361">
        <v>79.430000000000007</v>
      </c>
      <c r="BQ361" t="s">
        <v>268</v>
      </c>
      <c r="BR361" t="s">
        <v>71</v>
      </c>
      <c r="BS361" s="1">
        <v>43935</v>
      </c>
      <c r="BT361" s="2">
        <v>0.41805555555555557</v>
      </c>
      <c r="BU361" t="s">
        <v>625</v>
      </c>
      <c r="BV361" t="s">
        <v>80</v>
      </c>
      <c r="BY361">
        <v>5679.03</v>
      </c>
      <c r="CA361" t="s">
        <v>331</v>
      </c>
      <c r="CC361" t="s">
        <v>93</v>
      </c>
      <c r="CD361">
        <v>7441</v>
      </c>
      <c r="CE361" t="s">
        <v>91</v>
      </c>
      <c r="CF361" s="1">
        <v>43936</v>
      </c>
      <c r="CI361">
        <v>1</v>
      </c>
      <c r="CJ361">
        <v>3</v>
      </c>
      <c r="CK361">
        <v>21</v>
      </c>
      <c r="CL361" t="s">
        <v>74</v>
      </c>
    </row>
    <row r="362" spans="1:90" x14ac:dyDescent="0.25">
      <c r="A362" t="s">
        <v>61</v>
      </c>
      <c r="B362" t="s">
        <v>62</v>
      </c>
      <c r="C362" t="s">
        <v>63</v>
      </c>
      <c r="E362" t="str">
        <f>"FES1162744657"</f>
        <v>FES1162744657</v>
      </c>
      <c r="F362" s="1">
        <v>43930</v>
      </c>
      <c r="G362">
        <v>202010</v>
      </c>
      <c r="H362" t="s">
        <v>64</v>
      </c>
      <c r="I362" t="s">
        <v>65</v>
      </c>
      <c r="J362" t="s">
        <v>66</v>
      </c>
      <c r="K362" t="s">
        <v>67</v>
      </c>
      <c r="L362" t="s">
        <v>120</v>
      </c>
      <c r="M362" t="s">
        <v>121</v>
      </c>
      <c r="N362" t="s">
        <v>278</v>
      </c>
      <c r="O362" t="s">
        <v>69</v>
      </c>
      <c r="P362" t="str">
        <f>"2170735927                    "</f>
        <v xml:space="preserve">2170735927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4.1900000000000004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G362">
        <v>0</v>
      </c>
      <c r="BH362">
        <v>1</v>
      </c>
      <c r="BI362">
        <v>1</v>
      </c>
      <c r="BJ362">
        <v>0.2</v>
      </c>
      <c r="BK362">
        <v>1</v>
      </c>
      <c r="BL362">
        <v>46.06</v>
      </c>
      <c r="BM362">
        <v>6.91</v>
      </c>
      <c r="BN362">
        <v>52.97</v>
      </c>
      <c r="BO362">
        <v>52.97</v>
      </c>
      <c r="BQ362" t="s">
        <v>70</v>
      </c>
      <c r="BR362" t="s">
        <v>71</v>
      </c>
      <c r="BS362" s="1">
        <v>43951</v>
      </c>
      <c r="BT362" s="2">
        <v>0.55347222222222225</v>
      </c>
      <c r="BU362" t="s">
        <v>626</v>
      </c>
      <c r="BV362" t="s">
        <v>74</v>
      </c>
      <c r="BY362">
        <v>1200</v>
      </c>
      <c r="CA362" t="s">
        <v>627</v>
      </c>
      <c r="CC362" t="s">
        <v>121</v>
      </c>
      <c r="CD362">
        <v>4001</v>
      </c>
      <c r="CE362" t="s">
        <v>73</v>
      </c>
      <c r="CI362">
        <v>1</v>
      </c>
      <c r="CJ362">
        <v>15</v>
      </c>
      <c r="CK362">
        <v>21</v>
      </c>
      <c r="CL362" t="s">
        <v>74</v>
      </c>
    </row>
    <row r="363" spans="1:90" x14ac:dyDescent="0.25">
      <c r="A363" t="s">
        <v>61</v>
      </c>
      <c r="B363" t="s">
        <v>62</v>
      </c>
      <c r="C363" t="s">
        <v>63</v>
      </c>
      <c r="E363" t="str">
        <f>"FES1162744582"</f>
        <v>FES1162744582</v>
      </c>
      <c r="F363" s="1">
        <v>43930</v>
      </c>
      <c r="G363">
        <v>202010</v>
      </c>
      <c r="H363" t="s">
        <v>64</v>
      </c>
      <c r="I363" t="s">
        <v>65</v>
      </c>
      <c r="J363" t="s">
        <v>66</v>
      </c>
      <c r="K363" t="s">
        <v>67</v>
      </c>
      <c r="L363" t="s">
        <v>262</v>
      </c>
      <c r="M363" t="s">
        <v>262</v>
      </c>
      <c r="N363" t="s">
        <v>551</v>
      </c>
      <c r="O363" t="s">
        <v>69</v>
      </c>
      <c r="P363" t="str">
        <f>"2170735209                    "</f>
        <v xml:space="preserve">2170735209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8.11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G363">
        <v>0</v>
      </c>
      <c r="BH363">
        <v>1</v>
      </c>
      <c r="BI363">
        <v>1</v>
      </c>
      <c r="BJ363">
        <v>0.2</v>
      </c>
      <c r="BK363">
        <v>1</v>
      </c>
      <c r="BL363">
        <v>89.23</v>
      </c>
      <c r="BM363">
        <v>13.38</v>
      </c>
      <c r="BN363">
        <v>102.61</v>
      </c>
      <c r="BO363">
        <v>102.61</v>
      </c>
      <c r="BQ363" t="s">
        <v>78</v>
      </c>
      <c r="BR363" t="s">
        <v>71</v>
      </c>
      <c r="BS363" s="1">
        <v>43935</v>
      </c>
      <c r="BT363" s="2">
        <v>0.49861111111111112</v>
      </c>
      <c r="BU363" t="s">
        <v>628</v>
      </c>
      <c r="BV363" t="s">
        <v>80</v>
      </c>
      <c r="BY363">
        <v>1200</v>
      </c>
      <c r="CA363" t="s">
        <v>266</v>
      </c>
      <c r="CC363" t="s">
        <v>262</v>
      </c>
      <c r="CD363">
        <v>7655</v>
      </c>
      <c r="CE363" t="s">
        <v>73</v>
      </c>
      <c r="CF363" s="1">
        <v>43936</v>
      </c>
      <c r="CI363">
        <v>1</v>
      </c>
      <c r="CJ363">
        <v>3</v>
      </c>
      <c r="CK363">
        <v>23</v>
      </c>
      <c r="CL363" t="s">
        <v>74</v>
      </c>
    </row>
    <row r="364" spans="1:90" x14ac:dyDescent="0.25">
      <c r="A364" t="s">
        <v>61</v>
      </c>
      <c r="B364" t="s">
        <v>62</v>
      </c>
      <c r="C364" t="s">
        <v>63</v>
      </c>
      <c r="E364" t="str">
        <f>"FES1162744556"</f>
        <v>FES1162744556</v>
      </c>
      <c r="F364" s="1">
        <v>43930</v>
      </c>
      <c r="G364">
        <v>202010</v>
      </c>
      <c r="H364" t="s">
        <v>64</v>
      </c>
      <c r="I364" t="s">
        <v>65</v>
      </c>
      <c r="J364" t="s">
        <v>66</v>
      </c>
      <c r="K364" t="s">
        <v>67</v>
      </c>
      <c r="L364" t="s">
        <v>120</v>
      </c>
      <c r="M364" t="s">
        <v>121</v>
      </c>
      <c r="N364" t="s">
        <v>122</v>
      </c>
      <c r="O364" t="s">
        <v>69</v>
      </c>
      <c r="P364" t="str">
        <f>"2170734758                    "</f>
        <v xml:space="preserve">2170734758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4.1900000000000004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G364">
        <v>0</v>
      </c>
      <c r="BH364">
        <v>1</v>
      </c>
      <c r="BI364">
        <v>1</v>
      </c>
      <c r="BJ364">
        <v>0.2</v>
      </c>
      <c r="BK364">
        <v>1</v>
      </c>
      <c r="BL364">
        <v>46.06</v>
      </c>
      <c r="BM364">
        <v>6.91</v>
      </c>
      <c r="BN364">
        <v>52.97</v>
      </c>
      <c r="BO364">
        <v>52.97</v>
      </c>
      <c r="BQ364" t="s">
        <v>70</v>
      </c>
      <c r="BR364" t="s">
        <v>71</v>
      </c>
      <c r="BS364" s="1">
        <v>43935</v>
      </c>
      <c r="BT364" s="2">
        <v>0.51874999999999993</v>
      </c>
      <c r="BU364" t="s">
        <v>629</v>
      </c>
      <c r="BV364" t="s">
        <v>74</v>
      </c>
      <c r="BW364" t="s">
        <v>124</v>
      </c>
      <c r="BX364" t="s">
        <v>630</v>
      </c>
      <c r="BY364">
        <v>1200</v>
      </c>
      <c r="CA364" t="s">
        <v>631</v>
      </c>
      <c r="CC364" t="s">
        <v>121</v>
      </c>
      <c r="CD364">
        <v>4052</v>
      </c>
      <c r="CE364" t="s">
        <v>73</v>
      </c>
      <c r="CF364" s="1">
        <v>43936</v>
      </c>
      <c r="CI364">
        <v>1</v>
      </c>
      <c r="CJ364">
        <v>3</v>
      </c>
      <c r="CK364">
        <v>21</v>
      </c>
      <c r="CL364" t="s">
        <v>74</v>
      </c>
    </row>
    <row r="365" spans="1:90" x14ac:dyDescent="0.25">
      <c r="A365" t="s">
        <v>61</v>
      </c>
      <c r="B365" t="s">
        <v>62</v>
      </c>
      <c r="C365" t="s">
        <v>63</v>
      </c>
      <c r="E365" t="str">
        <f>"FES1162744596"</f>
        <v>FES1162744596</v>
      </c>
      <c r="F365" s="1">
        <v>43930</v>
      </c>
      <c r="G365">
        <v>202010</v>
      </c>
      <c r="H365" t="s">
        <v>64</v>
      </c>
      <c r="I365" t="s">
        <v>65</v>
      </c>
      <c r="J365" t="s">
        <v>66</v>
      </c>
      <c r="K365" t="s">
        <v>67</v>
      </c>
      <c r="L365" t="s">
        <v>104</v>
      </c>
      <c r="M365" t="s">
        <v>105</v>
      </c>
      <c r="N365" t="s">
        <v>251</v>
      </c>
      <c r="O365" t="s">
        <v>69</v>
      </c>
      <c r="P365" t="str">
        <f>"2170735909                    "</f>
        <v xml:space="preserve">2170735909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5.89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G365">
        <v>0</v>
      </c>
      <c r="BH365">
        <v>1</v>
      </c>
      <c r="BI365">
        <v>1.5</v>
      </c>
      <c r="BJ365">
        <v>0.8</v>
      </c>
      <c r="BK365">
        <v>1.5</v>
      </c>
      <c r="BL365">
        <v>64.77</v>
      </c>
      <c r="BM365">
        <v>9.7200000000000006</v>
      </c>
      <c r="BN365">
        <v>74.489999999999995</v>
      </c>
      <c r="BO365">
        <v>74.489999999999995</v>
      </c>
      <c r="BQ365" t="s">
        <v>70</v>
      </c>
      <c r="BR365" t="s">
        <v>71</v>
      </c>
      <c r="BS365" s="1">
        <v>43935</v>
      </c>
      <c r="BT365" s="2">
        <v>0.40972222222222227</v>
      </c>
      <c r="BU365" t="s">
        <v>618</v>
      </c>
      <c r="BV365" t="s">
        <v>80</v>
      </c>
      <c r="BY365">
        <v>4198.3500000000004</v>
      </c>
      <c r="CC365" t="s">
        <v>105</v>
      </c>
      <c r="CD365">
        <v>1759</v>
      </c>
      <c r="CE365" t="s">
        <v>91</v>
      </c>
      <c r="CF365" s="1">
        <v>43936</v>
      </c>
      <c r="CI365">
        <v>1</v>
      </c>
      <c r="CJ365">
        <v>3</v>
      </c>
      <c r="CK365">
        <v>24</v>
      </c>
      <c r="CL365" t="s">
        <v>74</v>
      </c>
    </row>
    <row r="366" spans="1:90" x14ac:dyDescent="0.25">
      <c r="A366" t="s">
        <v>61</v>
      </c>
      <c r="B366" t="s">
        <v>62</v>
      </c>
      <c r="C366" t="s">
        <v>63</v>
      </c>
      <c r="E366" t="str">
        <f>"FES1162744649"</f>
        <v>FES1162744649</v>
      </c>
      <c r="F366" s="1">
        <v>43930</v>
      </c>
      <c r="G366">
        <v>202010</v>
      </c>
      <c r="H366" t="s">
        <v>64</v>
      </c>
      <c r="I366" t="s">
        <v>65</v>
      </c>
      <c r="J366" t="s">
        <v>66</v>
      </c>
      <c r="K366" t="s">
        <v>67</v>
      </c>
      <c r="L366" t="s">
        <v>270</v>
      </c>
      <c r="M366" t="s">
        <v>271</v>
      </c>
      <c r="N366" t="s">
        <v>484</v>
      </c>
      <c r="O366" t="s">
        <v>69</v>
      </c>
      <c r="P366" t="str">
        <f>"2170731576                    "</f>
        <v xml:space="preserve">2170731576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3.27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G366">
        <v>0</v>
      </c>
      <c r="BH366">
        <v>1</v>
      </c>
      <c r="BI366">
        <v>0.6</v>
      </c>
      <c r="BJ366">
        <v>0.8</v>
      </c>
      <c r="BK366">
        <v>1</v>
      </c>
      <c r="BL366">
        <v>35.979999999999997</v>
      </c>
      <c r="BM366">
        <v>5.4</v>
      </c>
      <c r="BN366">
        <v>41.38</v>
      </c>
      <c r="BO366">
        <v>41.38</v>
      </c>
      <c r="BQ366" t="s">
        <v>70</v>
      </c>
      <c r="BR366" t="s">
        <v>71</v>
      </c>
      <c r="BS366" s="1">
        <v>43935</v>
      </c>
      <c r="BT366" s="2">
        <v>0.38194444444444442</v>
      </c>
      <c r="BU366" t="s">
        <v>228</v>
      </c>
      <c r="BV366" t="s">
        <v>80</v>
      </c>
      <c r="BY366">
        <v>4137.47</v>
      </c>
      <c r="CA366" t="s">
        <v>486</v>
      </c>
      <c r="CC366" t="s">
        <v>271</v>
      </c>
      <c r="CD366">
        <v>2013</v>
      </c>
      <c r="CE366" t="s">
        <v>91</v>
      </c>
      <c r="CF366" s="1">
        <v>43936</v>
      </c>
      <c r="CI366">
        <v>1</v>
      </c>
      <c r="CJ366">
        <v>3</v>
      </c>
      <c r="CK366">
        <v>22</v>
      </c>
      <c r="CL366" t="s">
        <v>74</v>
      </c>
    </row>
    <row r="367" spans="1:90" x14ac:dyDescent="0.25">
      <c r="A367" t="s">
        <v>61</v>
      </c>
      <c r="B367" t="s">
        <v>62</v>
      </c>
      <c r="C367" t="s">
        <v>63</v>
      </c>
      <c r="E367" t="str">
        <f>"FES1162744480"</f>
        <v>FES1162744480</v>
      </c>
      <c r="F367" s="1">
        <v>43930</v>
      </c>
      <c r="G367">
        <v>202010</v>
      </c>
      <c r="H367" t="s">
        <v>64</v>
      </c>
      <c r="I367" t="s">
        <v>65</v>
      </c>
      <c r="J367" t="s">
        <v>66</v>
      </c>
      <c r="K367" t="s">
        <v>67</v>
      </c>
      <c r="L367" t="s">
        <v>450</v>
      </c>
      <c r="M367" t="s">
        <v>451</v>
      </c>
      <c r="N367" t="s">
        <v>452</v>
      </c>
      <c r="O367" t="s">
        <v>69</v>
      </c>
      <c r="P367" t="str">
        <f>"2170735541                    "</f>
        <v xml:space="preserve">2170735541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9.42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G367">
        <v>0</v>
      </c>
      <c r="BH367">
        <v>1</v>
      </c>
      <c r="BI367">
        <v>4.4000000000000004</v>
      </c>
      <c r="BJ367">
        <v>1.6</v>
      </c>
      <c r="BK367">
        <v>4.5</v>
      </c>
      <c r="BL367">
        <v>103.59</v>
      </c>
      <c r="BM367">
        <v>15.54</v>
      </c>
      <c r="BN367">
        <v>119.13</v>
      </c>
      <c r="BO367">
        <v>119.13</v>
      </c>
      <c r="BQ367" t="s">
        <v>70</v>
      </c>
      <c r="BR367" t="s">
        <v>71</v>
      </c>
      <c r="BS367" s="1">
        <v>43935</v>
      </c>
      <c r="BT367" s="2">
        <v>0.37847222222222227</v>
      </c>
      <c r="BU367" t="s">
        <v>453</v>
      </c>
      <c r="BV367" t="s">
        <v>80</v>
      </c>
      <c r="BY367">
        <v>8053.67</v>
      </c>
      <c r="CA367" t="s">
        <v>454</v>
      </c>
      <c r="CC367" t="s">
        <v>451</v>
      </c>
      <c r="CD367">
        <v>1240</v>
      </c>
      <c r="CE367" t="s">
        <v>91</v>
      </c>
      <c r="CF367" s="1">
        <v>43936</v>
      </c>
      <c r="CI367">
        <v>1</v>
      </c>
      <c r="CJ367">
        <v>3</v>
      </c>
      <c r="CK367">
        <v>21</v>
      </c>
      <c r="CL367" t="s">
        <v>74</v>
      </c>
    </row>
    <row r="368" spans="1:90" x14ac:dyDescent="0.25">
      <c r="A368" t="s">
        <v>61</v>
      </c>
      <c r="B368" t="s">
        <v>62</v>
      </c>
      <c r="C368" t="s">
        <v>63</v>
      </c>
      <c r="E368" t="str">
        <f>"FES1162744646"</f>
        <v>FES1162744646</v>
      </c>
      <c r="F368" s="1">
        <v>43930</v>
      </c>
      <c r="G368">
        <v>202010</v>
      </c>
      <c r="H368" t="s">
        <v>64</v>
      </c>
      <c r="I368" t="s">
        <v>65</v>
      </c>
      <c r="J368" t="s">
        <v>66</v>
      </c>
      <c r="K368" t="s">
        <v>67</v>
      </c>
      <c r="L368" t="s">
        <v>111</v>
      </c>
      <c r="M368" t="s">
        <v>112</v>
      </c>
      <c r="N368" t="s">
        <v>632</v>
      </c>
      <c r="O368" t="s">
        <v>69</v>
      </c>
      <c r="P368" t="str">
        <f>"2170735840                    "</f>
        <v xml:space="preserve">2170735840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8.76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G368">
        <v>0</v>
      </c>
      <c r="BH368">
        <v>1</v>
      </c>
      <c r="BI368">
        <v>3.4</v>
      </c>
      <c r="BJ368">
        <v>8.6</v>
      </c>
      <c r="BK368">
        <v>9</v>
      </c>
      <c r="BL368">
        <v>96.35</v>
      </c>
      <c r="BM368">
        <v>14.45</v>
      </c>
      <c r="BN368">
        <v>110.8</v>
      </c>
      <c r="BO368">
        <v>110.8</v>
      </c>
      <c r="BQ368" t="s">
        <v>78</v>
      </c>
      <c r="BR368" t="s">
        <v>71</v>
      </c>
      <c r="BS368" s="1">
        <v>43935</v>
      </c>
      <c r="BT368" s="2">
        <v>0.43402777777777773</v>
      </c>
      <c r="BU368" t="s">
        <v>633</v>
      </c>
      <c r="BV368" t="s">
        <v>80</v>
      </c>
      <c r="BY368">
        <v>42977.61</v>
      </c>
      <c r="CC368" t="s">
        <v>112</v>
      </c>
      <c r="CD368">
        <v>1682</v>
      </c>
      <c r="CE368" t="s">
        <v>91</v>
      </c>
      <c r="CF368" s="1">
        <v>43936</v>
      </c>
      <c r="CI368">
        <v>1</v>
      </c>
      <c r="CJ368">
        <v>3</v>
      </c>
      <c r="CK368">
        <v>22</v>
      </c>
      <c r="CL368" t="s">
        <v>74</v>
      </c>
    </row>
    <row r="369" spans="1:90" x14ac:dyDescent="0.25">
      <c r="A369" t="s">
        <v>61</v>
      </c>
      <c r="B369" t="s">
        <v>62</v>
      </c>
      <c r="C369" t="s">
        <v>63</v>
      </c>
      <c r="E369" t="str">
        <f>"FES1162744569"</f>
        <v>FES1162744569</v>
      </c>
      <c r="F369" s="1">
        <v>43930</v>
      </c>
      <c r="G369">
        <v>202010</v>
      </c>
      <c r="H369" t="s">
        <v>64</v>
      </c>
      <c r="I369" t="s">
        <v>65</v>
      </c>
      <c r="J369" t="s">
        <v>66</v>
      </c>
      <c r="K369" t="s">
        <v>67</v>
      </c>
      <c r="L369" t="s">
        <v>92</v>
      </c>
      <c r="M369" t="s">
        <v>93</v>
      </c>
      <c r="N369" t="s">
        <v>94</v>
      </c>
      <c r="O369" t="s">
        <v>69</v>
      </c>
      <c r="P369" t="str">
        <f>"2170734978                    "</f>
        <v xml:space="preserve">2170734978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28.25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G369">
        <v>0</v>
      </c>
      <c r="BH369">
        <v>1</v>
      </c>
      <c r="BI369">
        <v>13.5</v>
      </c>
      <c r="BJ369">
        <v>11.8</v>
      </c>
      <c r="BK369">
        <v>13.5</v>
      </c>
      <c r="BL369">
        <v>310.7</v>
      </c>
      <c r="BM369">
        <v>46.61</v>
      </c>
      <c r="BN369">
        <v>357.31</v>
      </c>
      <c r="BO369">
        <v>357.31</v>
      </c>
      <c r="BQ369" t="s">
        <v>70</v>
      </c>
      <c r="BR369" t="s">
        <v>71</v>
      </c>
      <c r="BS369" s="1">
        <v>43935</v>
      </c>
      <c r="BT369" s="2">
        <v>0.53125</v>
      </c>
      <c r="BU369" t="s">
        <v>95</v>
      </c>
      <c r="BV369" t="s">
        <v>74</v>
      </c>
      <c r="BW369" t="s">
        <v>96</v>
      </c>
      <c r="BX369" t="s">
        <v>97</v>
      </c>
      <c r="BY369">
        <v>59050.86</v>
      </c>
      <c r="CA369" t="s">
        <v>98</v>
      </c>
      <c r="CC369" t="s">
        <v>93</v>
      </c>
      <c r="CD369">
        <v>7441</v>
      </c>
      <c r="CE369" t="s">
        <v>91</v>
      </c>
      <c r="CF369" s="1">
        <v>43936</v>
      </c>
      <c r="CI369">
        <v>1</v>
      </c>
      <c r="CJ369">
        <v>3</v>
      </c>
      <c r="CK369">
        <v>21</v>
      </c>
      <c r="CL369" t="s">
        <v>74</v>
      </c>
    </row>
    <row r="370" spans="1:90" x14ac:dyDescent="0.25">
      <c r="A370" t="s">
        <v>61</v>
      </c>
      <c r="B370" t="s">
        <v>62</v>
      </c>
      <c r="C370" t="s">
        <v>63</v>
      </c>
      <c r="E370" t="str">
        <f>"FES1162744560"</f>
        <v>FES1162744560</v>
      </c>
      <c r="F370" s="1">
        <v>43930</v>
      </c>
      <c r="G370">
        <v>202010</v>
      </c>
      <c r="H370" t="s">
        <v>64</v>
      </c>
      <c r="I370" t="s">
        <v>65</v>
      </c>
      <c r="J370" t="s">
        <v>66</v>
      </c>
      <c r="K370" t="s">
        <v>67</v>
      </c>
      <c r="L370" t="s">
        <v>92</v>
      </c>
      <c r="M370" t="s">
        <v>93</v>
      </c>
      <c r="N370" t="s">
        <v>329</v>
      </c>
      <c r="O370" t="s">
        <v>69</v>
      </c>
      <c r="P370" t="str">
        <f>"2170734813                    "</f>
        <v xml:space="preserve">2170734813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4.1900000000000004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G370">
        <v>0</v>
      </c>
      <c r="BH370">
        <v>1</v>
      </c>
      <c r="BI370">
        <v>1</v>
      </c>
      <c r="BJ370">
        <v>0.2</v>
      </c>
      <c r="BK370">
        <v>1</v>
      </c>
      <c r="BL370">
        <v>46.06</v>
      </c>
      <c r="BM370">
        <v>6.91</v>
      </c>
      <c r="BN370">
        <v>52.97</v>
      </c>
      <c r="BO370">
        <v>52.97</v>
      </c>
      <c r="BQ370" t="s">
        <v>70</v>
      </c>
      <c r="BR370" t="s">
        <v>71</v>
      </c>
      <c r="BS370" s="1">
        <v>43935</v>
      </c>
      <c r="BT370" s="2">
        <v>0.55208333333333337</v>
      </c>
      <c r="BU370" t="s">
        <v>634</v>
      </c>
      <c r="BV370" t="s">
        <v>74</v>
      </c>
      <c r="BW370" t="s">
        <v>96</v>
      </c>
      <c r="BX370" t="s">
        <v>97</v>
      </c>
      <c r="BY370">
        <v>1200</v>
      </c>
      <c r="CA370" t="s">
        <v>98</v>
      </c>
      <c r="CC370" t="s">
        <v>93</v>
      </c>
      <c r="CD370">
        <v>7441</v>
      </c>
      <c r="CE370" t="s">
        <v>73</v>
      </c>
      <c r="CF370" s="1">
        <v>43936</v>
      </c>
      <c r="CI370">
        <v>1</v>
      </c>
      <c r="CJ370">
        <v>3</v>
      </c>
      <c r="CK370">
        <v>21</v>
      </c>
      <c r="CL370" t="s">
        <v>74</v>
      </c>
    </row>
    <row r="371" spans="1:90" x14ac:dyDescent="0.25">
      <c r="A371" t="s">
        <v>61</v>
      </c>
      <c r="B371" t="s">
        <v>62</v>
      </c>
      <c r="C371" t="s">
        <v>63</v>
      </c>
      <c r="E371" t="str">
        <f>"FES1162744907"</f>
        <v>FES1162744907</v>
      </c>
      <c r="F371" s="1">
        <v>43937</v>
      </c>
      <c r="G371">
        <v>202010</v>
      </c>
      <c r="H371" t="s">
        <v>64</v>
      </c>
      <c r="I371" t="s">
        <v>65</v>
      </c>
      <c r="J371" t="s">
        <v>66</v>
      </c>
      <c r="K371" t="s">
        <v>67</v>
      </c>
      <c r="L371" t="s">
        <v>262</v>
      </c>
      <c r="M371" t="s">
        <v>262</v>
      </c>
      <c r="N371" t="s">
        <v>545</v>
      </c>
      <c r="O371" t="s">
        <v>69</v>
      </c>
      <c r="P371" t="str">
        <f>"2170736143                    "</f>
        <v xml:space="preserve">2170736143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8.11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G371">
        <v>0</v>
      </c>
      <c r="BH371">
        <v>1</v>
      </c>
      <c r="BI371">
        <v>1</v>
      </c>
      <c r="BJ371">
        <v>0.2</v>
      </c>
      <c r="BK371">
        <v>1</v>
      </c>
      <c r="BL371">
        <v>89.23</v>
      </c>
      <c r="BM371">
        <v>13.38</v>
      </c>
      <c r="BN371">
        <v>102.61</v>
      </c>
      <c r="BO371">
        <v>102.61</v>
      </c>
      <c r="BQ371" t="s">
        <v>70</v>
      </c>
      <c r="BR371" t="s">
        <v>71</v>
      </c>
      <c r="BS371" s="1">
        <v>43938</v>
      </c>
      <c r="BT371" s="2">
        <v>0.54375000000000007</v>
      </c>
      <c r="BU371" t="s">
        <v>635</v>
      </c>
      <c r="BV371" t="s">
        <v>74</v>
      </c>
      <c r="BW371" t="s">
        <v>265</v>
      </c>
      <c r="BX371" t="s">
        <v>97</v>
      </c>
      <c r="BY371">
        <v>1200</v>
      </c>
      <c r="CA371" t="s">
        <v>266</v>
      </c>
      <c r="CC371" t="s">
        <v>262</v>
      </c>
      <c r="CD371">
        <v>7646</v>
      </c>
      <c r="CE371" t="s">
        <v>73</v>
      </c>
      <c r="CF371" s="1">
        <v>43941</v>
      </c>
      <c r="CI371">
        <v>1</v>
      </c>
      <c r="CJ371">
        <v>1</v>
      </c>
      <c r="CK371">
        <v>23</v>
      </c>
      <c r="CL371" t="s">
        <v>74</v>
      </c>
    </row>
    <row r="372" spans="1:90" x14ac:dyDescent="0.25">
      <c r="A372" t="s">
        <v>61</v>
      </c>
      <c r="B372" t="s">
        <v>62</v>
      </c>
      <c r="C372" t="s">
        <v>63</v>
      </c>
      <c r="E372" t="str">
        <f>"FES1162745043"</f>
        <v>FES1162745043</v>
      </c>
      <c r="F372" s="1">
        <v>43941</v>
      </c>
      <c r="G372">
        <v>202010</v>
      </c>
      <c r="H372" t="s">
        <v>64</v>
      </c>
      <c r="I372" t="s">
        <v>65</v>
      </c>
      <c r="J372" t="s">
        <v>66</v>
      </c>
      <c r="K372" t="s">
        <v>67</v>
      </c>
      <c r="L372" t="s">
        <v>92</v>
      </c>
      <c r="M372" t="s">
        <v>93</v>
      </c>
      <c r="N372" t="s">
        <v>165</v>
      </c>
      <c r="O372" t="s">
        <v>69</v>
      </c>
      <c r="P372" t="str">
        <f>"2170736245                    "</f>
        <v xml:space="preserve">2170736245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4.1900000000000004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G372">
        <v>0</v>
      </c>
      <c r="BH372">
        <v>1</v>
      </c>
      <c r="BI372">
        <v>1</v>
      </c>
      <c r="BJ372">
        <v>0.2</v>
      </c>
      <c r="BK372">
        <v>1</v>
      </c>
      <c r="BL372">
        <v>46.06</v>
      </c>
      <c r="BM372">
        <v>6.91</v>
      </c>
      <c r="BN372">
        <v>52.97</v>
      </c>
      <c r="BO372">
        <v>52.97</v>
      </c>
      <c r="BQ372" t="s">
        <v>70</v>
      </c>
      <c r="BR372" t="s">
        <v>71</v>
      </c>
      <c r="BS372" s="1">
        <v>43942</v>
      </c>
      <c r="BT372" s="2">
        <v>0.375</v>
      </c>
      <c r="BU372" t="s">
        <v>636</v>
      </c>
      <c r="BV372" t="s">
        <v>80</v>
      </c>
      <c r="BY372">
        <v>1200</v>
      </c>
      <c r="CA372" t="s">
        <v>167</v>
      </c>
      <c r="CC372" t="s">
        <v>93</v>
      </c>
      <c r="CD372">
        <v>7530</v>
      </c>
      <c r="CE372" t="s">
        <v>73</v>
      </c>
      <c r="CF372" s="1">
        <v>43943</v>
      </c>
      <c r="CI372">
        <v>1</v>
      </c>
      <c r="CJ372">
        <v>1</v>
      </c>
      <c r="CK372">
        <v>21</v>
      </c>
      <c r="CL372" t="s">
        <v>74</v>
      </c>
    </row>
    <row r="373" spans="1:90" x14ac:dyDescent="0.25">
      <c r="A373" t="s">
        <v>61</v>
      </c>
      <c r="B373" t="s">
        <v>62</v>
      </c>
      <c r="C373" t="s">
        <v>63</v>
      </c>
      <c r="E373" t="str">
        <f>"FES1162744572"</f>
        <v>FES1162744572</v>
      </c>
      <c r="F373" s="1">
        <v>43930</v>
      </c>
      <c r="G373">
        <v>202010</v>
      </c>
      <c r="H373" t="s">
        <v>64</v>
      </c>
      <c r="I373" t="s">
        <v>65</v>
      </c>
      <c r="J373" t="s">
        <v>66</v>
      </c>
      <c r="K373" t="s">
        <v>67</v>
      </c>
      <c r="L373" t="s">
        <v>64</v>
      </c>
      <c r="M373" t="s">
        <v>65</v>
      </c>
      <c r="N373" t="s">
        <v>191</v>
      </c>
      <c r="O373" t="s">
        <v>69</v>
      </c>
      <c r="P373" t="str">
        <f>"2170735011                    "</f>
        <v xml:space="preserve">2170735011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4.0599999999999996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G373">
        <v>0</v>
      </c>
      <c r="BH373">
        <v>1</v>
      </c>
      <c r="BI373">
        <v>3</v>
      </c>
      <c r="BJ373">
        <v>1.3</v>
      </c>
      <c r="BK373">
        <v>3</v>
      </c>
      <c r="BL373">
        <v>44.61</v>
      </c>
      <c r="BM373">
        <v>6.69</v>
      </c>
      <c r="BN373">
        <v>51.3</v>
      </c>
      <c r="BO373">
        <v>51.3</v>
      </c>
      <c r="BQ373" t="s">
        <v>70</v>
      </c>
      <c r="BR373" t="s">
        <v>71</v>
      </c>
      <c r="BS373" s="1">
        <v>43935</v>
      </c>
      <c r="BT373" s="2">
        <v>0.31944444444444448</v>
      </c>
      <c r="BU373" t="s">
        <v>192</v>
      </c>
      <c r="BV373" t="s">
        <v>80</v>
      </c>
      <c r="BY373">
        <v>6578.36</v>
      </c>
      <c r="CA373" t="s">
        <v>193</v>
      </c>
      <c r="CC373" t="s">
        <v>65</v>
      </c>
      <c r="CD373">
        <v>1601</v>
      </c>
      <c r="CE373" t="s">
        <v>91</v>
      </c>
      <c r="CF373" s="1">
        <v>43936</v>
      </c>
      <c r="CI373">
        <v>1</v>
      </c>
      <c r="CJ373">
        <v>3</v>
      </c>
      <c r="CK373">
        <v>22</v>
      </c>
      <c r="CL373" t="s">
        <v>74</v>
      </c>
    </row>
    <row r="374" spans="1:90" x14ac:dyDescent="0.25">
      <c r="A374" t="s">
        <v>61</v>
      </c>
      <c r="B374" t="s">
        <v>62</v>
      </c>
      <c r="C374" t="s">
        <v>63</v>
      </c>
      <c r="E374" t="str">
        <f>"FES1162744214"</f>
        <v>FES1162744214</v>
      </c>
      <c r="F374" s="1">
        <v>43937</v>
      </c>
      <c r="G374">
        <v>202010</v>
      </c>
      <c r="H374" t="s">
        <v>64</v>
      </c>
      <c r="I374" t="s">
        <v>65</v>
      </c>
      <c r="J374" t="s">
        <v>66</v>
      </c>
      <c r="K374" t="s">
        <v>67</v>
      </c>
      <c r="L374" t="s">
        <v>64</v>
      </c>
      <c r="M374" t="s">
        <v>65</v>
      </c>
      <c r="N374" t="s">
        <v>637</v>
      </c>
      <c r="O374" t="s">
        <v>69</v>
      </c>
      <c r="P374" t="str">
        <f>"2170733900                    "</f>
        <v xml:space="preserve">2170733900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3.27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G374">
        <v>0</v>
      </c>
      <c r="BH374">
        <v>1</v>
      </c>
      <c r="BI374">
        <v>1</v>
      </c>
      <c r="BJ374">
        <v>0.2</v>
      </c>
      <c r="BK374">
        <v>1</v>
      </c>
      <c r="BL374">
        <v>35.979999999999997</v>
      </c>
      <c r="BM374">
        <v>5.4</v>
      </c>
      <c r="BN374">
        <v>41.38</v>
      </c>
      <c r="BO374">
        <v>41.38</v>
      </c>
      <c r="BQ374" t="s">
        <v>78</v>
      </c>
      <c r="BR374" t="s">
        <v>71</v>
      </c>
      <c r="BS374" s="1">
        <v>43938</v>
      </c>
      <c r="BT374" s="2">
        <v>0.375</v>
      </c>
      <c r="BU374" t="s">
        <v>224</v>
      </c>
      <c r="BV374" t="s">
        <v>80</v>
      </c>
      <c r="BY374">
        <v>1200</v>
      </c>
      <c r="CC374" t="s">
        <v>65</v>
      </c>
      <c r="CD374">
        <v>1666</v>
      </c>
      <c r="CE374" t="s">
        <v>73</v>
      </c>
      <c r="CF374" s="1">
        <v>43941</v>
      </c>
      <c r="CI374">
        <v>1</v>
      </c>
      <c r="CJ374">
        <v>1</v>
      </c>
      <c r="CK374">
        <v>22</v>
      </c>
      <c r="CL374" t="s">
        <v>74</v>
      </c>
    </row>
    <row r="375" spans="1:90" x14ac:dyDescent="0.25">
      <c r="A375" t="s">
        <v>61</v>
      </c>
      <c r="B375" t="s">
        <v>62</v>
      </c>
      <c r="C375" t="s">
        <v>63</v>
      </c>
      <c r="E375" t="str">
        <f>"FES1162744759"</f>
        <v>FES1162744759</v>
      </c>
      <c r="F375" s="1">
        <v>43936</v>
      </c>
      <c r="G375">
        <v>202010</v>
      </c>
      <c r="H375" t="s">
        <v>64</v>
      </c>
      <c r="I375" t="s">
        <v>65</v>
      </c>
      <c r="J375" t="s">
        <v>66</v>
      </c>
      <c r="K375" t="s">
        <v>67</v>
      </c>
      <c r="L375" t="s">
        <v>254</v>
      </c>
      <c r="M375" t="s">
        <v>255</v>
      </c>
      <c r="N375" t="s">
        <v>613</v>
      </c>
      <c r="O375" t="s">
        <v>69</v>
      </c>
      <c r="P375" t="str">
        <f>"2170735920                    "</f>
        <v xml:space="preserve">2170735920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4.1900000000000004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G375">
        <v>0</v>
      </c>
      <c r="BH375">
        <v>1</v>
      </c>
      <c r="BI375">
        <v>1.1000000000000001</v>
      </c>
      <c r="BJ375">
        <v>0.8</v>
      </c>
      <c r="BK375">
        <v>1.5</v>
      </c>
      <c r="BL375">
        <v>46.06</v>
      </c>
      <c r="BM375">
        <v>6.91</v>
      </c>
      <c r="BN375">
        <v>52.97</v>
      </c>
      <c r="BO375">
        <v>52.97</v>
      </c>
      <c r="BQ375" t="s">
        <v>78</v>
      </c>
      <c r="BR375" t="s">
        <v>71</v>
      </c>
      <c r="BS375" s="1">
        <v>43937</v>
      </c>
      <c r="BT375" s="2">
        <v>0.36458333333333331</v>
      </c>
      <c r="BU375" t="s">
        <v>614</v>
      </c>
      <c r="BV375" t="s">
        <v>80</v>
      </c>
      <c r="BY375">
        <v>4113.9399999999996</v>
      </c>
      <c r="CA375" t="s">
        <v>615</v>
      </c>
      <c r="CC375" t="s">
        <v>255</v>
      </c>
      <c r="CD375">
        <v>157</v>
      </c>
      <c r="CE375" t="s">
        <v>91</v>
      </c>
      <c r="CI375">
        <v>1</v>
      </c>
      <c r="CJ375">
        <v>1</v>
      </c>
      <c r="CK375">
        <v>21</v>
      </c>
      <c r="CL375" t="s">
        <v>74</v>
      </c>
    </row>
    <row r="376" spans="1:90" x14ac:dyDescent="0.25">
      <c r="A376" t="s">
        <v>61</v>
      </c>
      <c r="B376" t="s">
        <v>62</v>
      </c>
      <c r="C376" t="s">
        <v>63</v>
      </c>
      <c r="E376" t="str">
        <f>"FES1162744526"</f>
        <v>FES1162744526</v>
      </c>
      <c r="F376" s="1">
        <v>43930</v>
      </c>
      <c r="G376">
        <v>202010</v>
      </c>
      <c r="H376" t="s">
        <v>64</v>
      </c>
      <c r="I376" t="s">
        <v>65</v>
      </c>
      <c r="J376" t="s">
        <v>66</v>
      </c>
      <c r="K376" t="s">
        <v>67</v>
      </c>
      <c r="L376" t="s">
        <v>92</v>
      </c>
      <c r="M376" t="s">
        <v>93</v>
      </c>
      <c r="N376" t="s">
        <v>365</v>
      </c>
      <c r="O376" t="s">
        <v>69</v>
      </c>
      <c r="P376" t="str">
        <f>"2170735865                    "</f>
        <v xml:space="preserve">2170735865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4.1900000000000004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G376">
        <v>0</v>
      </c>
      <c r="BH376">
        <v>1</v>
      </c>
      <c r="BI376">
        <v>1.3</v>
      </c>
      <c r="BJ376">
        <v>0.8</v>
      </c>
      <c r="BK376">
        <v>1.5</v>
      </c>
      <c r="BL376">
        <v>46.06</v>
      </c>
      <c r="BM376">
        <v>6.91</v>
      </c>
      <c r="BN376">
        <v>52.97</v>
      </c>
      <c r="BO376">
        <v>52.97</v>
      </c>
      <c r="BQ376" t="s">
        <v>78</v>
      </c>
      <c r="BR376" t="s">
        <v>71</v>
      </c>
      <c r="BS376" s="1">
        <v>43935</v>
      </c>
      <c r="BT376" s="2">
        <v>0.36944444444444446</v>
      </c>
      <c r="BU376" t="s">
        <v>638</v>
      </c>
      <c r="BV376" t="s">
        <v>80</v>
      </c>
      <c r="BY376">
        <v>4195.05</v>
      </c>
      <c r="CA376" t="s">
        <v>98</v>
      </c>
      <c r="CC376" t="s">
        <v>93</v>
      </c>
      <c r="CD376">
        <v>7460</v>
      </c>
      <c r="CE376" t="s">
        <v>91</v>
      </c>
      <c r="CF376" s="1">
        <v>43936</v>
      </c>
      <c r="CI376">
        <v>1</v>
      </c>
      <c r="CJ376">
        <v>3</v>
      </c>
      <c r="CK376">
        <v>21</v>
      </c>
      <c r="CL376" t="s">
        <v>74</v>
      </c>
    </row>
    <row r="377" spans="1:90" x14ac:dyDescent="0.25">
      <c r="A377" t="s">
        <v>61</v>
      </c>
      <c r="B377" t="s">
        <v>62</v>
      </c>
      <c r="C377" t="s">
        <v>63</v>
      </c>
      <c r="E377" t="str">
        <f>"FES1162744898"</f>
        <v>FES1162744898</v>
      </c>
      <c r="F377" s="1">
        <v>43937</v>
      </c>
      <c r="G377">
        <v>202010</v>
      </c>
      <c r="H377" t="s">
        <v>64</v>
      </c>
      <c r="I377" t="s">
        <v>65</v>
      </c>
      <c r="J377" t="s">
        <v>66</v>
      </c>
      <c r="K377" t="s">
        <v>67</v>
      </c>
      <c r="L377" t="s">
        <v>92</v>
      </c>
      <c r="M377" t="s">
        <v>93</v>
      </c>
      <c r="N377" t="s">
        <v>144</v>
      </c>
      <c r="O377" t="s">
        <v>69</v>
      </c>
      <c r="P377" t="str">
        <f>"2170735379                    "</f>
        <v xml:space="preserve">2170735379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4.1900000000000004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G377">
        <v>0</v>
      </c>
      <c r="BH377">
        <v>1</v>
      </c>
      <c r="BI377">
        <v>2</v>
      </c>
      <c r="BJ377">
        <v>1.1000000000000001</v>
      </c>
      <c r="BK377">
        <v>2</v>
      </c>
      <c r="BL377">
        <v>46.06</v>
      </c>
      <c r="BM377">
        <v>6.91</v>
      </c>
      <c r="BN377">
        <v>52.97</v>
      </c>
      <c r="BO377">
        <v>52.97</v>
      </c>
      <c r="BQ377" t="s">
        <v>78</v>
      </c>
      <c r="BR377" t="s">
        <v>71</v>
      </c>
      <c r="BS377" s="1">
        <v>43938</v>
      </c>
      <c r="BT377" s="2">
        <v>0.4909722222222222</v>
      </c>
      <c r="BU377" t="s">
        <v>328</v>
      </c>
      <c r="BV377" t="s">
        <v>74</v>
      </c>
      <c r="BW377" t="s">
        <v>96</v>
      </c>
      <c r="BX377" t="s">
        <v>97</v>
      </c>
      <c r="BY377">
        <v>5452.99</v>
      </c>
      <c r="CA377" t="s">
        <v>639</v>
      </c>
      <c r="CC377" t="s">
        <v>93</v>
      </c>
      <c r="CD377">
        <v>7530</v>
      </c>
      <c r="CE377" t="s">
        <v>91</v>
      </c>
      <c r="CF377" s="1">
        <v>43941</v>
      </c>
      <c r="CI377">
        <v>1</v>
      </c>
      <c r="CJ377">
        <v>1</v>
      </c>
      <c r="CK377">
        <v>21</v>
      </c>
      <c r="CL377" t="s">
        <v>74</v>
      </c>
    </row>
    <row r="378" spans="1:90" x14ac:dyDescent="0.25">
      <c r="A378" t="s">
        <v>61</v>
      </c>
      <c r="B378" t="s">
        <v>62</v>
      </c>
      <c r="C378" t="s">
        <v>63</v>
      </c>
      <c r="E378" t="str">
        <f>"FES1162744559"</f>
        <v>FES1162744559</v>
      </c>
      <c r="F378" s="1">
        <v>43930</v>
      </c>
      <c r="G378">
        <v>202010</v>
      </c>
      <c r="H378" t="s">
        <v>64</v>
      </c>
      <c r="I378" t="s">
        <v>65</v>
      </c>
      <c r="J378" t="s">
        <v>66</v>
      </c>
      <c r="K378" t="s">
        <v>67</v>
      </c>
      <c r="L378" t="s">
        <v>92</v>
      </c>
      <c r="M378" t="s">
        <v>93</v>
      </c>
      <c r="N378" t="s">
        <v>94</v>
      </c>
      <c r="O378" t="s">
        <v>69</v>
      </c>
      <c r="P378" t="str">
        <f>"2170734801                    "</f>
        <v xml:space="preserve">2170734801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4.1900000000000004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G378">
        <v>0</v>
      </c>
      <c r="BH378">
        <v>1</v>
      </c>
      <c r="BI378">
        <v>1</v>
      </c>
      <c r="BJ378">
        <v>0.2</v>
      </c>
      <c r="BK378">
        <v>1</v>
      </c>
      <c r="BL378">
        <v>46.06</v>
      </c>
      <c r="BM378">
        <v>6.91</v>
      </c>
      <c r="BN378">
        <v>52.97</v>
      </c>
      <c r="BO378">
        <v>52.97</v>
      </c>
      <c r="BQ378" t="s">
        <v>70</v>
      </c>
      <c r="BR378" t="s">
        <v>71</v>
      </c>
      <c r="BS378" s="1">
        <v>43935</v>
      </c>
      <c r="BT378" s="2">
        <v>0.53125</v>
      </c>
      <c r="BU378" t="s">
        <v>95</v>
      </c>
      <c r="BV378" t="s">
        <v>74</v>
      </c>
      <c r="BW378" t="s">
        <v>96</v>
      </c>
      <c r="BX378" t="s">
        <v>97</v>
      </c>
      <c r="BY378">
        <v>1200</v>
      </c>
      <c r="CA378" t="s">
        <v>98</v>
      </c>
      <c r="CC378" t="s">
        <v>93</v>
      </c>
      <c r="CD378">
        <v>7441</v>
      </c>
      <c r="CE378" t="s">
        <v>73</v>
      </c>
      <c r="CF378" s="1">
        <v>43936</v>
      </c>
      <c r="CI378">
        <v>1</v>
      </c>
      <c r="CJ378">
        <v>3</v>
      </c>
      <c r="CK378">
        <v>21</v>
      </c>
      <c r="CL378" t="s">
        <v>74</v>
      </c>
    </row>
    <row r="379" spans="1:90" x14ac:dyDescent="0.25">
      <c r="A379" t="s">
        <v>61</v>
      </c>
      <c r="B379" t="s">
        <v>62</v>
      </c>
      <c r="C379" t="s">
        <v>63</v>
      </c>
      <c r="E379" t="str">
        <f>"FES1162744757"</f>
        <v>FES1162744757</v>
      </c>
      <c r="F379" s="1">
        <v>43935</v>
      </c>
      <c r="G379">
        <v>202010</v>
      </c>
      <c r="H379" t="s">
        <v>64</v>
      </c>
      <c r="I379" t="s">
        <v>65</v>
      </c>
      <c r="J379" t="s">
        <v>66</v>
      </c>
      <c r="K379" t="s">
        <v>67</v>
      </c>
      <c r="L379" t="s">
        <v>92</v>
      </c>
      <c r="M379" t="s">
        <v>93</v>
      </c>
      <c r="N379" t="s">
        <v>94</v>
      </c>
      <c r="O379" t="s">
        <v>69</v>
      </c>
      <c r="P379" t="str">
        <f>"2170736011                    "</f>
        <v xml:space="preserve">2170736011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18.829999999999998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G379">
        <v>0</v>
      </c>
      <c r="BH379">
        <v>1</v>
      </c>
      <c r="BI379">
        <v>3.4</v>
      </c>
      <c r="BJ379">
        <v>8.6</v>
      </c>
      <c r="BK379">
        <v>9</v>
      </c>
      <c r="BL379">
        <v>207.14</v>
      </c>
      <c r="BM379">
        <v>31.07</v>
      </c>
      <c r="BN379">
        <v>238.21</v>
      </c>
      <c r="BO379">
        <v>238.21</v>
      </c>
      <c r="BQ379" t="s">
        <v>70</v>
      </c>
      <c r="BR379" t="s">
        <v>71</v>
      </c>
      <c r="BS379" s="1">
        <v>43936</v>
      </c>
      <c r="BT379" s="2">
        <v>0.41666666666666669</v>
      </c>
      <c r="BU379" t="s">
        <v>640</v>
      </c>
      <c r="BV379" t="s">
        <v>80</v>
      </c>
      <c r="BY379">
        <v>42939.02</v>
      </c>
      <c r="CC379" t="s">
        <v>93</v>
      </c>
      <c r="CD379">
        <v>7441</v>
      </c>
      <c r="CE379" t="s">
        <v>91</v>
      </c>
      <c r="CF379" s="1">
        <v>43937</v>
      </c>
      <c r="CI379">
        <v>1</v>
      </c>
      <c r="CJ379">
        <v>1</v>
      </c>
      <c r="CK379">
        <v>21</v>
      </c>
      <c r="CL379" t="s">
        <v>74</v>
      </c>
    </row>
    <row r="380" spans="1:90" x14ac:dyDescent="0.25">
      <c r="A380" t="s">
        <v>61</v>
      </c>
      <c r="B380" t="s">
        <v>62</v>
      </c>
      <c r="C380" t="s">
        <v>63</v>
      </c>
      <c r="E380" t="str">
        <f>"RFES1162743754"</f>
        <v>RFES1162743754</v>
      </c>
      <c r="F380" s="1">
        <v>43935</v>
      </c>
      <c r="G380">
        <v>202010</v>
      </c>
      <c r="H380" t="s">
        <v>422</v>
      </c>
      <c r="I380" t="s">
        <v>423</v>
      </c>
      <c r="J380" t="s">
        <v>641</v>
      </c>
      <c r="K380" t="s">
        <v>67</v>
      </c>
      <c r="L380" t="s">
        <v>64</v>
      </c>
      <c r="M380" t="s">
        <v>65</v>
      </c>
      <c r="N380" t="s">
        <v>66</v>
      </c>
      <c r="O380" t="s">
        <v>69</v>
      </c>
      <c r="P380" t="str">
        <f>"2170735131                    "</f>
        <v xml:space="preserve">2170735131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5.89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G380">
        <v>0</v>
      </c>
      <c r="BH380">
        <v>1</v>
      </c>
      <c r="BI380">
        <v>1</v>
      </c>
      <c r="BJ380">
        <v>0.2</v>
      </c>
      <c r="BK380">
        <v>1</v>
      </c>
      <c r="BL380">
        <v>64.77</v>
      </c>
      <c r="BM380">
        <v>9.7200000000000006</v>
      </c>
      <c r="BN380">
        <v>74.489999999999995</v>
      </c>
      <c r="BO380">
        <v>74.489999999999995</v>
      </c>
      <c r="BQ380" t="s">
        <v>71</v>
      </c>
      <c r="BR380" t="s">
        <v>70</v>
      </c>
      <c r="BS380" s="1">
        <v>43936</v>
      </c>
      <c r="BT380" s="2">
        <v>0.36458333333333331</v>
      </c>
      <c r="BU380" t="s">
        <v>243</v>
      </c>
      <c r="BV380" t="s">
        <v>80</v>
      </c>
      <c r="BY380">
        <v>1200</v>
      </c>
      <c r="CA380" t="s">
        <v>642</v>
      </c>
      <c r="CC380" t="s">
        <v>65</v>
      </c>
      <c r="CD380">
        <v>1601</v>
      </c>
      <c r="CE380" t="s">
        <v>73</v>
      </c>
      <c r="CF380" s="1">
        <v>43937</v>
      </c>
      <c r="CI380">
        <v>1</v>
      </c>
      <c r="CJ380">
        <v>1</v>
      </c>
      <c r="CK380">
        <v>24</v>
      </c>
      <c r="CL380" t="s">
        <v>74</v>
      </c>
    </row>
    <row r="381" spans="1:90" x14ac:dyDescent="0.25">
      <c r="A381" t="s">
        <v>61</v>
      </c>
      <c r="B381" t="s">
        <v>62</v>
      </c>
      <c r="C381" t="s">
        <v>63</v>
      </c>
      <c r="E381" t="str">
        <f>"RFES1162743849"</f>
        <v>RFES1162743849</v>
      </c>
      <c r="F381" s="1">
        <v>43935</v>
      </c>
      <c r="G381">
        <v>202010</v>
      </c>
      <c r="H381" t="s">
        <v>422</v>
      </c>
      <c r="I381" t="s">
        <v>423</v>
      </c>
      <c r="J381" t="s">
        <v>641</v>
      </c>
      <c r="K381" t="s">
        <v>67</v>
      </c>
      <c r="L381" t="s">
        <v>64</v>
      </c>
      <c r="M381" t="s">
        <v>65</v>
      </c>
      <c r="N381" t="s">
        <v>66</v>
      </c>
      <c r="O381" t="s">
        <v>69</v>
      </c>
      <c r="P381" t="str">
        <f>"2170735740                    "</f>
        <v xml:space="preserve">2170735740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5.89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G381">
        <v>0</v>
      </c>
      <c r="BH381">
        <v>1</v>
      </c>
      <c r="BI381">
        <v>1</v>
      </c>
      <c r="BJ381">
        <v>0.9</v>
      </c>
      <c r="BK381">
        <v>1</v>
      </c>
      <c r="BL381">
        <v>64.77</v>
      </c>
      <c r="BM381">
        <v>9.7200000000000006</v>
      </c>
      <c r="BN381">
        <v>74.489999999999995</v>
      </c>
      <c r="BO381">
        <v>74.489999999999995</v>
      </c>
      <c r="BQ381" t="s">
        <v>71</v>
      </c>
      <c r="BR381" t="s">
        <v>643</v>
      </c>
      <c r="BS381" s="1">
        <v>43936</v>
      </c>
      <c r="BT381" s="2">
        <v>0.36458333333333331</v>
      </c>
      <c r="BU381" t="s">
        <v>243</v>
      </c>
      <c r="BV381" t="s">
        <v>80</v>
      </c>
      <c r="BY381">
        <v>4746.0600000000004</v>
      </c>
      <c r="CA381" t="s">
        <v>644</v>
      </c>
      <c r="CC381" t="s">
        <v>65</v>
      </c>
      <c r="CD381">
        <v>1601</v>
      </c>
      <c r="CE381" t="s">
        <v>73</v>
      </c>
      <c r="CF381" s="1">
        <v>43937</v>
      </c>
      <c r="CI381">
        <v>1</v>
      </c>
      <c r="CJ381">
        <v>1</v>
      </c>
      <c r="CK381">
        <v>24</v>
      </c>
      <c r="CL381" t="s">
        <v>74</v>
      </c>
    </row>
    <row r="382" spans="1:90" x14ac:dyDescent="0.25">
      <c r="A382" t="s">
        <v>61</v>
      </c>
      <c r="B382" t="s">
        <v>62</v>
      </c>
      <c r="C382" t="s">
        <v>63</v>
      </c>
      <c r="E382" t="str">
        <f>"FES1162744724"</f>
        <v>FES1162744724</v>
      </c>
      <c r="F382" s="1">
        <v>43935</v>
      </c>
      <c r="G382">
        <v>202010</v>
      </c>
      <c r="H382" t="s">
        <v>64</v>
      </c>
      <c r="I382" t="s">
        <v>65</v>
      </c>
      <c r="J382" t="s">
        <v>66</v>
      </c>
      <c r="K382" t="s">
        <v>67</v>
      </c>
      <c r="L382" t="s">
        <v>199</v>
      </c>
      <c r="M382" t="s">
        <v>200</v>
      </c>
      <c r="N382" t="s">
        <v>201</v>
      </c>
      <c r="O382" t="s">
        <v>69</v>
      </c>
      <c r="P382" t="str">
        <f>"2170735984                    "</f>
        <v xml:space="preserve">2170735984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3.27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G382">
        <v>0</v>
      </c>
      <c r="BH382">
        <v>1</v>
      </c>
      <c r="BI382">
        <v>1</v>
      </c>
      <c r="BJ382">
        <v>0.2</v>
      </c>
      <c r="BK382">
        <v>1</v>
      </c>
      <c r="BL382">
        <v>35.979999999999997</v>
      </c>
      <c r="BM382">
        <v>5.4</v>
      </c>
      <c r="BN382">
        <v>41.38</v>
      </c>
      <c r="BO382">
        <v>41.38</v>
      </c>
      <c r="BQ382" t="s">
        <v>78</v>
      </c>
      <c r="BR382" t="s">
        <v>71</v>
      </c>
      <c r="BS382" s="1">
        <v>43936</v>
      </c>
      <c r="BT382" s="2">
        <v>0.49791666666666662</v>
      </c>
      <c r="BU382" t="s">
        <v>645</v>
      </c>
      <c r="BV382" t="s">
        <v>74</v>
      </c>
      <c r="BW382" t="s">
        <v>646</v>
      </c>
      <c r="BX382" t="s">
        <v>203</v>
      </c>
      <c r="BY382">
        <v>1200</v>
      </c>
      <c r="CA382" t="s">
        <v>437</v>
      </c>
      <c r="CC382" t="s">
        <v>200</v>
      </c>
      <c r="CD382">
        <v>1559</v>
      </c>
      <c r="CE382" t="s">
        <v>73</v>
      </c>
      <c r="CI382">
        <v>1</v>
      </c>
      <c r="CJ382">
        <v>1</v>
      </c>
      <c r="CK382">
        <v>22</v>
      </c>
      <c r="CL382" t="s">
        <v>74</v>
      </c>
    </row>
    <row r="383" spans="1:90" x14ac:dyDescent="0.25">
      <c r="A383" t="s">
        <v>61</v>
      </c>
      <c r="B383" t="s">
        <v>62</v>
      </c>
      <c r="C383" t="s">
        <v>63</v>
      </c>
      <c r="E383" t="str">
        <f>"FES1162745756"</f>
        <v>FES1162745756</v>
      </c>
      <c r="F383" s="1">
        <v>43951</v>
      </c>
      <c r="G383">
        <v>202010</v>
      </c>
      <c r="H383" t="s">
        <v>64</v>
      </c>
      <c r="I383" t="s">
        <v>65</v>
      </c>
      <c r="J383" t="s">
        <v>66</v>
      </c>
      <c r="K383" t="s">
        <v>67</v>
      </c>
      <c r="L383" t="s">
        <v>212</v>
      </c>
      <c r="M383" t="s">
        <v>213</v>
      </c>
      <c r="N383" t="s">
        <v>647</v>
      </c>
      <c r="O383" t="s">
        <v>69</v>
      </c>
      <c r="P383" t="str">
        <f>"21707320696                   "</f>
        <v xml:space="preserve">21707320696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4.1900000000000004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G383">
        <v>0</v>
      </c>
      <c r="BH383">
        <v>1</v>
      </c>
      <c r="BI383">
        <v>1</v>
      </c>
      <c r="BJ383">
        <v>0.2</v>
      </c>
      <c r="BK383">
        <v>1</v>
      </c>
      <c r="BL383">
        <v>46.06</v>
      </c>
      <c r="BM383">
        <v>6.91</v>
      </c>
      <c r="BN383">
        <v>52.97</v>
      </c>
      <c r="BO383">
        <v>52.97</v>
      </c>
      <c r="BQ383" t="s">
        <v>78</v>
      </c>
      <c r="BR383" t="s">
        <v>71</v>
      </c>
      <c r="BS383" t="s">
        <v>72</v>
      </c>
      <c r="BY383">
        <v>1200</v>
      </c>
      <c r="CC383" t="s">
        <v>213</v>
      </c>
      <c r="CD383">
        <v>3610</v>
      </c>
      <c r="CE383" t="s">
        <v>73</v>
      </c>
      <c r="CI383">
        <v>1</v>
      </c>
      <c r="CJ383" t="s">
        <v>72</v>
      </c>
      <c r="CK383">
        <v>21</v>
      </c>
      <c r="CL383" t="s">
        <v>74</v>
      </c>
    </row>
    <row r="384" spans="1:90" x14ac:dyDescent="0.25">
      <c r="A384" t="s">
        <v>61</v>
      </c>
      <c r="B384" t="s">
        <v>62</v>
      </c>
      <c r="C384" t="s">
        <v>63</v>
      </c>
      <c r="E384" t="str">
        <f>"FES1162744737"</f>
        <v>FES1162744737</v>
      </c>
      <c r="F384" s="1">
        <v>43935</v>
      </c>
      <c r="G384">
        <v>202010</v>
      </c>
      <c r="H384" t="s">
        <v>64</v>
      </c>
      <c r="I384" t="s">
        <v>65</v>
      </c>
      <c r="J384" t="s">
        <v>66</v>
      </c>
      <c r="K384" t="s">
        <v>67</v>
      </c>
      <c r="L384" t="s">
        <v>75</v>
      </c>
      <c r="M384" t="s">
        <v>76</v>
      </c>
      <c r="N384" t="s">
        <v>155</v>
      </c>
      <c r="O384" t="s">
        <v>69</v>
      </c>
      <c r="P384" t="str">
        <f>"2170735504                    "</f>
        <v xml:space="preserve">2170735504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3.27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G384">
        <v>0</v>
      </c>
      <c r="BH384">
        <v>1</v>
      </c>
      <c r="BI384">
        <v>1</v>
      </c>
      <c r="BJ384">
        <v>0.2</v>
      </c>
      <c r="BK384">
        <v>1</v>
      </c>
      <c r="BL384">
        <v>35.979999999999997</v>
      </c>
      <c r="BM384">
        <v>5.4</v>
      </c>
      <c r="BN384">
        <v>41.38</v>
      </c>
      <c r="BO384">
        <v>41.38</v>
      </c>
      <c r="BQ384" t="s">
        <v>78</v>
      </c>
      <c r="BR384" t="s">
        <v>71</v>
      </c>
      <c r="BS384" s="1">
        <v>43936</v>
      </c>
      <c r="BT384" s="2">
        <v>0.3611111111111111</v>
      </c>
      <c r="BU384" t="s">
        <v>616</v>
      </c>
      <c r="BV384" t="s">
        <v>80</v>
      </c>
      <c r="BY384">
        <v>1200</v>
      </c>
      <c r="CA384" t="s">
        <v>157</v>
      </c>
      <c r="CC384" t="s">
        <v>76</v>
      </c>
      <c r="CD384">
        <v>1459</v>
      </c>
      <c r="CE384" t="s">
        <v>73</v>
      </c>
      <c r="CF384" s="1">
        <v>43943</v>
      </c>
      <c r="CI384">
        <v>1</v>
      </c>
      <c r="CJ384">
        <v>1</v>
      </c>
      <c r="CK384">
        <v>22</v>
      </c>
      <c r="CL384" t="s">
        <v>74</v>
      </c>
    </row>
    <row r="385" spans="1:90" x14ac:dyDescent="0.25">
      <c r="A385" t="s">
        <v>61</v>
      </c>
      <c r="B385" t="s">
        <v>62</v>
      </c>
      <c r="C385" t="s">
        <v>63</v>
      </c>
      <c r="E385" t="str">
        <f>"FES1162744678"</f>
        <v>FES1162744678</v>
      </c>
      <c r="F385" s="1">
        <v>43935</v>
      </c>
      <c r="G385">
        <v>202010</v>
      </c>
      <c r="H385" t="s">
        <v>64</v>
      </c>
      <c r="I385" t="s">
        <v>65</v>
      </c>
      <c r="J385" t="s">
        <v>66</v>
      </c>
      <c r="K385" t="s">
        <v>67</v>
      </c>
      <c r="L385" t="s">
        <v>254</v>
      </c>
      <c r="M385" t="s">
        <v>255</v>
      </c>
      <c r="N385" t="s">
        <v>648</v>
      </c>
      <c r="O385" t="s">
        <v>69</v>
      </c>
      <c r="P385" t="str">
        <f>"2170735753                    "</f>
        <v xml:space="preserve">2170735753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4.1900000000000004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G385">
        <v>0</v>
      </c>
      <c r="BH385">
        <v>1</v>
      </c>
      <c r="BI385">
        <v>1</v>
      </c>
      <c r="BJ385">
        <v>0.2</v>
      </c>
      <c r="BK385">
        <v>1</v>
      </c>
      <c r="BL385">
        <v>46.06</v>
      </c>
      <c r="BM385">
        <v>6.91</v>
      </c>
      <c r="BN385">
        <v>52.97</v>
      </c>
      <c r="BO385">
        <v>52.97</v>
      </c>
      <c r="BQ385" t="s">
        <v>70</v>
      </c>
      <c r="BR385" t="s">
        <v>71</v>
      </c>
      <c r="BS385" s="1">
        <v>43945</v>
      </c>
      <c r="BT385" s="2">
        <v>0.42222222222222222</v>
      </c>
      <c r="BU385" t="s">
        <v>649</v>
      </c>
      <c r="BV385" t="s">
        <v>74</v>
      </c>
      <c r="BW385" t="s">
        <v>258</v>
      </c>
      <c r="BX385" t="s">
        <v>259</v>
      </c>
      <c r="BY385">
        <v>1200</v>
      </c>
      <c r="CA385" t="s">
        <v>542</v>
      </c>
      <c r="CC385" t="s">
        <v>255</v>
      </c>
      <c r="CD385">
        <v>82</v>
      </c>
      <c r="CE385" t="s">
        <v>73</v>
      </c>
      <c r="CF385" s="1">
        <v>43949</v>
      </c>
      <c r="CI385">
        <v>1</v>
      </c>
      <c r="CJ385">
        <v>8</v>
      </c>
      <c r="CK385">
        <v>21</v>
      </c>
      <c r="CL385" t="s">
        <v>74</v>
      </c>
    </row>
    <row r="386" spans="1:90" x14ac:dyDescent="0.25">
      <c r="A386" t="s">
        <v>61</v>
      </c>
      <c r="B386" t="s">
        <v>62</v>
      </c>
      <c r="C386" t="s">
        <v>63</v>
      </c>
      <c r="E386" t="str">
        <f>"FES1162744051"</f>
        <v>FES1162744051</v>
      </c>
      <c r="F386" s="1">
        <v>43935</v>
      </c>
      <c r="G386">
        <v>202010</v>
      </c>
      <c r="H386" t="s">
        <v>64</v>
      </c>
      <c r="I386" t="s">
        <v>65</v>
      </c>
      <c r="J386" t="s">
        <v>66</v>
      </c>
      <c r="K386" t="s">
        <v>67</v>
      </c>
      <c r="L386" t="s">
        <v>254</v>
      </c>
      <c r="M386" t="s">
        <v>255</v>
      </c>
      <c r="N386" t="s">
        <v>587</v>
      </c>
      <c r="O386" t="s">
        <v>69</v>
      </c>
      <c r="P386" t="str">
        <f>"2170730069                    "</f>
        <v xml:space="preserve">2170730069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11.51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G386">
        <v>0</v>
      </c>
      <c r="BH386">
        <v>1</v>
      </c>
      <c r="BI386">
        <v>0.7</v>
      </c>
      <c r="BJ386">
        <v>5.2</v>
      </c>
      <c r="BK386">
        <v>5.5</v>
      </c>
      <c r="BL386">
        <v>126.6</v>
      </c>
      <c r="BM386">
        <v>18.989999999999998</v>
      </c>
      <c r="BN386">
        <v>145.59</v>
      </c>
      <c r="BO386">
        <v>145.59</v>
      </c>
      <c r="BQ386" t="s">
        <v>78</v>
      </c>
      <c r="BR386" t="s">
        <v>71</v>
      </c>
      <c r="BS386" s="1">
        <v>43937</v>
      </c>
      <c r="BT386" s="2">
        <v>0.52083333333333337</v>
      </c>
      <c r="BU386" t="s">
        <v>650</v>
      </c>
      <c r="BV386" t="s">
        <v>74</v>
      </c>
      <c r="BW386" t="s">
        <v>258</v>
      </c>
      <c r="BX386" t="s">
        <v>259</v>
      </c>
      <c r="BY386">
        <v>25905.599999999999</v>
      </c>
      <c r="CC386" t="s">
        <v>255</v>
      </c>
      <c r="CD386">
        <v>117</v>
      </c>
      <c r="CE386" t="s">
        <v>91</v>
      </c>
      <c r="CF386" s="1">
        <v>43938</v>
      </c>
      <c r="CI386">
        <v>1</v>
      </c>
      <c r="CJ386">
        <v>2</v>
      </c>
      <c r="CK386">
        <v>21</v>
      </c>
      <c r="CL386" t="s">
        <v>74</v>
      </c>
    </row>
    <row r="387" spans="1:90" x14ac:dyDescent="0.25">
      <c r="A387" t="s">
        <v>61</v>
      </c>
      <c r="B387" t="s">
        <v>62</v>
      </c>
      <c r="C387" t="s">
        <v>63</v>
      </c>
      <c r="E387" t="str">
        <f>"FES1162744662"</f>
        <v>FES1162744662</v>
      </c>
      <c r="F387" s="1">
        <v>43935</v>
      </c>
      <c r="G387">
        <v>202010</v>
      </c>
      <c r="H387" t="s">
        <v>64</v>
      </c>
      <c r="I387" t="s">
        <v>65</v>
      </c>
      <c r="J387" t="s">
        <v>66</v>
      </c>
      <c r="K387" t="s">
        <v>67</v>
      </c>
      <c r="L387" t="s">
        <v>270</v>
      </c>
      <c r="M387" t="s">
        <v>271</v>
      </c>
      <c r="N387" t="s">
        <v>484</v>
      </c>
      <c r="O387" t="s">
        <v>69</v>
      </c>
      <c r="P387" t="str">
        <f>"2170731843                    "</f>
        <v xml:space="preserve">2170731843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6.41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G387">
        <v>0</v>
      </c>
      <c r="BH387">
        <v>1</v>
      </c>
      <c r="BI387">
        <v>5.6</v>
      </c>
      <c r="BJ387">
        <v>2.5</v>
      </c>
      <c r="BK387">
        <v>6</v>
      </c>
      <c r="BL387">
        <v>70.48</v>
      </c>
      <c r="BM387">
        <v>10.57</v>
      </c>
      <c r="BN387">
        <v>81.05</v>
      </c>
      <c r="BO387">
        <v>81.05</v>
      </c>
      <c r="BQ387" t="s">
        <v>70</v>
      </c>
      <c r="BR387" t="s">
        <v>71</v>
      </c>
      <c r="BS387" s="1">
        <v>43936</v>
      </c>
      <c r="BT387" s="2">
        <v>0.36527777777777781</v>
      </c>
      <c r="BU387" t="s">
        <v>608</v>
      </c>
      <c r="BV387" t="s">
        <v>80</v>
      </c>
      <c r="BY387">
        <v>12478.75</v>
      </c>
      <c r="CA387" t="s">
        <v>486</v>
      </c>
      <c r="CC387" t="s">
        <v>271</v>
      </c>
      <c r="CD387">
        <v>2013</v>
      </c>
      <c r="CE387" t="s">
        <v>91</v>
      </c>
      <c r="CI387">
        <v>1</v>
      </c>
      <c r="CJ387">
        <v>1</v>
      </c>
      <c r="CK387">
        <v>22</v>
      </c>
      <c r="CL387" t="s">
        <v>74</v>
      </c>
    </row>
    <row r="388" spans="1:90" x14ac:dyDescent="0.25">
      <c r="A388" t="s">
        <v>61</v>
      </c>
      <c r="B388" t="s">
        <v>62</v>
      </c>
      <c r="C388" t="s">
        <v>63</v>
      </c>
      <c r="E388" t="str">
        <f>"FES1162744532"</f>
        <v>FES1162744532</v>
      </c>
      <c r="F388" s="1">
        <v>43930</v>
      </c>
      <c r="G388">
        <v>202010</v>
      </c>
      <c r="H388" t="s">
        <v>64</v>
      </c>
      <c r="I388" t="s">
        <v>65</v>
      </c>
      <c r="J388" t="s">
        <v>66</v>
      </c>
      <c r="K388" t="s">
        <v>67</v>
      </c>
      <c r="L388" t="s">
        <v>238</v>
      </c>
      <c r="M388" t="s">
        <v>239</v>
      </c>
      <c r="N388" t="s">
        <v>240</v>
      </c>
      <c r="O388" t="s">
        <v>69</v>
      </c>
      <c r="P388" t="str">
        <f>"2170735879                    "</f>
        <v xml:space="preserve">2170735879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6.28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G388">
        <v>0</v>
      </c>
      <c r="BH388">
        <v>1</v>
      </c>
      <c r="BI388">
        <v>2.7</v>
      </c>
      <c r="BJ388">
        <v>1.4</v>
      </c>
      <c r="BK388">
        <v>3</v>
      </c>
      <c r="BL388">
        <v>69.069999999999993</v>
      </c>
      <c r="BM388">
        <v>10.36</v>
      </c>
      <c r="BN388">
        <v>79.430000000000007</v>
      </c>
      <c r="BO388">
        <v>79.430000000000007</v>
      </c>
      <c r="BQ388" t="s">
        <v>70</v>
      </c>
      <c r="BR388" t="s">
        <v>71</v>
      </c>
      <c r="BS388" s="1">
        <v>43935</v>
      </c>
      <c r="BT388" s="2">
        <v>0.34166666666666662</v>
      </c>
      <c r="BU388" t="s">
        <v>651</v>
      </c>
      <c r="BV388" t="s">
        <v>80</v>
      </c>
      <c r="BY388">
        <v>7058.88</v>
      </c>
      <c r="CA388" t="s">
        <v>242</v>
      </c>
      <c r="CC388" t="s">
        <v>239</v>
      </c>
      <c r="CD388">
        <v>5200</v>
      </c>
      <c r="CE388" t="s">
        <v>91</v>
      </c>
      <c r="CF388" s="1">
        <v>43938</v>
      </c>
      <c r="CI388">
        <v>1</v>
      </c>
      <c r="CJ388">
        <v>3</v>
      </c>
      <c r="CK388">
        <v>21</v>
      </c>
      <c r="CL388" t="s">
        <v>74</v>
      </c>
    </row>
    <row r="389" spans="1:90" x14ac:dyDescent="0.25">
      <c r="A389" t="s">
        <v>61</v>
      </c>
      <c r="B389" t="s">
        <v>62</v>
      </c>
      <c r="C389" t="s">
        <v>63</v>
      </c>
      <c r="E389" t="str">
        <f>"FES1162744589"</f>
        <v>FES1162744589</v>
      </c>
      <c r="F389" s="1">
        <v>43930</v>
      </c>
      <c r="G389">
        <v>202010</v>
      </c>
      <c r="H389" t="s">
        <v>64</v>
      </c>
      <c r="I389" t="s">
        <v>65</v>
      </c>
      <c r="J389" t="s">
        <v>66</v>
      </c>
      <c r="K389" t="s">
        <v>67</v>
      </c>
      <c r="L389" t="s">
        <v>652</v>
      </c>
      <c r="M389" t="s">
        <v>653</v>
      </c>
      <c r="N389" t="s">
        <v>654</v>
      </c>
      <c r="O389" t="s">
        <v>69</v>
      </c>
      <c r="P389" t="str">
        <f>"2170735868                    "</f>
        <v xml:space="preserve">2170735868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5.89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G389">
        <v>0</v>
      </c>
      <c r="BH389">
        <v>1</v>
      </c>
      <c r="BI389">
        <v>1</v>
      </c>
      <c r="BJ389">
        <v>0.2</v>
      </c>
      <c r="BK389">
        <v>1</v>
      </c>
      <c r="BL389">
        <v>64.77</v>
      </c>
      <c r="BM389">
        <v>9.7200000000000006</v>
      </c>
      <c r="BN389">
        <v>74.489999999999995</v>
      </c>
      <c r="BO389">
        <v>74.489999999999995</v>
      </c>
      <c r="BQ389" t="s">
        <v>78</v>
      </c>
      <c r="BR389" t="s">
        <v>71</v>
      </c>
      <c r="BS389" s="1">
        <v>43935</v>
      </c>
      <c r="BT389" s="2">
        <v>0.3923611111111111</v>
      </c>
      <c r="BU389" t="s">
        <v>655</v>
      </c>
      <c r="BV389" t="s">
        <v>80</v>
      </c>
      <c r="BY389">
        <v>1200</v>
      </c>
      <c r="CA389" t="s">
        <v>656</v>
      </c>
      <c r="CC389" t="s">
        <v>653</v>
      </c>
      <c r="CD389">
        <v>1055</v>
      </c>
      <c r="CE389" t="s">
        <v>73</v>
      </c>
      <c r="CF389" s="1">
        <v>43938</v>
      </c>
      <c r="CI389">
        <v>1</v>
      </c>
      <c r="CJ389">
        <v>2</v>
      </c>
      <c r="CK389">
        <v>24</v>
      </c>
      <c r="CL389" t="s">
        <v>74</v>
      </c>
    </row>
    <row r="390" spans="1:90" x14ac:dyDescent="0.25">
      <c r="A390" t="s">
        <v>61</v>
      </c>
      <c r="B390" t="s">
        <v>62</v>
      </c>
      <c r="C390" t="s">
        <v>63</v>
      </c>
      <c r="E390" t="str">
        <f>"FES1162744530"</f>
        <v>FES1162744530</v>
      </c>
      <c r="F390" s="1">
        <v>43930</v>
      </c>
      <c r="G390">
        <v>202010</v>
      </c>
      <c r="H390" t="s">
        <v>64</v>
      </c>
      <c r="I390" t="s">
        <v>65</v>
      </c>
      <c r="J390" t="s">
        <v>66</v>
      </c>
      <c r="K390" t="s">
        <v>67</v>
      </c>
      <c r="L390" t="s">
        <v>64</v>
      </c>
      <c r="M390" t="s">
        <v>65</v>
      </c>
      <c r="N390" t="s">
        <v>191</v>
      </c>
      <c r="O390" t="s">
        <v>69</v>
      </c>
      <c r="P390" t="str">
        <f>"2170735875                    "</f>
        <v xml:space="preserve">2170735875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3.27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G390">
        <v>0</v>
      </c>
      <c r="BH390">
        <v>1</v>
      </c>
      <c r="BI390">
        <v>1</v>
      </c>
      <c r="BJ390">
        <v>0.2</v>
      </c>
      <c r="BK390">
        <v>1</v>
      </c>
      <c r="BL390">
        <v>35.979999999999997</v>
      </c>
      <c r="BM390">
        <v>5.4</v>
      </c>
      <c r="BN390">
        <v>41.38</v>
      </c>
      <c r="BO390">
        <v>41.38</v>
      </c>
      <c r="BQ390" t="s">
        <v>70</v>
      </c>
      <c r="BR390" t="s">
        <v>71</v>
      </c>
      <c r="BS390" s="1">
        <v>43935</v>
      </c>
      <c r="BT390" s="2">
        <v>0.31944444444444448</v>
      </c>
      <c r="BU390" t="s">
        <v>192</v>
      </c>
      <c r="BV390" t="s">
        <v>80</v>
      </c>
      <c r="BY390">
        <v>1200</v>
      </c>
      <c r="CA390" t="s">
        <v>193</v>
      </c>
      <c r="CC390" t="s">
        <v>65</v>
      </c>
      <c r="CD390">
        <v>1601</v>
      </c>
      <c r="CE390" t="s">
        <v>73</v>
      </c>
      <c r="CF390" s="1">
        <v>43936</v>
      </c>
      <c r="CI390">
        <v>1</v>
      </c>
      <c r="CJ390">
        <v>3</v>
      </c>
      <c r="CK390">
        <v>22</v>
      </c>
      <c r="CL390" t="s">
        <v>74</v>
      </c>
    </row>
    <row r="391" spans="1:90" x14ac:dyDescent="0.25">
      <c r="A391" t="s">
        <v>61</v>
      </c>
      <c r="B391" t="s">
        <v>62</v>
      </c>
      <c r="C391" t="s">
        <v>63</v>
      </c>
      <c r="E391" t="str">
        <f>"FES1162744624"</f>
        <v>FES1162744624</v>
      </c>
      <c r="F391" s="1">
        <v>43936</v>
      </c>
      <c r="G391">
        <v>202010</v>
      </c>
      <c r="H391" t="s">
        <v>64</v>
      </c>
      <c r="I391" t="s">
        <v>65</v>
      </c>
      <c r="J391" t="s">
        <v>66</v>
      </c>
      <c r="K391" t="s">
        <v>67</v>
      </c>
      <c r="L391" t="s">
        <v>151</v>
      </c>
      <c r="M391" t="s">
        <v>152</v>
      </c>
      <c r="N391" t="s">
        <v>560</v>
      </c>
      <c r="O391" t="s">
        <v>230</v>
      </c>
      <c r="P391" t="str">
        <f>"2170733763                    "</f>
        <v xml:space="preserve">2170733763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45.56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G391">
        <v>0</v>
      </c>
      <c r="BH391">
        <v>1</v>
      </c>
      <c r="BI391">
        <v>124</v>
      </c>
      <c r="BJ391">
        <v>99.6</v>
      </c>
      <c r="BK391">
        <v>124</v>
      </c>
      <c r="BL391">
        <v>506.2</v>
      </c>
      <c r="BM391">
        <v>75.930000000000007</v>
      </c>
      <c r="BN391">
        <v>582.13</v>
      </c>
      <c r="BO391">
        <v>582.13</v>
      </c>
      <c r="BP391" t="s">
        <v>657</v>
      </c>
      <c r="BQ391" t="s">
        <v>70</v>
      </c>
      <c r="BR391" t="s">
        <v>71</v>
      </c>
      <c r="BS391" t="s">
        <v>72</v>
      </c>
      <c r="BY391">
        <v>498150</v>
      </c>
      <c r="CC391" t="s">
        <v>152</v>
      </c>
      <c r="CD391">
        <v>3201</v>
      </c>
      <c r="CE391" t="s">
        <v>658</v>
      </c>
      <c r="CI391">
        <v>1</v>
      </c>
      <c r="CJ391" t="s">
        <v>72</v>
      </c>
      <c r="CK391" t="s">
        <v>379</v>
      </c>
      <c r="CL391" t="s">
        <v>74</v>
      </c>
    </row>
    <row r="392" spans="1:90" x14ac:dyDescent="0.25">
      <c r="A392" t="s">
        <v>61</v>
      </c>
      <c r="B392" t="s">
        <v>62</v>
      </c>
      <c r="C392" t="s">
        <v>63</v>
      </c>
      <c r="E392" t="str">
        <f>"FES1162744584"</f>
        <v>FES1162744584</v>
      </c>
      <c r="F392" s="1">
        <v>43930</v>
      </c>
      <c r="G392">
        <v>202010</v>
      </c>
      <c r="H392" t="s">
        <v>64</v>
      </c>
      <c r="I392" t="s">
        <v>65</v>
      </c>
      <c r="J392" t="s">
        <v>66</v>
      </c>
      <c r="K392" t="s">
        <v>67</v>
      </c>
      <c r="L392" t="s">
        <v>177</v>
      </c>
      <c r="M392" t="s">
        <v>178</v>
      </c>
      <c r="N392" t="s">
        <v>179</v>
      </c>
      <c r="O392" t="s">
        <v>69</v>
      </c>
      <c r="P392" t="str">
        <f>"2170735406                    "</f>
        <v xml:space="preserve">2170735406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4.1900000000000004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G392">
        <v>0</v>
      </c>
      <c r="BH392">
        <v>1</v>
      </c>
      <c r="BI392">
        <v>1</v>
      </c>
      <c r="BJ392">
        <v>0.2</v>
      </c>
      <c r="BK392">
        <v>1</v>
      </c>
      <c r="BL392">
        <v>46.06</v>
      </c>
      <c r="BM392">
        <v>6.91</v>
      </c>
      <c r="BN392">
        <v>52.97</v>
      </c>
      <c r="BO392">
        <v>52.97</v>
      </c>
      <c r="BQ392" t="s">
        <v>70</v>
      </c>
      <c r="BR392" t="s">
        <v>71</v>
      </c>
      <c r="BS392" s="1">
        <v>43935</v>
      </c>
      <c r="BT392" s="2">
        <v>0.47916666666666669</v>
      </c>
      <c r="BU392" t="s">
        <v>659</v>
      </c>
      <c r="BV392" t="s">
        <v>80</v>
      </c>
      <c r="BY392">
        <v>1200</v>
      </c>
      <c r="CA392" t="s">
        <v>183</v>
      </c>
      <c r="CC392" t="s">
        <v>178</v>
      </c>
      <c r="CD392">
        <v>4302</v>
      </c>
      <c r="CE392" t="s">
        <v>73</v>
      </c>
      <c r="CF392" s="1">
        <v>43936</v>
      </c>
      <c r="CI392">
        <v>1</v>
      </c>
      <c r="CJ392">
        <v>3</v>
      </c>
      <c r="CK392">
        <v>21</v>
      </c>
      <c r="CL392" t="s">
        <v>74</v>
      </c>
    </row>
    <row r="393" spans="1:90" x14ac:dyDescent="0.25">
      <c r="A393" t="s">
        <v>61</v>
      </c>
      <c r="B393" t="s">
        <v>62</v>
      </c>
      <c r="C393" t="s">
        <v>63</v>
      </c>
      <c r="E393" t="str">
        <f>"FES1162744650"</f>
        <v>FES1162744650</v>
      </c>
      <c r="F393" s="1">
        <v>43930</v>
      </c>
      <c r="G393">
        <v>202010</v>
      </c>
      <c r="H393" t="s">
        <v>64</v>
      </c>
      <c r="I393" t="s">
        <v>65</v>
      </c>
      <c r="J393" t="s">
        <v>66</v>
      </c>
      <c r="K393" t="s">
        <v>67</v>
      </c>
      <c r="L393" t="s">
        <v>120</v>
      </c>
      <c r="M393" t="s">
        <v>121</v>
      </c>
      <c r="N393" t="s">
        <v>267</v>
      </c>
      <c r="O393" t="s">
        <v>69</v>
      </c>
      <c r="P393" t="str">
        <f>"2170734330                    "</f>
        <v xml:space="preserve">2170734330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4.1900000000000004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G393">
        <v>0</v>
      </c>
      <c r="BH393">
        <v>1</v>
      </c>
      <c r="BI393">
        <v>1</v>
      </c>
      <c r="BJ393">
        <v>0.2</v>
      </c>
      <c r="BK393">
        <v>1</v>
      </c>
      <c r="BL393">
        <v>46.06</v>
      </c>
      <c r="BM393">
        <v>6.91</v>
      </c>
      <c r="BN393">
        <v>52.97</v>
      </c>
      <c r="BO393">
        <v>52.97</v>
      </c>
      <c r="BQ393" t="s">
        <v>268</v>
      </c>
      <c r="BR393" t="s">
        <v>71</v>
      </c>
      <c r="BS393" s="1">
        <v>43935</v>
      </c>
      <c r="BT393" s="2">
        <v>0.65555555555555556</v>
      </c>
      <c r="BU393" t="s">
        <v>660</v>
      </c>
      <c r="BV393" t="s">
        <v>74</v>
      </c>
      <c r="BW393" t="s">
        <v>124</v>
      </c>
      <c r="BX393" t="s">
        <v>630</v>
      </c>
      <c r="BY393">
        <v>1200</v>
      </c>
      <c r="CA393" t="s">
        <v>631</v>
      </c>
      <c r="CC393" t="s">
        <v>121</v>
      </c>
      <c r="CD393">
        <v>4064</v>
      </c>
      <c r="CE393" t="s">
        <v>73</v>
      </c>
      <c r="CF393" s="1">
        <v>43936</v>
      </c>
      <c r="CI393">
        <v>1</v>
      </c>
      <c r="CJ393">
        <v>3</v>
      </c>
      <c r="CK393">
        <v>21</v>
      </c>
      <c r="CL393" t="s">
        <v>74</v>
      </c>
    </row>
    <row r="394" spans="1:90" x14ac:dyDescent="0.25">
      <c r="A394" t="s">
        <v>61</v>
      </c>
      <c r="B394" t="s">
        <v>62</v>
      </c>
      <c r="C394" t="s">
        <v>63</v>
      </c>
      <c r="E394" t="str">
        <f>"FES1162744568"</f>
        <v>FES1162744568</v>
      </c>
      <c r="F394" s="1">
        <v>43930</v>
      </c>
      <c r="G394">
        <v>202010</v>
      </c>
      <c r="H394" t="s">
        <v>64</v>
      </c>
      <c r="I394" t="s">
        <v>65</v>
      </c>
      <c r="J394" t="s">
        <v>66</v>
      </c>
      <c r="K394" t="s">
        <v>67</v>
      </c>
      <c r="L394" t="s">
        <v>120</v>
      </c>
      <c r="M394" t="s">
        <v>121</v>
      </c>
      <c r="N394" t="s">
        <v>661</v>
      </c>
      <c r="O394" t="s">
        <v>69</v>
      </c>
      <c r="P394" t="str">
        <f>"2170734954                    "</f>
        <v xml:space="preserve">2170734954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14.65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G394">
        <v>0</v>
      </c>
      <c r="BH394">
        <v>1</v>
      </c>
      <c r="BI394">
        <v>6.6</v>
      </c>
      <c r="BJ394">
        <v>4.4000000000000004</v>
      </c>
      <c r="BK394">
        <v>7</v>
      </c>
      <c r="BL394">
        <v>161.12</v>
      </c>
      <c r="BM394">
        <v>24.17</v>
      </c>
      <c r="BN394">
        <v>185.29</v>
      </c>
      <c r="BO394">
        <v>185.29</v>
      </c>
      <c r="BQ394" t="s">
        <v>70</v>
      </c>
      <c r="BR394" t="s">
        <v>71</v>
      </c>
      <c r="BS394" s="1">
        <v>43936</v>
      </c>
      <c r="BT394" s="2">
        <v>0.47916666666666669</v>
      </c>
      <c r="BU394" t="s">
        <v>662</v>
      </c>
      <c r="BV394" t="s">
        <v>74</v>
      </c>
      <c r="BW394" t="s">
        <v>663</v>
      </c>
      <c r="BX394" t="s">
        <v>128</v>
      </c>
      <c r="BY394">
        <v>21999.71</v>
      </c>
      <c r="CA394" t="s">
        <v>183</v>
      </c>
      <c r="CC394" t="s">
        <v>121</v>
      </c>
      <c r="CD394">
        <v>4001</v>
      </c>
      <c r="CE394" t="s">
        <v>91</v>
      </c>
      <c r="CF394" s="1">
        <v>43936</v>
      </c>
      <c r="CI394">
        <v>1</v>
      </c>
      <c r="CJ394">
        <v>4</v>
      </c>
      <c r="CK394">
        <v>21</v>
      </c>
      <c r="CL394" t="s">
        <v>74</v>
      </c>
    </row>
    <row r="395" spans="1:90" x14ac:dyDescent="0.25">
      <c r="A395" t="s">
        <v>61</v>
      </c>
      <c r="B395" t="s">
        <v>62</v>
      </c>
      <c r="C395" t="s">
        <v>63</v>
      </c>
      <c r="E395" t="str">
        <f>"FES1162744620"</f>
        <v>FES1162744620</v>
      </c>
      <c r="F395" s="1">
        <v>43930</v>
      </c>
      <c r="G395">
        <v>202010</v>
      </c>
      <c r="H395" t="s">
        <v>64</v>
      </c>
      <c r="I395" t="s">
        <v>65</v>
      </c>
      <c r="J395" t="s">
        <v>66</v>
      </c>
      <c r="K395" t="s">
        <v>67</v>
      </c>
      <c r="L395" t="s">
        <v>64</v>
      </c>
      <c r="M395" t="s">
        <v>65</v>
      </c>
      <c r="N395" t="s">
        <v>664</v>
      </c>
      <c r="O395" t="s">
        <v>69</v>
      </c>
      <c r="P395" t="str">
        <f>"2170733169                    "</f>
        <v xml:space="preserve">2170733169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4.84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G395">
        <v>0</v>
      </c>
      <c r="BH395">
        <v>1</v>
      </c>
      <c r="BI395">
        <v>3.7</v>
      </c>
      <c r="BJ395">
        <v>3.3</v>
      </c>
      <c r="BK395">
        <v>4</v>
      </c>
      <c r="BL395">
        <v>53.23</v>
      </c>
      <c r="BM395">
        <v>7.98</v>
      </c>
      <c r="BN395">
        <v>61.21</v>
      </c>
      <c r="BO395">
        <v>61.21</v>
      </c>
      <c r="BQ395" t="s">
        <v>70</v>
      </c>
      <c r="BR395" t="s">
        <v>71</v>
      </c>
      <c r="BS395" s="1">
        <v>43936</v>
      </c>
      <c r="BT395" s="2">
        <v>0.3263888888888889</v>
      </c>
      <c r="BU395" t="s">
        <v>665</v>
      </c>
      <c r="BV395" t="s">
        <v>74</v>
      </c>
      <c r="BW395" t="s">
        <v>85</v>
      </c>
      <c r="BX395" t="s">
        <v>203</v>
      </c>
      <c r="BY395">
        <v>16304.5</v>
      </c>
      <c r="CA395" t="s">
        <v>428</v>
      </c>
      <c r="CC395" t="s">
        <v>65</v>
      </c>
      <c r="CD395">
        <v>1665</v>
      </c>
      <c r="CE395" t="s">
        <v>91</v>
      </c>
      <c r="CF395" s="1">
        <v>43943</v>
      </c>
      <c r="CI395">
        <v>1</v>
      </c>
      <c r="CJ395">
        <v>4</v>
      </c>
      <c r="CK395">
        <v>22</v>
      </c>
      <c r="CL395" t="s">
        <v>74</v>
      </c>
    </row>
    <row r="396" spans="1:90" x14ac:dyDescent="0.25">
      <c r="A396" t="s">
        <v>61</v>
      </c>
      <c r="B396" t="s">
        <v>62</v>
      </c>
      <c r="C396" t="s">
        <v>63</v>
      </c>
      <c r="E396" t="str">
        <f>"FES1162744538"</f>
        <v>FES1162744538</v>
      </c>
      <c r="F396" s="1">
        <v>43930</v>
      </c>
      <c r="G396">
        <v>202010</v>
      </c>
      <c r="H396" t="s">
        <v>64</v>
      </c>
      <c r="I396" t="s">
        <v>65</v>
      </c>
      <c r="J396" t="s">
        <v>66</v>
      </c>
      <c r="K396" t="s">
        <v>67</v>
      </c>
      <c r="L396" t="s">
        <v>151</v>
      </c>
      <c r="M396" t="s">
        <v>152</v>
      </c>
      <c r="N396" t="s">
        <v>348</v>
      </c>
      <c r="O396" t="s">
        <v>69</v>
      </c>
      <c r="P396" t="str">
        <f>"2170735889                    "</f>
        <v xml:space="preserve">2170735889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4.1900000000000004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G396">
        <v>0</v>
      </c>
      <c r="BH396">
        <v>1</v>
      </c>
      <c r="BI396">
        <v>1</v>
      </c>
      <c r="BJ396">
        <v>0.2</v>
      </c>
      <c r="BK396">
        <v>1</v>
      </c>
      <c r="BL396">
        <v>46.06</v>
      </c>
      <c r="BM396">
        <v>6.91</v>
      </c>
      <c r="BN396">
        <v>52.97</v>
      </c>
      <c r="BO396">
        <v>52.97</v>
      </c>
      <c r="BQ396" t="s">
        <v>78</v>
      </c>
      <c r="BR396" t="s">
        <v>71</v>
      </c>
      <c r="BS396" s="1">
        <v>43935</v>
      </c>
      <c r="BT396" s="2">
        <v>0.45833333333333331</v>
      </c>
      <c r="BU396" t="s">
        <v>666</v>
      </c>
      <c r="BV396" t="s">
        <v>74</v>
      </c>
      <c r="BY396">
        <v>1200</v>
      </c>
      <c r="CC396" t="s">
        <v>152</v>
      </c>
      <c r="CD396">
        <v>3201</v>
      </c>
      <c r="CE396" t="s">
        <v>73</v>
      </c>
      <c r="CF396" s="1">
        <v>43937</v>
      </c>
      <c r="CI396">
        <v>1</v>
      </c>
      <c r="CJ396">
        <v>3</v>
      </c>
      <c r="CK396">
        <v>21</v>
      </c>
      <c r="CL396" t="s">
        <v>74</v>
      </c>
    </row>
    <row r="397" spans="1:90" x14ac:dyDescent="0.25">
      <c r="A397" t="s">
        <v>61</v>
      </c>
      <c r="B397" t="s">
        <v>62</v>
      </c>
      <c r="C397" t="s">
        <v>63</v>
      </c>
      <c r="E397" t="str">
        <f>"FES1162744546"</f>
        <v>FES1162744546</v>
      </c>
      <c r="F397" s="1">
        <v>43930</v>
      </c>
      <c r="G397">
        <v>202010</v>
      </c>
      <c r="H397" t="s">
        <v>64</v>
      </c>
      <c r="I397" t="s">
        <v>65</v>
      </c>
      <c r="J397" t="s">
        <v>66</v>
      </c>
      <c r="K397" t="s">
        <v>67</v>
      </c>
      <c r="L397" t="s">
        <v>92</v>
      </c>
      <c r="M397" t="s">
        <v>93</v>
      </c>
      <c r="N397" t="s">
        <v>482</v>
      </c>
      <c r="O397" t="s">
        <v>69</v>
      </c>
      <c r="P397" t="str">
        <f>"2170735893                    "</f>
        <v xml:space="preserve">2170735893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4.1900000000000004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G397">
        <v>0</v>
      </c>
      <c r="BH397">
        <v>1</v>
      </c>
      <c r="BI397">
        <v>1</v>
      </c>
      <c r="BJ397">
        <v>0.2</v>
      </c>
      <c r="BK397">
        <v>1</v>
      </c>
      <c r="BL397">
        <v>46.06</v>
      </c>
      <c r="BM397">
        <v>6.91</v>
      </c>
      <c r="BN397">
        <v>52.97</v>
      </c>
      <c r="BO397">
        <v>52.97</v>
      </c>
      <c r="BQ397" t="s">
        <v>78</v>
      </c>
      <c r="BR397" t="s">
        <v>71</v>
      </c>
      <c r="BS397" s="1">
        <v>43935</v>
      </c>
      <c r="BT397" s="2">
        <v>0.41666666666666669</v>
      </c>
      <c r="BU397" t="s">
        <v>312</v>
      </c>
      <c r="BV397" t="s">
        <v>80</v>
      </c>
      <c r="BY397">
        <v>1200</v>
      </c>
      <c r="CC397" t="s">
        <v>93</v>
      </c>
      <c r="CD397">
        <v>7441</v>
      </c>
      <c r="CE397" t="s">
        <v>73</v>
      </c>
      <c r="CF397" s="1">
        <v>43936</v>
      </c>
      <c r="CI397">
        <v>1</v>
      </c>
      <c r="CJ397">
        <v>3</v>
      </c>
      <c r="CK397">
        <v>21</v>
      </c>
      <c r="CL397" t="s">
        <v>74</v>
      </c>
    </row>
    <row r="398" spans="1:90" x14ac:dyDescent="0.25">
      <c r="A398" t="s">
        <v>61</v>
      </c>
      <c r="B398" t="s">
        <v>62</v>
      </c>
      <c r="C398" t="s">
        <v>63</v>
      </c>
      <c r="E398" t="str">
        <f>"FES1162744613"</f>
        <v>FES1162744613</v>
      </c>
      <c r="F398" s="1">
        <v>43930</v>
      </c>
      <c r="G398">
        <v>202010</v>
      </c>
      <c r="H398" t="s">
        <v>64</v>
      </c>
      <c r="I398" t="s">
        <v>65</v>
      </c>
      <c r="J398" t="s">
        <v>66</v>
      </c>
      <c r="K398" t="s">
        <v>67</v>
      </c>
      <c r="L398" t="s">
        <v>75</v>
      </c>
      <c r="M398" t="s">
        <v>76</v>
      </c>
      <c r="N398" t="s">
        <v>569</v>
      </c>
      <c r="O398" t="s">
        <v>69</v>
      </c>
      <c r="P398" t="str">
        <f>"2170730720                    "</f>
        <v xml:space="preserve">2170730720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3.27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G398">
        <v>0</v>
      </c>
      <c r="BH398">
        <v>1</v>
      </c>
      <c r="BI398">
        <v>1</v>
      </c>
      <c r="BJ398">
        <v>0.2</v>
      </c>
      <c r="BK398">
        <v>1</v>
      </c>
      <c r="BL398">
        <v>35.979999999999997</v>
      </c>
      <c r="BM398">
        <v>5.4</v>
      </c>
      <c r="BN398">
        <v>41.38</v>
      </c>
      <c r="BO398">
        <v>41.38</v>
      </c>
      <c r="BQ398" t="s">
        <v>78</v>
      </c>
      <c r="BR398" t="s">
        <v>71</v>
      </c>
      <c r="BS398" s="1">
        <v>43935</v>
      </c>
      <c r="BT398" s="2">
        <v>0.41666666666666669</v>
      </c>
      <c r="BU398" t="s">
        <v>667</v>
      </c>
      <c r="BV398" t="s">
        <v>80</v>
      </c>
      <c r="BY398">
        <v>1200</v>
      </c>
      <c r="CC398" t="s">
        <v>76</v>
      </c>
      <c r="CD398">
        <v>1459</v>
      </c>
      <c r="CE398" t="s">
        <v>73</v>
      </c>
      <c r="CF398" s="1">
        <v>43936</v>
      </c>
      <c r="CI398">
        <v>1</v>
      </c>
      <c r="CJ398">
        <v>3</v>
      </c>
      <c r="CK398">
        <v>22</v>
      </c>
      <c r="CL398" t="s">
        <v>74</v>
      </c>
    </row>
    <row r="399" spans="1:90" x14ac:dyDescent="0.25">
      <c r="A399" t="s">
        <v>61</v>
      </c>
      <c r="B399" t="s">
        <v>62</v>
      </c>
      <c r="C399" t="s">
        <v>63</v>
      </c>
      <c r="E399" t="str">
        <f>"FES1162744873"</f>
        <v>FES1162744873</v>
      </c>
      <c r="F399" s="1">
        <v>43937</v>
      </c>
      <c r="G399">
        <v>202010</v>
      </c>
      <c r="H399" t="s">
        <v>64</v>
      </c>
      <c r="I399" t="s">
        <v>65</v>
      </c>
      <c r="J399" t="s">
        <v>66</v>
      </c>
      <c r="K399" t="s">
        <v>67</v>
      </c>
      <c r="L399" t="s">
        <v>64</v>
      </c>
      <c r="M399" t="s">
        <v>65</v>
      </c>
      <c r="N399" t="s">
        <v>505</v>
      </c>
      <c r="O399" t="s">
        <v>69</v>
      </c>
      <c r="P399" t="str">
        <f>"2170734252                    "</f>
        <v xml:space="preserve">2170734252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3.27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G399">
        <v>0</v>
      </c>
      <c r="BH399">
        <v>1</v>
      </c>
      <c r="BI399">
        <v>1</v>
      </c>
      <c r="BJ399">
        <v>0.2</v>
      </c>
      <c r="BK399">
        <v>1</v>
      </c>
      <c r="BL399">
        <v>35.979999999999997</v>
      </c>
      <c r="BM399">
        <v>5.4</v>
      </c>
      <c r="BN399">
        <v>41.38</v>
      </c>
      <c r="BO399">
        <v>41.38</v>
      </c>
      <c r="BQ399" t="s">
        <v>78</v>
      </c>
      <c r="BR399" t="s">
        <v>71</v>
      </c>
      <c r="BS399" s="1">
        <v>43938</v>
      </c>
      <c r="BT399" s="2">
        <v>0.36805555555555558</v>
      </c>
      <c r="BU399" t="s">
        <v>668</v>
      </c>
      <c r="BV399" t="s">
        <v>80</v>
      </c>
      <c r="BY399">
        <v>1200</v>
      </c>
      <c r="CC399" t="s">
        <v>65</v>
      </c>
      <c r="CD399">
        <v>1601</v>
      </c>
      <c r="CE399" t="s">
        <v>73</v>
      </c>
      <c r="CF399" s="1">
        <v>43941</v>
      </c>
      <c r="CI399">
        <v>1</v>
      </c>
      <c r="CJ399">
        <v>1</v>
      </c>
      <c r="CK399">
        <v>22</v>
      </c>
      <c r="CL399" t="s">
        <v>74</v>
      </c>
    </row>
    <row r="400" spans="1:90" x14ac:dyDescent="0.25">
      <c r="A400" t="s">
        <v>61</v>
      </c>
      <c r="B400" t="s">
        <v>62</v>
      </c>
      <c r="C400" t="s">
        <v>63</v>
      </c>
      <c r="E400" t="str">
        <f>"FES1162744895"</f>
        <v>FES1162744895</v>
      </c>
      <c r="F400" s="1">
        <v>43937</v>
      </c>
      <c r="G400">
        <v>202010</v>
      </c>
      <c r="H400" t="s">
        <v>64</v>
      </c>
      <c r="I400" t="s">
        <v>65</v>
      </c>
      <c r="J400" t="s">
        <v>66</v>
      </c>
      <c r="K400" t="s">
        <v>67</v>
      </c>
      <c r="L400" t="s">
        <v>151</v>
      </c>
      <c r="M400" t="s">
        <v>152</v>
      </c>
      <c r="N400" t="s">
        <v>669</v>
      </c>
      <c r="O400" t="s">
        <v>69</v>
      </c>
      <c r="P400" t="str">
        <f>"2170736124                    "</f>
        <v xml:space="preserve">2170736124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6.28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G400">
        <v>0</v>
      </c>
      <c r="BH400">
        <v>1</v>
      </c>
      <c r="BI400">
        <v>2.6</v>
      </c>
      <c r="BJ400">
        <v>1.6</v>
      </c>
      <c r="BK400">
        <v>3</v>
      </c>
      <c r="BL400">
        <v>69.069999999999993</v>
      </c>
      <c r="BM400">
        <v>10.36</v>
      </c>
      <c r="BN400">
        <v>79.430000000000007</v>
      </c>
      <c r="BO400">
        <v>79.430000000000007</v>
      </c>
      <c r="BQ400" t="s">
        <v>670</v>
      </c>
      <c r="BR400" t="s">
        <v>71</v>
      </c>
      <c r="BS400" s="1">
        <v>43941</v>
      </c>
      <c r="BT400" s="2">
        <v>0.5</v>
      </c>
      <c r="BU400" t="s">
        <v>261</v>
      </c>
      <c r="BV400" t="s">
        <v>74</v>
      </c>
      <c r="BY400">
        <v>7762.04</v>
      </c>
      <c r="CC400" t="s">
        <v>152</v>
      </c>
      <c r="CD400">
        <v>3699</v>
      </c>
      <c r="CE400" t="s">
        <v>91</v>
      </c>
      <c r="CF400" s="1">
        <v>43943</v>
      </c>
      <c r="CI400">
        <v>1</v>
      </c>
      <c r="CJ400">
        <v>2</v>
      </c>
      <c r="CK400">
        <v>21</v>
      </c>
      <c r="CL400" t="s">
        <v>74</v>
      </c>
    </row>
    <row r="401" spans="1:90" x14ac:dyDescent="0.25">
      <c r="A401" t="s">
        <v>61</v>
      </c>
      <c r="B401" t="s">
        <v>62</v>
      </c>
      <c r="C401" t="s">
        <v>63</v>
      </c>
      <c r="E401" t="str">
        <f>"FES1162744872"</f>
        <v>FES1162744872</v>
      </c>
      <c r="F401" s="1">
        <v>43937</v>
      </c>
      <c r="G401">
        <v>202010</v>
      </c>
      <c r="H401" t="s">
        <v>64</v>
      </c>
      <c r="I401" t="s">
        <v>65</v>
      </c>
      <c r="J401" t="s">
        <v>66</v>
      </c>
      <c r="K401" t="s">
        <v>67</v>
      </c>
      <c r="L401" t="s">
        <v>92</v>
      </c>
      <c r="M401" t="s">
        <v>93</v>
      </c>
      <c r="N401" t="s">
        <v>671</v>
      </c>
      <c r="O401" t="s">
        <v>69</v>
      </c>
      <c r="P401" t="str">
        <f>"2170733807                    "</f>
        <v xml:space="preserve">2170733807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4.1900000000000004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G401">
        <v>0</v>
      </c>
      <c r="BH401">
        <v>1</v>
      </c>
      <c r="BI401">
        <v>1</v>
      </c>
      <c r="BJ401">
        <v>0.2</v>
      </c>
      <c r="BK401">
        <v>1</v>
      </c>
      <c r="BL401">
        <v>46.06</v>
      </c>
      <c r="BM401">
        <v>6.91</v>
      </c>
      <c r="BN401">
        <v>52.97</v>
      </c>
      <c r="BO401">
        <v>52.97</v>
      </c>
      <c r="BQ401" t="s">
        <v>78</v>
      </c>
      <c r="BR401" t="s">
        <v>71</v>
      </c>
      <c r="BS401" s="1">
        <v>43938</v>
      </c>
      <c r="BT401" s="2">
        <v>0.54166666666666663</v>
      </c>
      <c r="BU401" t="s">
        <v>672</v>
      </c>
      <c r="BV401" t="s">
        <v>74</v>
      </c>
      <c r="BW401" t="s">
        <v>96</v>
      </c>
      <c r="BX401" t="s">
        <v>97</v>
      </c>
      <c r="BY401">
        <v>1200</v>
      </c>
      <c r="CA401" t="s">
        <v>164</v>
      </c>
      <c r="CC401" t="s">
        <v>93</v>
      </c>
      <c r="CD401">
        <v>7405</v>
      </c>
      <c r="CE401" t="s">
        <v>73</v>
      </c>
      <c r="CF401" s="1">
        <v>43941</v>
      </c>
      <c r="CI401">
        <v>1</v>
      </c>
      <c r="CJ401">
        <v>1</v>
      </c>
      <c r="CK401">
        <v>21</v>
      </c>
      <c r="CL401" t="s">
        <v>74</v>
      </c>
    </row>
    <row r="402" spans="1:90" x14ac:dyDescent="0.25">
      <c r="A402" t="s">
        <v>61</v>
      </c>
      <c r="B402" t="s">
        <v>62</v>
      </c>
      <c r="C402" t="s">
        <v>63</v>
      </c>
      <c r="E402" t="str">
        <f>"FES1162744551"</f>
        <v>FES1162744551</v>
      </c>
      <c r="F402" s="1">
        <v>43930</v>
      </c>
      <c r="G402">
        <v>202010</v>
      </c>
      <c r="H402" t="s">
        <v>64</v>
      </c>
      <c r="I402" t="s">
        <v>65</v>
      </c>
      <c r="J402" t="s">
        <v>66</v>
      </c>
      <c r="K402" t="s">
        <v>67</v>
      </c>
      <c r="L402" t="s">
        <v>92</v>
      </c>
      <c r="M402" t="s">
        <v>93</v>
      </c>
      <c r="N402" t="s">
        <v>165</v>
      </c>
      <c r="O402" t="s">
        <v>69</v>
      </c>
      <c r="P402" t="str">
        <f>"2170733959                    "</f>
        <v xml:space="preserve">2170733959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4.1900000000000004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G402">
        <v>0</v>
      </c>
      <c r="BH402">
        <v>1</v>
      </c>
      <c r="BI402">
        <v>1</v>
      </c>
      <c r="BJ402">
        <v>0.2</v>
      </c>
      <c r="BK402">
        <v>1</v>
      </c>
      <c r="BL402">
        <v>46.06</v>
      </c>
      <c r="BM402">
        <v>6.91</v>
      </c>
      <c r="BN402">
        <v>52.97</v>
      </c>
      <c r="BO402">
        <v>52.97</v>
      </c>
      <c r="BQ402" t="s">
        <v>70</v>
      </c>
      <c r="BR402" t="s">
        <v>71</v>
      </c>
      <c r="BS402" s="1">
        <v>43935</v>
      </c>
      <c r="BT402" s="2">
        <v>0.36319444444444443</v>
      </c>
      <c r="BU402" t="s">
        <v>673</v>
      </c>
      <c r="BV402" t="s">
        <v>80</v>
      </c>
      <c r="BY402">
        <v>1200</v>
      </c>
      <c r="CA402" t="s">
        <v>167</v>
      </c>
      <c r="CC402" t="s">
        <v>93</v>
      </c>
      <c r="CD402">
        <v>7530</v>
      </c>
      <c r="CE402" t="s">
        <v>73</v>
      </c>
      <c r="CF402" s="1">
        <v>43936</v>
      </c>
      <c r="CI402">
        <v>1</v>
      </c>
      <c r="CJ402">
        <v>3</v>
      </c>
      <c r="CK402">
        <v>21</v>
      </c>
      <c r="CL402" t="s">
        <v>74</v>
      </c>
    </row>
    <row r="403" spans="1:90" x14ac:dyDescent="0.25">
      <c r="A403" t="s">
        <v>61</v>
      </c>
      <c r="B403" t="s">
        <v>62</v>
      </c>
      <c r="C403" t="s">
        <v>63</v>
      </c>
      <c r="E403" t="str">
        <f>"FES1162744652"</f>
        <v>FES1162744652</v>
      </c>
      <c r="F403" s="1">
        <v>43930</v>
      </c>
      <c r="G403">
        <v>202010</v>
      </c>
      <c r="H403" t="s">
        <v>64</v>
      </c>
      <c r="I403" t="s">
        <v>65</v>
      </c>
      <c r="J403" t="s">
        <v>66</v>
      </c>
      <c r="K403" t="s">
        <v>67</v>
      </c>
      <c r="L403" t="s">
        <v>151</v>
      </c>
      <c r="M403" t="s">
        <v>152</v>
      </c>
      <c r="N403" t="s">
        <v>585</v>
      </c>
      <c r="O403" t="s">
        <v>69</v>
      </c>
      <c r="P403" t="str">
        <f>"2170735013                    "</f>
        <v xml:space="preserve">2170735013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4.1900000000000004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G403">
        <v>0</v>
      </c>
      <c r="BH403">
        <v>1</v>
      </c>
      <c r="BI403">
        <v>1.2</v>
      </c>
      <c r="BJ403">
        <v>1</v>
      </c>
      <c r="BK403">
        <v>1.5</v>
      </c>
      <c r="BL403">
        <v>46.06</v>
      </c>
      <c r="BM403">
        <v>6.91</v>
      </c>
      <c r="BN403">
        <v>52.97</v>
      </c>
      <c r="BO403">
        <v>52.97</v>
      </c>
      <c r="BQ403" t="s">
        <v>70</v>
      </c>
      <c r="BR403" t="s">
        <v>71</v>
      </c>
      <c r="BS403" s="1">
        <v>43938</v>
      </c>
      <c r="BT403" s="2">
        <v>0.54513888888888895</v>
      </c>
      <c r="BU403" t="s">
        <v>674</v>
      </c>
      <c r="BV403" t="s">
        <v>74</v>
      </c>
      <c r="BW403" t="s">
        <v>85</v>
      </c>
      <c r="BX403" t="s">
        <v>128</v>
      </c>
      <c r="BY403">
        <v>4983.82</v>
      </c>
      <c r="CC403" t="s">
        <v>152</v>
      </c>
      <c r="CD403">
        <v>3212</v>
      </c>
      <c r="CE403" t="s">
        <v>73</v>
      </c>
      <c r="CF403" s="1">
        <v>43941</v>
      </c>
      <c r="CI403">
        <v>1</v>
      </c>
      <c r="CJ403">
        <v>6</v>
      </c>
      <c r="CK403">
        <v>21</v>
      </c>
      <c r="CL403" t="s">
        <v>74</v>
      </c>
    </row>
    <row r="404" spans="1:90" x14ac:dyDescent="0.25">
      <c r="A404" t="s">
        <v>61</v>
      </c>
      <c r="B404" t="s">
        <v>62</v>
      </c>
      <c r="C404" t="s">
        <v>63</v>
      </c>
      <c r="E404" t="str">
        <f>"FES1162744634"</f>
        <v>FES1162744634</v>
      </c>
      <c r="F404" s="1">
        <v>43930</v>
      </c>
      <c r="G404">
        <v>202010</v>
      </c>
      <c r="H404" t="s">
        <v>64</v>
      </c>
      <c r="I404" t="s">
        <v>65</v>
      </c>
      <c r="J404" t="s">
        <v>66</v>
      </c>
      <c r="K404" t="s">
        <v>67</v>
      </c>
      <c r="L404" t="s">
        <v>151</v>
      </c>
      <c r="M404" t="s">
        <v>152</v>
      </c>
      <c r="N404" t="s">
        <v>560</v>
      </c>
      <c r="O404" t="s">
        <v>69</v>
      </c>
      <c r="P404" t="str">
        <f>"2170734127                    "</f>
        <v xml:space="preserve">2170734127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4.1900000000000004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G404">
        <v>0</v>
      </c>
      <c r="BH404">
        <v>1</v>
      </c>
      <c r="BI404">
        <v>1</v>
      </c>
      <c r="BJ404">
        <v>0.2</v>
      </c>
      <c r="BK404">
        <v>1</v>
      </c>
      <c r="BL404">
        <v>46.06</v>
      </c>
      <c r="BM404">
        <v>6.91</v>
      </c>
      <c r="BN404">
        <v>52.97</v>
      </c>
      <c r="BO404">
        <v>52.97</v>
      </c>
      <c r="BQ404" t="s">
        <v>70</v>
      </c>
      <c r="BR404" t="s">
        <v>71</v>
      </c>
      <c r="BS404" s="1">
        <v>43935</v>
      </c>
      <c r="BT404" s="2">
        <v>8.3333333333333329E-2</v>
      </c>
      <c r="BU404" t="s">
        <v>561</v>
      </c>
      <c r="BV404" t="s">
        <v>80</v>
      </c>
      <c r="BY404">
        <v>1200</v>
      </c>
      <c r="CC404" t="s">
        <v>152</v>
      </c>
      <c r="CD404">
        <v>3201</v>
      </c>
      <c r="CE404" t="s">
        <v>73</v>
      </c>
      <c r="CF404" s="1">
        <v>43937</v>
      </c>
      <c r="CI404">
        <v>1</v>
      </c>
      <c r="CJ404">
        <v>3</v>
      </c>
      <c r="CK404">
        <v>21</v>
      </c>
      <c r="CL404" t="s">
        <v>74</v>
      </c>
    </row>
    <row r="405" spans="1:90" x14ac:dyDescent="0.25">
      <c r="A405" t="s">
        <v>61</v>
      </c>
      <c r="B405" t="s">
        <v>62</v>
      </c>
      <c r="C405" t="s">
        <v>63</v>
      </c>
      <c r="E405" t="str">
        <f>"FES1162744635"</f>
        <v>FES1162744635</v>
      </c>
      <c r="F405" s="1">
        <v>43930</v>
      </c>
      <c r="G405">
        <v>202010</v>
      </c>
      <c r="H405" t="s">
        <v>64</v>
      </c>
      <c r="I405" t="s">
        <v>65</v>
      </c>
      <c r="J405" t="s">
        <v>66</v>
      </c>
      <c r="K405" t="s">
        <v>67</v>
      </c>
      <c r="L405" t="s">
        <v>120</v>
      </c>
      <c r="M405" t="s">
        <v>121</v>
      </c>
      <c r="N405" t="s">
        <v>675</v>
      </c>
      <c r="O405" t="s">
        <v>69</v>
      </c>
      <c r="P405" t="str">
        <f>"2170734266                    "</f>
        <v xml:space="preserve">2170734266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4.1900000000000004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G405">
        <v>0</v>
      </c>
      <c r="BH405">
        <v>1</v>
      </c>
      <c r="BI405">
        <v>1</v>
      </c>
      <c r="BJ405">
        <v>0.2</v>
      </c>
      <c r="BK405">
        <v>1</v>
      </c>
      <c r="BL405">
        <v>46.06</v>
      </c>
      <c r="BM405">
        <v>6.91</v>
      </c>
      <c r="BN405">
        <v>52.97</v>
      </c>
      <c r="BO405">
        <v>52.97</v>
      </c>
      <c r="BQ405" t="s">
        <v>676</v>
      </c>
      <c r="BR405" t="s">
        <v>71</v>
      </c>
      <c r="BS405" t="s">
        <v>72</v>
      </c>
      <c r="BY405">
        <v>1200</v>
      </c>
      <c r="CC405" t="s">
        <v>121</v>
      </c>
      <c r="CD405">
        <v>4052</v>
      </c>
      <c r="CE405" t="s">
        <v>73</v>
      </c>
      <c r="CI405">
        <v>1</v>
      </c>
      <c r="CJ405" t="s">
        <v>72</v>
      </c>
      <c r="CK405">
        <v>21</v>
      </c>
      <c r="CL405" t="s">
        <v>74</v>
      </c>
    </row>
    <row r="406" spans="1:90" x14ac:dyDescent="0.25">
      <c r="A406" t="s">
        <v>61</v>
      </c>
      <c r="B406" t="s">
        <v>62</v>
      </c>
      <c r="C406" t="s">
        <v>63</v>
      </c>
      <c r="E406" t="str">
        <f>"FES1162744640"</f>
        <v>FES1162744640</v>
      </c>
      <c r="F406" s="1">
        <v>43930</v>
      </c>
      <c r="G406">
        <v>202010</v>
      </c>
      <c r="H406" t="s">
        <v>64</v>
      </c>
      <c r="I406" t="s">
        <v>65</v>
      </c>
      <c r="J406" t="s">
        <v>66</v>
      </c>
      <c r="K406" t="s">
        <v>67</v>
      </c>
      <c r="L406" t="s">
        <v>450</v>
      </c>
      <c r="M406" t="s">
        <v>451</v>
      </c>
      <c r="N406" t="s">
        <v>452</v>
      </c>
      <c r="O406" t="s">
        <v>69</v>
      </c>
      <c r="P406" t="str">
        <f>"2170735918                    "</f>
        <v xml:space="preserve">2170735918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8.3699999999999992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G406">
        <v>0</v>
      </c>
      <c r="BH406">
        <v>1</v>
      </c>
      <c r="BI406">
        <v>3.9</v>
      </c>
      <c r="BJ406">
        <v>4</v>
      </c>
      <c r="BK406">
        <v>4</v>
      </c>
      <c r="BL406">
        <v>92.08</v>
      </c>
      <c r="BM406">
        <v>13.81</v>
      </c>
      <c r="BN406">
        <v>105.89</v>
      </c>
      <c r="BO406">
        <v>105.89</v>
      </c>
      <c r="BQ406" t="s">
        <v>78</v>
      </c>
      <c r="BR406" t="s">
        <v>71</v>
      </c>
      <c r="BS406" s="1">
        <v>43935</v>
      </c>
      <c r="BT406" s="2">
        <v>0.37847222222222227</v>
      </c>
      <c r="BU406" t="s">
        <v>453</v>
      </c>
      <c r="BV406" t="s">
        <v>80</v>
      </c>
      <c r="BY406">
        <v>19922.759999999998</v>
      </c>
      <c r="CA406" t="s">
        <v>454</v>
      </c>
      <c r="CC406" t="s">
        <v>451</v>
      </c>
      <c r="CD406">
        <v>1240</v>
      </c>
      <c r="CE406" t="s">
        <v>91</v>
      </c>
      <c r="CF406" s="1">
        <v>43936</v>
      </c>
      <c r="CI406">
        <v>1</v>
      </c>
      <c r="CJ406">
        <v>3</v>
      </c>
      <c r="CK406">
        <v>21</v>
      </c>
      <c r="CL406" t="s">
        <v>74</v>
      </c>
    </row>
    <row r="407" spans="1:90" x14ac:dyDescent="0.25">
      <c r="A407" t="s">
        <v>61</v>
      </c>
      <c r="B407" t="s">
        <v>62</v>
      </c>
      <c r="C407" t="s">
        <v>63</v>
      </c>
      <c r="E407" t="str">
        <f>"FES1162744630"</f>
        <v>FES1162744630</v>
      </c>
      <c r="F407" s="1">
        <v>43930</v>
      </c>
      <c r="G407">
        <v>202010</v>
      </c>
      <c r="H407" t="s">
        <v>64</v>
      </c>
      <c r="I407" t="s">
        <v>65</v>
      </c>
      <c r="J407" t="s">
        <v>66</v>
      </c>
      <c r="K407" t="s">
        <v>67</v>
      </c>
      <c r="L407" t="s">
        <v>212</v>
      </c>
      <c r="M407" t="s">
        <v>213</v>
      </c>
      <c r="N407" t="s">
        <v>302</v>
      </c>
      <c r="O407" t="s">
        <v>69</v>
      </c>
      <c r="P407" t="str">
        <f>"2170735913                    "</f>
        <v xml:space="preserve">2170735913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4.1900000000000004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G407">
        <v>0</v>
      </c>
      <c r="BH407">
        <v>1</v>
      </c>
      <c r="BI407">
        <v>1</v>
      </c>
      <c r="BJ407">
        <v>0.2</v>
      </c>
      <c r="BK407">
        <v>1</v>
      </c>
      <c r="BL407">
        <v>46.06</v>
      </c>
      <c r="BM407">
        <v>6.91</v>
      </c>
      <c r="BN407">
        <v>52.97</v>
      </c>
      <c r="BO407">
        <v>52.97</v>
      </c>
      <c r="BQ407" t="s">
        <v>78</v>
      </c>
      <c r="BR407" t="s">
        <v>71</v>
      </c>
      <c r="BS407" s="1">
        <v>43935</v>
      </c>
      <c r="BT407" s="2">
        <v>0.46875</v>
      </c>
      <c r="BU407" t="s">
        <v>303</v>
      </c>
      <c r="BV407" t="s">
        <v>80</v>
      </c>
      <c r="BY407">
        <v>1200</v>
      </c>
      <c r="CA407" t="s">
        <v>531</v>
      </c>
      <c r="CC407" t="s">
        <v>213</v>
      </c>
      <c r="CD407">
        <v>3610</v>
      </c>
      <c r="CE407" t="s">
        <v>73</v>
      </c>
      <c r="CF407" s="1">
        <v>43936</v>
      </c>
      <c r="CI407">
        <v>1</v>
      </c>
      <c r="CJ407">
        <v>3</v>
      </c>
      <c r="CK407">
        <v>21</v>
      </c>
      <c r="CL407" t="s">
        <v>74</v>
      </c>
    </row>
    <row r="408" spans="1:90" x14ac:dyDescent="0.25">
      <c r="A408" t="s">
        <v>61</v>
      </c>
      <c r="B408" t="s">
        <v>62</v>
      </c>
      <c r="C408" t="s">
        <v>63</v>
      </c>
      <c r="E408" t="str">
        <f>"FES1162744595"</f>
        <v>FES1162744595</v>
      </c>
      <c r="F408" s="1">
        <v>43930</v>
      </c>
      <c r="G408">
        <v>202010</v>
      </c>
      <c r="H408" t="s">
        <v>64</v>
      </c>
      <c r="I408" t="s">
        <v>65</v>
      </c>
      <c r="J408" t="s">
        <v>66</v>
      </c>
      <c r="K408" t="s">
        <v>67</v>
      </c>
      <c r="L408" t="s">
        <v>212</v>
      </c>
      <c r="M408" t="s">
        <v>213</v>
      </c>
      <c r="N408" t="s">
        <v>677</v>
      </c>
      <c r="O408" t="s">
        <v>69</v>
      </c>
      <c r="P408" t="str">
        <f>"2170731913                    "</f>
        <v xml:space="preserve">2170731913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33.479999999999997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G408">
        <v>0</v>
      </c>
      <c r="BH408">
        <v>1</v>
      </c>
      <c r="BI408">
        <v>12.8</v>
      </c>
      <c r="BJ408">
        <v>15.7</v>
      </c>
      <c r="BK408">
        <v>16</v>
      </c>
      <c r="BL408">
        <v>368.23</v>
      </c>
      <c r="BM408">
        <v>55.23</v>
      </c>
      <c r="BN408">
        <v>423.46</v>
      </c>
      <c r="BO408">
        <v>423.46</v>
      </c>
      <c r="BQ408" t="s">
        <v>268</v>
      </c>
      <c r="BR408" t="s">
        <v>71</v>
      </c>
      <c r="BS408" s="1">
        <v>43935</v>
      </c>
      <c r="BT408" s="2">
        <v>0.45277777777777778</v>
      </c>
      <c r="BU408" t="s">
        <v>678</v>
      </c>
      <c r="BV408" t="s">
        <v>74</v>
      </c>
      <c r="BW408" t="s">
        <v>85</v>
      </c>
      <c r="BX408" t="s">
        <v>128</v>
      </c>
      <c r="BY408">
        <v>78604.800000000003</v>
      </c>
      <c r="CA408" t="s">
        <v>531</v>
      </c>
      <c r="CC408" t="s">
        <v>213</v>
      </c>
      <c r="CD408">
        <v>3600</v>
      </c>
      <c r="CE408" t="s">
        <v>91</v>
      </c>
      <c r="CF408" s="1">
        <v>43936</v>
      </c>
      <c r="CI408">
        <v>1</v>
      </c>
      <c r="CJ408">
        <v>3</v>
      </c>
      <c r="CK408">
        <v>21</v>
      </c>
      <c r="CL408" t="s">
        <v>74</v>
      </c>
    </row>
    <row r="409" spans="1:90" x14ac:dyDescent="0.25">
      <c r="A409" t="s">
        <v>61</v>
      </c>
      <c r="B409" t="s">
        <v>62</v>
      </c>
      <c r="C409" t="s">
        <v>63</v>
      </c>
      <c r="E409" t="str">
        <f>"FES1162744543"</f>
        <v>FES1162744543</v>
      </c>
      <c r="F409" s="1">
        <v>43930</v>
      </c>
      <c r="G409">
        <v>202010</v>
      </c>
      <c r="H409" t="s">
        <v>64</v>
      </c>
      <c r="I409" t="s">
        <v>65</v>
      </c>
      <c r="J409" t="s">
        <v>66</v>
      </c>
      <c r="K409" t="s">
        <v>67</v>
      </c>
      <c r="L409" t="s">
        <v>522</v>
      </c>
      <c r="M409" t="s">
        <v>522</v>
      </c>
      <c r="N409" t="s">
        <v>679</v>
      </c>
      <c r="O409" t="s">
        <v>69</v>
      </c>
      <c r="P409" t="str">
        <f>"2170734704                    "</f>
        <v xml:space="preserve">2170734704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7.32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G409">
        <v>0</v>
      </c>
      <c r="BH409">
        <v>1</v>
      </c>
      <c r="BI409">
        <v>2.2000000000000002</v>
      </c>
      <c r="BJ409">
        <v>2.2999999999999998</v>
      </c>
      <c r="BK409">
        <v>2.5</v>
      </c>
      <c r="BL409">
        <v>80.540000000000006</v>
      </c>
      <c r="BM409">
        <v>12.08</v>
      </c>
      <c r="BN409">
        <v>92.62</v>
      </c>
      <c r="BO409">
        <v>92.62</v>
      </c>
      <c r="BQ409" t="s">
        <v>78</v>
      </c>
      <c r="BR409" t="s">
        <v>71</v>
      </c>
      <c r="BS409" s="1">
        <v>43935</v>
      </c>
      <c r="BT409" s="2">
        <v>0.41666666666666669</v>
      </c>
      <c r="BU409" t="s">
        <v>224</v>
      </c>
      <c r="BV409" t="s">
        <v>80</v>
      </c>
      <c r="BY409">
        <v>11421.7</v>
      </c>
      <c r="CA409" t="s">
        <v>464</v>
      </c>
      <c r="CC409" t="s">
        <v>522</v>
      </c>
      <c r="CD409">
        <v>1491</v>
      </c>
      <c r="CE409" t="s">
        <v>91</v>
      </c>
      <c r="CF409" s="1">
        <v>43936</v>
      </c>
      <c r="CI409">
        <v>1</v>
      </c>
      <c r="CJ409">
        <v>3</v>
      </c>
      <c r="CK409">
        <v>24</v>
      </c>
      <c r="CL409" t="s">
        <v>74</v>
      </c>
    </row>
    <row r="410" spans="1:90" x14ac:dyDescent="0.25">
      <c r="A410" t="s">
        <v>61</v>
      </c>
      <c r="B410" t="s">
        <v>62</v>
      </c>
      <c r="C410" t="s">
        <v>63</v>
      </c>
      <c r="E410" t="str">
        <f>"FES1162744553"</f>
        <v>FES1162744553</v>
      </c>
      <c r="F410" s="1">
        <v>43930</v>
      </c>
      <c r="G410">
        <v>202010</v>
      </c>
      <c r="H410" t="s">
        <v>64</v>
      </c>
      <c r="I410" t="s">
        <v>65</v>
      </c>
      <c r="J410" t="s">
        <v>66</v>
      </c>
      <c r="K410" t="s">
        <v>67</v>
      </c>
      <c r="L410" t="s">
        <v>298</v>
      </c>
      <c r="M410" t="s">
        <v>299</v>
      </c>
      <c r="N410" t="s">
        <v>300</v>
      </c>
      <c r="O410" t="s">
        <v>69</v>
      </c>
      <c r="P410" t="str">
        <f>"2170734308                    "</f>
        <v xml:space="preserve">2170734308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8.11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G410">
        <v>0</v>
      </c>
      <c r="BH410">
        <v>1</v>
      </c>
      <c r="BI410">
        <v>1</v>
      </c>
      <c r="BJ410">
        <v>0.2</v>
      </c>
      <c r="BK410">
        <v>1</v>
      </c>
      <c r="BL410">
        <v>89.23</v>
      </c>
      <c r="BM410">
        <v>13.38</v>
      </c>
      <c r="BN410">
        <v>102.61</v>
      </c>
      <c r="BO410">
        <v>102.61</v>
      </c>
      <c r="BQ410" t="s">
        <v>78</v>
      </c>
      <c r="BR410" t="s">
        <v>71</v>
      </c>
      <c r="BS410" s="1">
        <v>43936</v>
      </c>
      <c r="BT410" s="2">
        <v>0.48055555555555557</v>
      </c>
      <c r="BU410" t="s">
        <v>573</v>
      </c>
      <c r="BV410" t="s">
        <v>74</v>
      </c>
      <c r="BW410" t="s">
        <v>85</v>
      </c>
      <c r="BX410" t="s">
        <v>128</v>
      </c>
      <c r="BY410">
        <v>1200</v>
      </c>
      <c r="CA410" t="s">
        <v>574</v>
      </c>
      <c r="CC410" t="s">
        <v>299</v>
      </c>
      <c r="CD410">
        <v>4380</v>
      </c>
      <c r="CE410" t="s">
        <v>73</v>
      </c>
      <c r="CF410" s="1">
        <v>43937</v>
      </c>
      <c r="CI410">
        <v>1</v>
      </c>
      <c r="CJ410">
        <v>4</v>
      </c>
      <c r="CK410">
        <v>23</v>
      </c>
      <c r="CL410" t="s">
        <v>74</v>
      </c>
    </row>
    <row r="411" spans="1:90" x14ac:dyDescent="0.25">
      <c r="A411" t="s">
        <v>61</v>
      </c>
      <c r="B411" t="s">
        <v>62</v>
      </c>
      <c r="C411" t="s">
        <v>63</v>
      </c>
      <c r="E411" t="str">
        <f>"FES1162744655"</f>
        <v>FES1162744655</v>
      </c>
      <c r="F411" s="1">
        <v>43930</v>
      </c>
      <c r="G411">
        <v>202010</v>
      </c>
      <c r="H411" t="s">
        <v>64</v>
      </c>
      <c r="I411" t="s">
        <v>65</v>
      </c>
      <c r="J411" t="s">
        <v>66</v>
      </c>
      <c r="K411" t="s">
        <v>67</v>
      </c>
      <c r="L411" t="s">
        <v>75</v>
      </c>
      <c r="M411" t="s">
        <v>76</v>
      </c>
      <c r="N411" t="s">
        <v>155</v>
      </c>
      <c r="O411" t="s">
        <v>69</v>
      </c>
      <c r="P411" t="str">
        <f>"2170735504                    "</f>
        <v xml:space="preserve">2170735504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3.27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G411">
        <v>0</v>
      </c>
      <c r="BH411">
        <v>1</v>
      </c>
      <c r="BI411">
        <v>1</v>
      </c>
      <c r="BJ411">
        <v>0.2</v>
      </c>
      <c r="BK411">
        <v>1</v>
      </c>
      <c r="BL411">
        <v>35.979999999999997</v>
      </c>
      <c r="BM411">
        <v>5.4</v>
      </c>
      <c r="BN411">
        <v>41.38</v>
      </c>
      <c r="BO411">
        <v>41.38</v>
      </c>
      <c r="BQ411" t="s">
        <v>78</v>
      </c>
      <c r="BR411" t="s">
        <v>71</v>
      </c>
      <c r="BS411" s="1">
        <v>43935</v>
      </c>
      <c r="BT411" s="2">
        <v>0.35416666666666669</v>
      </c>
      <c r="BU411" t="s">
        <v>156</v>
      </c>
      <c r="BV411" t="s">
        <v>80</v>
      </c>
      <c r="BY411">
        <v>1200</v>
      </c>
      <c r="CA411" t="s">
        <v>157</v>
      </c>
      <c r="CC411" t="s">
        <v>76</v>
      </c>
      <c r="CD411">
        <v>1459</v>
      </c>
      <c r="CE411" t="s">
        <v>73</v>
      </c>
      <c r="CF411" s="1">
        <v>43936</v>
      </c>
      <c r="CI411">
        <v>1</v>
      </c>
      <c r="CJ411">
        <v>3</v>
      </c>
      <c r="CK411">
        <v>22</v>
      </c>
      <c r="CL411" t="s">
        <v>74</v>
      </c>
    </row>
    <row r="412" spans="1:90" x14ac:dyDescent="0.25">
      <c r="A412" t="s">
        <v>61</v>
      </c>
      <c r="B412" t="s">
        <v>62</v>
      </c>
      <c r="C412" t="s">
        <v>63</v>
      </c>
      <c r="E412" t="str">
        <f>"FES1162744523"</f>
        <v>FES1162744523</v>
      </c>
      <c r="F412" s="1">
        <v>43930</v>
      </c>
      <c r="G412">
        <v>202010</v>
      </c>
      <c r="H412" t="s">
        <v>64</v>
      </c>
      <c r="I412" t="s">
        <v>65</v>
      </c>
      <c r="J412" t="s">
        <v>66</v>
      </c>
      <c r="K412" t="s">
        <v>67</v>
      </c>
      <c r="L412" t="s">
        <v>120</v>
      </c>
      <c r="M412" t="s">
        <v>121</v>
      </c>
      <c r="N412" t="s">
        <v>572</v>
      </c>
      <c r="O412" t="s">
        <v>69</v>
      </c>
      <c r="P412" t="str">
        <f>"2170735676                    "</f>
        <v xml:space="preserve">2170735676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4.1900000000000004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G412">
        <v>0</v>
      </c>
      <c r="BH412">
        <v>1</v>
      </c>
      <c r="BI412">
        <v>1.3</v>
      </c>
      <c r="BJ412">
        <v>2</v>
      </c>
      <c r="BK412">
        <v>2</v>
      </c>
      <c r="BL412">
        <v>46.06</v>
      </c>
      <c r="BM412">
        <v>6.91</v>
      </c>
      <c r="BN412">
        <v>52.97</v>
      </c>
      <c r="BO412">
        <v>52.97</v>
      </c>
      <c r="BQ412" t="s">
        <v>78</v>
      </c>
      <c r="BR412" t="s">
        <v>71</v>
      </c>
      <c r="BS412" s="1">
        <v>43936</v>
      </c>
      <c r="BT412" s="2">
        <v>0.48055555555555557</v>
      </c>
      <c r="BU412" t="s">
        <v>573</v>
      </c>
      <c r="BV412" t="s">
        <v>74</v>
      </c>
      <c r="BW412" t="s">
        <v>85</v>
      </c>
      <c r="BX412" t="s">
        <v>128</v>
      </c>
      <c r="BY412">
        <v>10024.56</v>
      </c>
      <c r="CA412" t="s">
        <v>574</v>
      </c>
      <c r="CC412" t="s">
        <v>121</v>
      </c>
      <c r="CD412">
        <v>4051</v>
      </c>
      <c r="CE412" t="s">
        <v>91</v>
      </c>
      <c r="CF412" s="1">
        <v>43937</v>
      </c>
      <c r="CI412">
        <v>1</v>
      </c>
      <c r="CJ412">
        <v>4</v>
      </c>
      <c r="CK412">
        <v>21</v>
      </c>
      <c r="CL412" t="s">
        <v>74</v>
      </c>
    </row>
    <row r="413" spans="1:90" x14ac:dyDescent="0.25">
      <c r="A413" t="s">
        <v>61</v>
      </c>
      <c r="B413" t="s">
        <v>62</v>
      </c>
      <c r="C413" t="s">
        <v>63</v>
      </c>
      <c r="E413" t="str">
        <f>"FES1162744527"</f>
        <v>FES1162744527</v>
      </c>
      <c r="F413" s="1">
        <v>43930</v>
      </c>
      <c r="G413">
        <v>202010</v>
      </c>
      <c r="H413" t="s">
        <v>64</v>
      </c>
      <c r="I413" t="s">
        <v>65</v>
      </c>
      <c r="J413" t="s">
        <v>66</v>
      </c>
      <c r="K413" t="s">
        <v>67</v>
      </c>
      <c r="L413" t="s">
        <v>652</v>
      </c>
      <c r="M413" t="s">
        <v>653</v>
      </c>
      <c r="N413" t="s">
        <v>680</v>
      </c>
      <c r="O413" t="s">
        <v>69</v>
      </c>
      <c r="P413" t="str">
        <f>"2170735868                    "</f>
        <v xml:space="preserve">2170735868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21.66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G413">
        <v>0</v>
      </c>
      <c r="BH413">
        <v>1</v>
      </c>
      <c r="BI413">
        <v>7.4</v>
      </c>
      <c r="BJ413">
        <v>3.1</v>
      </c>
      <c r="BK413">
        <v>7.5</v>
      </c>
      <c r="BL413">
        <v>238.28</v>
      </c>
      <c r="BM413">
        <v>35.74</v>
      </c>
      <c r="BN413">
        <v>274.02</v>
      </c>
      <c r="BO413">
        <v>274.02</v>
      </c>
      <c r="BQ413" t="s">
        <v>681</v>
      </c>
      <c r="BR413" t="s">
        <v>71</v>
      </c>
      <c r="BS413" s="1">
        <v>43935</v>
      </c>
      <c r="BT413" s="2">
        <v>0.40625</v>
      </c>
      <c r="BU413" t="s">
        <v>682</v>
      </c>
      <c r="BV413" t="s">
        <v>80</v>
      </c>
      <c r="BY413">
        <v>15291.96</v>
      </c>
      <c r="CA413" t="s">
        <v>656</v>
      </c>
      <c r="CC413" t="s">
        <v>653</v>
      </c>
      <c r="CD413">
        <v>1055</v>
      </c>
      <c r="CE413" t="s">
        <v>91</v>
      </c>
      <c r="CF413" s="1">
        <v>43938</v>
      </c>
      <c r="CI413">
        <v>1</v>
      </c>
      <c r="CJ413">
        <v>3</v>
      </c>
      <c r="CK413">
        <v>24</v>
      </c>
      <c r="CL413" t="s">
        <v>74</v>
      </c>
    </row>
    <row r="414" spans="1:90" x14ac:dyDescent="0.25">
      <c r="A414" t="s">
        <v>61</v>
      </c>
      <c r="B414" t="s">
        <v>62</v>
      </c>
      <c r="C414" t="s">
        <v>63</v>
      </c>
      <c r="E414" t="str">
        <f>"FES1162744645"</f>
        <v>FES1162744645</v>
      </c>
      <c r="F414" s="1">
        <v>43930</v>
      </c>
      <c r="G414">
        <v>202010</v>
      </c>
      <c r="H414" t="s">
        <v>64</v>
      </c>
      <c r="I414" t="s">
        <v>65</v>
      </c>
      <c r="J414" t="s">
        <v>66</v>
      </c>
      <c r="K414" t="s">
        <v>67</v>
      </c>
      <c r="L414" t="s">
        <v>64</v>
      </c>
      <c r="M414" t="s">
        <v>65</v>
      </c>
      <c r="N414" t="s">
        <v>664</v>
      </c>
      <c r="O414" t="s">
        <v>69</v>
      </c>
      <c r="P414" t="str">
        <f>"2170735834                    "</f>
        <v xml:space="preserve">2170735834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3.27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G414">
        <v>0</v>
      </c>
      <c r="BH414">
        <v>1</v>
      </c>
      <c r="BI414">
        <v>1</v>
      </c>
      <c r="BJ414">
        <v>0.2</v>
      </c>
      <c r="BK414">
        <v>1</v>
      </c>
      <c r="BL414">
        <v>35.979999999999997</v>
      </c>
      <c r="BM414">
        <v>5.4</v>
      </c>
      <c r="BN414">
        <v>41.38</v>
      </c>
      <c r="BO414">
        <v>41.38</v>
      </c>
      <c r="BQ414" t="s">
        <v>70</v>
      </c>
      <c r="BR414" t="s">
        <v>71</v>
      </c>
      <c r="BS414" s="1">
        <v>43935</v>
      </c>
      <c r="BT414" s="2">
        <v>0.33333333333333331</v>
      </c>
      <c r="BU414" t="s">
        <v>683</v>
      </c>
      <c r="BV414" t="s">
        <v>80</v>
      </c>
      <c r="BY414">
        <v>1200</v>
      </c>
      <c r="CC414" t="s">
        <v>65</v>
      </c>
      <c r="CD414">
        <v>1665</v>
      </c>
      <c r="CE414" t="s">
        <v>73</v>
      </c>
      <c r="CF414" s="1">
        <v>43936</v>
      </c>
      <c r="CI414">
        <v>1</v>
      </c>
      <c r="CJ414">
        <v>3</v>
      </c>
      <c r="CK414">
        <v>22</v>
      </c>
      <c r="CL414" t="s">
        <v>74</v>
      </c>
    </row>
    <row r="415" spans="1:90" x14ac:dyDescent="0.25">
      <c r="A415" t="s">
        <v>61</v>
      </c>
      <c r="B415" t="s">
        <v>62</v>
      </c>
      <c r="C415" t="s">
        <v>63</v>
      </c>
      <c r="E415" t="str">
        <f>"FES1162744540"</f>
        <v>FES1162744540</v>
      </c>
      <c r="F415" s="1">
        <v>43930</v>
      </c>
      <c r="G415">
        <v>202010</v>
      </c>
      <c r="H415" t="s">
        <v>64</v>
      </c>
      <c r="I415" t="s">
        <v>65</v>
      </c>
      <c r="J415" t="s">
        <v>66</v>
      </c>
      <c r="K415" t="s">
        <v>67</v>
      </c>
      <c r="L415" t="s">
        <v>684</v>
      </c>
      <c r="M415" t="s">
        <v>685</v>
      </c>
      <c r="N415" t="s">
        <v>686</v>
      </c>
      <c r="O415" t="s">
        <v>69</v>
      </c>
      <c r="P415" t="str">
        <f>"2170735761                    "</f>
        <v xml:space="preserve">2170735761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12.56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G415">
        <v>0</v>
      </c>
      <c r="BH415">
        <v>1</v>
      </c>
      <c r="BI415">
        <v>5.6</v>
      </c>
      <c r="BJ415">
        <v>4</v>
      </c>
      <c r="BK415">
        <v>6</v>
      </c>
      <c r="BL415">
        <v>138.11000000000001</v>
      </c>
      <c r="BM415">
        <v>20.72</v>
      </c>
      <c r="BN415">
        <v>158.83000000000001</v>
      </c>
      <c r="BO415">
        <v>158.83000000000001</v>
      </c>
      <c r="BP415" t="s">
        <v>687</v>
      </c>
      <c r="BQ415" t="s">
        <v>78</v>
      </c>
      <c r="BR415" t="s">
        <v>71</v>
      </c>
      <c r="BS415" s="1">
        <v>43931</v>
      </c>
      <c r="BT415" s="2">
        <v>0.47916666666666669</v>
      </c>
      <c r="BU415" t="s">
        <v>688</v>
      </c>
      <c r="BV415" t="s">
        <v>80</v>
      </c>
      <c r="BY415">
        <v>20159.77</v>
      </c>
      <c r="CC415" t="s">
        <v>685</v>
      </c>
      <c r="CD415">
        <v>4113</v>
      </c>
      <c r="CE415" t="s">
        <v>91</v>
      </c>
      <c r="CF415" s="1">
        <v>43935</v>
      </c>
      <c r="CI415">
        <v>1</v>
      </c>
      <c r="CJ415">
        <v>1</v>
      </c>
      <c r="CK415">
        <v>21</v>
      </c>
      <c r="CL415" t="s">
        <v>74</v>
      </c>
    </row>
    <row r="416" spans="1:90" x14ac:dyDescent="0.25">
      <c r="A416" t="s">
        <v>61</v>
      </c>
      <c r="B416" t="s">
        <v>62</v>
      </c>
      <c r="C416" t="s">
        <v>63</v>
      </c>
      <c r="E416" t="str">
        <f>"FES1162744450"</f>
        <v>FES1162744450</v>
      </c>
      <c r="F416" s="1">
        <v>43930</v>
      </c>
      <c r="G416">
        <v>202010</v>
      </c>
      <c r="H416" t="s">
        <v>64</v>
      </c>
      <c r="I416" t="s">
        <v>65</v>
      </c>
      <c r="J416" t="s">
        <v>66</v>
      </c>
      <c r="K416" t="s">
        <v>67</v>
      </c>
      <c r="L416" t="s">
        <v>212</v>
      </c>
      <c r="M416" t="s">
        <v>213</v>
      </c>
      <c r="N416" t="s">
        <v>689</v>
      </c>
      <c r="O416" t="s">
        <v>69</v>
      </c>
      <c r="P416" t="str">
        <f>"2170732628                    "</f>
        <v xml:space="preserve">2170732628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5.23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G416">
        <v>0</v>
      </c>
      <c r="BH416">
        <v>1</v>
      </c>
      <c r="BI416">
        <v>2.5</v>
      </c>
      <c r="BJ416">
        <v>1.1000000000000001</v>
      </c>
      <c r="BK416">
        <v>2.5</v>
      </c>
      <c r="BL416">
        <v>57.56</v>
      </c>
      <c r="BM416">
        <v>8.6300000000000008</v>
      </c>
      <c r="BN416">
        <v>66.19</v>
      </c>
      <c r="BO416">
        <v>66.19</v>
      </c>
      <c r="BQ416" t="s">
        <v>78</v>
      </c>
      <c r="BR416" t="s">
        <v>71</v>
      </c>
      <c r="BS416" s="1">
        <v>43937</v>
      </c>
      <c r="BT416" s="2">
        <v>0.39861111111111108</v>
      </c>
      <c r="BU416" t="s">
        <v>690</v>
      </c>
      <c r="BV416" t="s">
        <v>74</v>
      </c>
      <c r="BW416" t="s">
        <v>85</v>
      </c>
      <c r="BX416" t="s">
        <v>128</v>
      </c>
      <c r="BY416">
        <v>5317.69</v>
      </c>
      <c r="CA416" t="s">
        <v>216</v>
      </c>
      <c r="CC416" t="s">
        <v>213</v>
      </c>
      <c r="CD416">
        <v>3610</v>
      </c>
      <c r="CE416" t="s">
        <v>91</v>
      </c>
      <c r="CF416" s="1">
        <v>43938</v>
      </c>
      <c r="CI416">
        <v>1</v>
      </c>
      <c r="CJ416">
        <v>5</v>
      </c>
      <c r="CK416">
        <v>21</v>
      </c>
      <c r="CL416" t="s">
        <v>74</v>
      </c>
    </row>
    <row r="417" spans="1:90" x14ac:dyDescent="0.25">
      <c r="A417" t="s">
        <v>61</v>
      </c>
      <c r="B417" t="s">
        <v>62</v>
      </c>
      <c r="C417" t="s">
        <v>63</v>
      </c>
      <c r="E417" t="str">
        <f>"FES1162744518"</f>
        <v>FES1162744518</v>
      </c>
      <c r="F417" s="1">
        <v>43930</v>
      </c>
      <c r="G417">
        <v>202010</v>
      </c>
      <c r="H417" t="s">
        <v>64</v>
      </c>
      <c r="I417" t="s">
        <v>65</v>
      </c>
      <c r="J417" t="s">
        <v>66</v>
      </c>
      <c r="K417" t="s">
        <v>67</v>
      </c>
      <c r="L417" t="s">
        <v>64</v>
      </c>
      <c r="M417" t="s">
        <v>65</v>
      </c>
      <c r="N417" t="s">
        <v>322</v>
      </c>
      <c r="O417" t="s">
        <v>69</v>
      </c>
      <c r="P417" t="str">
        <f>"2170735857                    "</f>
        <v xml:space="preserve">2170735857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3.27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G417">
        <v>0</v>
      </c>
      <c r="BH417">
        <v>1</v>
      </c>
      <c r="BI417">
        <v>1</v>
      </c>
      <c r="BJ417">
        <v>2</v>
      </c>
      <c r="BK417">
        <v>2</v>
      </c>
      <c r="BL417">
        <v>35.979999999999997</v>
      </c>
      <c r="BM417">
        <v>5.4</v>
      </c>
      <c r="BN417">
        <v>41.38</v>
      </c>
      <c r="BO417">
        <v>41.38</v>
      </c>
      <c r="BQ417" t="s">
        <v>78</v>
      </c>
      <c r="BR417" t="s">
        <v>71</v>
      </c>
      <c r="BS417" s="1">
        <v>43935</v>
      </c>
      <c r="BT417" s="2">
        <v>0.29166666666666669</v>
      </c>
      <c r="BU417" t="s">
        <v>323</v>
      </c>
      <c r="BV417" t="s">
        <v>80</v>
      </c>
      <c r="BY417">
        <v>9918</v>
      </c>
      <c r="CA417" t="s">
        <v>193</v>
      </c>
      <c r="CC417" t="s">
        <v>65</v>
      </c>
      <c r="CD417">
        <v>1600</v>
      </c>
      <c r="CE417" t="s">
        <v>91</v>
      </c>
      <c r="CF417" s="1">
        <v>43936</v>
      </c>
      <c r="CI417">
        <v>1</v>
      </c>
      <c r="CJ417">
        <v>3</v>
      </c>
      <c r="CK417">
        <v>22</v>
      </c>
      <c r="CL417" t="s">
        <v>74</v>
      </c>
    </row>
    <row r="418" spans="1:90" x14ac:dyDescent="0.25">
      <c r="A418" t="s">
        <v>61</v>
      </c>
      <c r="B418" t="s">
        <v>62</v>
      </c>
      <c r="C418" t="s">
        <v>63</v>
      </c>
      <c r="E418" t="str">
        <f>"FES1162744579"</f>
        <v>FES1162744579</v>
      </c>
      <c r="F418" s="1">
        <v>43930</v>
      </c>
      <c r="G418">
        <v>202010</v>
      </c>
      <c r="H418" t="s">
        <v>64</v>
      </c>
      <c r="I418" t="s">
        <v>65</v>
      </c>
      <c r="J418" t="s">
        <v>66</v>
      </c>
      <c r="K418" t="s">
        <v>67</v>
      </c>
      <c r="L418" t="s">
        <v>81</v>
      </c>
      <c r="M418" t="s">
        <v>82</v>
      </c>
      <c r="N418" t="s">
        <v>83</v>
      </c>
      <c r="O418" t="s">
        <v>69</v>
      </c>
      <c r="P418" t="str">
        <f>"2170735171                    "</f>
        <v xml:space="preserve">2170735171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4.1900000000000004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G418">
        <v>0</v>
      </c>
      <c r="BH418">
        <v>1</v>
      </c>
      <c r="BI418">
        <v>2</v>
      </c>
      <c r="BJ418">
        <v>0.9</v>
      </c>
      <c r="BK418">
        <v>2</v>
      </c>
      <c r="BL418">
        <v>46.06</v>
      </c>
      <c r="BM418">
        <v>6.91</v>
      </c>
      <c r="BN418">
        <v>52.97</v>
      </c>
      <c r="BO418">
        <v>52.97</v>
      </c>
      <c r="BR418" t="s">
        <v>71</v>
      </c>
      <c r="BS418" s="1">
        <v>43935</v>
      </c>
      <c r="BT418" s="2">
        <v>0.45416666666666666</v>
      </c>
      <c r="BU418" t="s">
        <v>589</v>
      </c>
      <c r="BV418" t="s">
        <v>74</v>
      </c>
      <c r="BW418" t="s">
        <v>258</v>
      </c>
      <c r="BX418" t="s">
        <v>691</v>
      </c>
      <c r="BY418">
        <v>4500</v>
      </c>
      <c r="CA418" t="s">
        <v>692</v>
      </c>
      <c r="CC418" t="s">
        <v>82</v>
      </c>
      <c r="CD418">
        <v>9300</v>
      </c>
      <c r="CE418" t="s">
        <v>91</v>
      </c>
      <c r="CF418" s="1">
        <v>43937</v>
      </c>
      <c r="CI418">
        <v>1</v>
      </c>
      <c r="CJ418">
        <v>3</v>
      </c>
      <c r="CK418">
        <v>21</v>
      </c>
      <c r="CL418" t="s">
        <v>74</v>
      </c>
    </row>
    <row r="419" spans="1:90" x14ac:dyDescent="0.25">
      <c r="A419" t="s">
        <v>61</v>
      </c>
      <c r="B419" t="s">
        <v>62</v>
      </c>
      <c r="C419" t="s">
        <v>63</v>
      </c>
      <c r="E419" t="str">
        <f>"FES1162744548"</f>
        <v>FES1162744548</v>
      </c>
      <c r="F419" s="1">
        <v>43930</v>
      </c>
      <c r="G419">
        <v>202010</v>
      </c>
      <c r="H419" t="s">
        <v>64</v>
      </c>
      <c r="I419" t="s">
        <v>65</v>
      </c>
      <c r="J419" t="s">
        <v>66</v>
      </c>
      <c r="K419" t="s">
        <v>67</v>
      </c>
      <c r="L419" t="s">
        <v>75</v>
      </c>
      <c r="M419" t="s">
        <v>76</v>
      </c>
      <c r="N419" t="s">
        <v>357</v>
      </c>
      <c r="O419" t="s">
        <v>69</v>
      </c>
      <c r="P419" t="str">
        <f>"2170732398                    "</f>
        <v xml:space="preserve">2170732398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9.15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G419">
        <v>0</v>
      </c>
      <c r="BH419">
        <v>1</v>
      </c>
      <c r="BI419">
        <v>9.4</v>
      </c>
      <c r="BJ419">
        <v>3.3</v>
      </c>
      <c r="BK419">
        <v>9.5</v>
      </c>
      <c r="BL419">
        <v>100.66</v>
      </c>
      <c r="BM419">
        <v>15.1</v>
      </c>
      <c r="BN419">
        <v>115.76</v>
      </c>
      <c r="BO419">
        <v>115.76</v>
      </c>
      <c r="BQ419" t="s">
        <v>70</v>
      </c>
      <c r="BR419" t="s">
        <v>71</v>
      </c>
      <c r="BS419" s="1">
        <v>43935</v>
      </c>
      <c r="BT419" s="2">
        <v>0.4375</v>
      </c>
      <c r="BU419" t="s">
        <v>224</v>
      </c>
      <c r="BV419" t="s">
        <v>80</v>
      </c>
      <c r="BY419">
        <v>16381.38</v>
      </c>
      <c r="CC419" t="s">
        <v>76</v>
      </c>
      <c r="CD419">
        <v>1459</v>
      </c>
      <c r="CE419" t="s">
        <v>91</v>
      </c>
      <c r="CF419" s="1">
        <v>43936</v>
      </c>
      <c r="CI419">
        <v>1</v>
      </c>
      <c r="CJ419">
        <v>3</v>
      </c>
      <c r="CK419">
        <v>22</v>
      </c>
      <c r="CL419" t="s">
        <v>74</v>
      </c>
    </row>
    <row r="420" spans="1:90" x14ac:dyDescent="0.25">
      <c r="A420" t="s">
        <v>61</v>
      </c>
      <c r="B420" t="s">
        <v>62</v>
      </c>
      <c r="C420" t="s">
        <v>63</v>
      </c>
      <c r="E420" t="str">
        <f>"FES1162744524"</f>
        <v>FES1162744524</v>
      </c>
      <c r="F420" s="1">
        <v>43930</v>
      </c>
      <c r="G420">
        <v>202010</v>
      </c>
      <c r="H420" t="s">
        <v>64</v>
      </c>
      <c r="I420" t="s">
        <v>65</v>
      </c>
      <c r="J420" t="s">
        <v>66</v>
      </c>
      <c r="K420" t="s">
        <v>67</v>
      </c>
      <c r="L420" t="s">
        <v>64</v>
      </c>
      <c r="M420" t="s">
        <v>65</v>
      </c>
      <c r="N420" t="s">
        <v>322</v>
      </c>
      <c r="O420" t="s">
        <v>69</v>
      </c>
      <c r="P420" t="str">
        <f>"2170735863                    "</f>
        <v xml:space="preserve">2170735863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3.27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G420">
        <v>0</v>
      </c>
      <c r="BH420">
        <v>1</v>
      </c>
      <c r="BI420">
        <v>1</v>
      </c>
      <c r="BJ420">
        <v>0.2</v>
      </c>
      <c r="BK420">
        <v>1</v>
      </c>
      <c r="BL420">
        <v>35.979999999999997</v>
      </c>
      <c r="BM420">
        <v>5.4</v>
      </c>
      <c r="BN420">
        <v>41.38</v>
      </c>
      <c r="BO420">
        <v>41.38</v>
      </c>
      <c r="BQ420" t="s">
        <v>78</v>
      </c>
      <c r="BR420" t="s">
        <v>71</v>
      </c>
      <c r="BS420" s="1">
        <v>43935</v>
      </c>
      <c r="BT420" s="2">
        <v>0.29166666666666669</v>
      </c>
      <c r="BU420" t="s">
        <v>323</v>
      </c>
      <c r="BV420" t="s">
        <v>80</v>
      </c>
      <c r="BY420">
        <v>1200</v>
      </c>
      <c r="CA420" t="s">
        <v>193</v>
      </c>
      <c r="CC420" t="s">
        <v>65</v>
      </c>
      <c r="CD420">
        <v>1600</v>
      </c>
      <c r="CE420" t="s">
        <v>73</v>
      </c>
      <c r="CF420" s="1">
        <v>43936</v>
      </c>
      <c r="CI420">
        <v>1</v>
      </c>
      <c r="CJ420">
        <v>3</v>
      </c>
      <c r="CK420">
        <v>22</v>
      </c>
      <c r="CL420" t="s">
        <v>74</v>
      </c>
    </row>
    <row r="421" spans="1:90" x14ac:dyDescent="0.25">
      <c r="A421" t="s">
        <v>61</v>
      </c>
      <c r="B421" t="s">
        <v>62</v>
      </c>
      <c r="C421" t="s">
        <v>63</v>
      </c>
      <c r="E421" t="str">
        <f>"FES1162744588"</f>
        <v>FES1162744588</v>
      </c>
      <c r="F421" s="1">
        <v>43930</v>
      </c>
      <c r="G421">
        <v>202010</v>
      </c>
      <c r="H421" t="s">
        <v>64</v>
      </c>
      <c r="I421" t="s">
        <v>65</v>
      </c>
      <c r="J421" t="s">
        <v>66</v>
      </c>
      <c r="K421" t="s">
        <v>67</v>
      </c>
      <c r="L421" t="s">
        <v>564</v>
      </c>
      <c r="M421" t="s">
        <v>565</v>
      </c>
      <c r="N421" t="s">
        <v>566</v>
      </c>
      <c r="O421" t="s">
        <v>69</v>
      </c>
      <c r="P421" t="str">
        <f>"21707357958                   "</f>
        <v xml:space="preserve">21707357958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8.11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G421">
        <v>0</v>
      </c>
      <c r="BH421">
        <v>1</v>
      </c>
      <c r="BI421">
        <v>1</v>
      </c>
      <c r="BJ421">
        <v>0.2</v>
      </c>
      <c r="BK421">
        <v>1</v>
      </c>
      <c r="BL421">
        <v>89.23</v>
      </c>
      <c r="BM421">
        <v>13.38</v>
      </c>
      <c r="BN421">
        <v>102.61</v>
      </c>
      <c r="BO421">
        <v>102.61</v>
      </c>
      <c r="BQ421" t="s">
        <v>268</v>
      </c>
      <c r="BR421" t="s">
        <v>71</v>
      </c>
      <c r="BS421" s="1">
        <v>43935</v>
      </c>
      <c r="BT421" s="2">
        <v>0.39583333333333331</v>
      </c>
      <c r="BU421" t="s">
        <v>533</v>
      </c>
      <c r="BV421" t="s">
        <v>80</v>
      </c>
      <c r="BY421">
        <v>1200</v>
      </c>
      <c r="CA421" t="s">
        <v>550</v>
      </c>
      <c r="CC421" t="s">
        <v>565</v>
      </c>
      <c r="CD421">
        <v>9650</v>
      </c>
      <c r="CE421" t="s">
        <v>73</v>
      </c>
      <c r="CF421" s="1">
        <v>43937</v>
      </c>
      <c r="CI421">
        <v>1</v>
      </c>
      <c r="CJ421">
        <v>3</v>
      </c>
      <c r="CK421">
        <v>23</v>
      </c>
      <c r="CL421" t="s">
        <v>74</v>
      </c>
    </row>
    <row r="422" spans="1:90" x14ac:dyDescent="0.25">
      <c r="A422" t="s">
        <v>61</v>
      </c>
      <c r="B422" t="s">
        <v>62</v>
      </c>
      <c r="C422" t="s">
        <v>63</v>
      </c>
      <c r="E422" t="str">
        <f>"FES1162744566"</f>
        <v>FES1162744566</v>
      </c>
      <c r="F422" s="1">
        <v>43930</v>
      </c>
      <c r="G422">
        <v>202010</v>
      </c>
      <c r="H422" t="s">
        <v>64</v>
      </c>
      <c r="I422" t="s">
        <v>65</v>
      </c>
      <c r="J422" t="s">
        <v>66</v>
      </c>
      <c r="K422" t="s">
        <v>67</v>
      </c>
      <c r="L422" t="s">
        <v>75</v>
      </c>
      <c r="M422" t="s">
        <v>76</v>
      </c>
      <c r="N422" t="s">
        <v>308</v>
      </c>
      <c r="O422" t="s">
        <v>69</v>
      </c>
      <c r="P422" t="str">
        <f>"2170734932                    "</f>
        <v xml:space="preserve">2170734932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3.27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G422">
        <v>0</v>
      </c>
      <c r="BH422">
        <v>1</v>
      </c>
      <c r="BI422">
        <v>1</v>
      </c>
      <c r="BJ422">
        <v>0.2</v>
      </c>
      <c r="BK422">
        <v>1</v>
      </c>
      <c r="BL422">
        <v>35.979999999999997</v>
      </c>
      <c r="BM422">
        <v>5.4</v>
      </c>
      <c r="BN422">
        <v>41.38</v>
      </c>
      <c r="BO422">
        <v>41.38</v>
      </c>
      <c r="BQ422" t="s">
        <v>70</v>
      </c>
      <c r="BR422" t="s">
        <v>71</v>
      </c>
      <c r="BS422" s="1">
        <v>43937</v>
      </c>
      <c r="BT422" s="2">
        <v>0.4375</v>
      </c>
      <c r="BU422" t="s">
        <v>483</v>
      </c>
      <c r="BV422" t="s">
        <v>74</v>
      </c>
      <c r="BW422" t="s">
        <v>85</v>
      </c>
      <c r="BX422" t="s">
        <v>203</v>
      </c>
      <c r="BY422">
        <v>1200</v>
      </c>
      <c r="CC422" t="s">
        <v>76</v>
      </c>
      <c r="CD422">
        <v>1459</v>
      </c>
      <c r="CE422" t="s">
        <v>73</v>
      </c>
      <c r="CI422">
        <v>1</v>
      </c>
      <c r="CJ422">
        <v>5</v>
      </c>
      <c r="CK422">
        <v>22</v>
      </c>
      <c r="CL422" t="s">
        <v>74</v>
      </c>
    </row>
    <row r="423" spans="1:90" x14ac:dyDescent="0.25">
      <c r="A423" t="s">
        <v>61</v>
      </c>
      <c r="B423" t="s">
        <v>62</v>
      </c>
      <c r="C423" t="s">
        <v>63</v>
      </c>
      <c r="E423" t="str">
        <f>"FES1162744647"</f>
        <v>FES1162744647</v>
      </c>
      <c r="F423" s="1">
        <v>43930</v>
      </c>
      <c r="G423">
        <v>202010</v>
      </c>
      <c r="H423" t="s">
        <v>64</v>
      </c>
      <c r="I423" t="s">
        <v>65</v>
      </c>
      <c r="J423" t="s">
        <v>66</v>
      </c>
      <c r="K423" t="s">
        <v>67</v>
      </c>
      <c r="L423" t="s">
        <v>92</v>
      </c>
      <c r="M423" t="s">
        <v>93</v>
      </c>
      <c r="N423" t="s">
        <v>165</v>
      </c>
      <c r="O423" t="s">
        <v>69</v>
      </c>
      <c r="P423" t="str">
        <f>"2170735919                    "</f>
        <v xml:space="preserve">2170735919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20.92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G423">
        <v>0</v>
      </c>
      <c r="BH423">
        <v>1</v>
      </c>
      <c r="BI423">
        <v>9.9</v>
      </c>
      <c r="BJ423">
        <v>3.4</v>
      </c>
      <c r="BK423">
        <v>10</v>
      </c>
      <c r="BL423">
        <v>230.15</v>
      </c>
      <c r="BM423">
        <v>34.520000000000003</v>
      </c>
      <c r="BN423">
        <v>264.67</v>
      </c>
      <c r="BO423">
        <v>264.67</v>
      </c>
      <c r="BQ423" t="s">
        <v>70</v>
      </c>
      <c r="BR423" t="s">
        <v>71</v>
      </c>
      <c r="BS423" s="1">
        <v>43935</v>
      </c>
      <c r="BT423" s="2">
        <v>0.36319444444444443</v>
      </c>
      <c r="BU423" t="s">
        <v>673</v>
      </c>
      <c r="BV423" t="s">
        <v>80</v>
      </c>
      <c r="BY423">
        <v>16943.82</v>
      </c>
      <c r="CA423" t="s">
        <v>167</v>
      </c>
      <c r="CC423" t="s">
        <v>93</v>
      </c>
      <c r="CD423">
        <v>7530</v>
      </c>
      <c r="CE423" t="s">
        <v>91</v>
      </c>
      <c r="CF423" s="1">
        <v>43936</v>
      </c>
      <c r="CI423">
        <v>1</v>
      </c>
      <c r="CJ423">
        <v>3</v>
      </c>
      <c r="CK423">
        <v>21</v>
      </c>
      <c r="CL423" t="s">
        <v>74</v>
      </c>
    </row>
    <row r="424" spans="1:90" x14ac:dyDescent="0.25">
      <c r="A424" t="s">
        <v>61</v>
      </c>
      <c r="B424" t="s">
        <v>62</v>
      </c>
      <c r="C424" t="s">
        <v>63</v>
      </c>
      <c r="E424" t="str">
        <f>"FES1162744611"</f>
        <v>FES1162744611</v>
      </c>
      <c r="F424" s="1">
        <v>43930</v>
      </c>
      <c r="G424">
        <v>202010</v>
      </c>
      <c r="H424" t="s">
        <v>64</v>
      </c>
      <c r="I424" t="s">
        <v>65</v>
      </c>
      <c r="J424" t="s">
        <v>66</v>
      </c>
      <c r="K424" t="s">
        <v>67</v>
      </c>
      <c r="L424" t="s">
        <v>693</v>
      </c>
      <c r="M424" t="s">
        <v>694</v>
      </c>
      <c r="N424" t="s">
        <v>695</v>
      </c>
      <c r="O424" t="s">
        <v>69</v>
      </c>
      <c r="P424" t="str">
        <f>"2170735734                    "</f>
        <v xml:space="preserve">2170735734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9.94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G424">
        <v>0</v>
      </c>
      <c r="BH424">
        <v>1</v>
      </c>
      <c r="BI424">
        <v>2.2000000000000002</v>
      </c>
      <c r="BJ424">
        <v>1.6</v>
      </c>
      <c r="BK424">
        <v>2.5</v>
      </c>
      <c r="BL424">
        <v>109.38</v>
      </c>
      <c r="BM424">
        <v>16.41</v>
      </c>
      <c r="BN424">
        <v>125.79</v>
      </c>
      <c r="BO424">
        <v>125.79</v>
      </c>
      <c r="BQ424" t="s">
        <v>78</v>
      </c>
      <c r="BR424" t="s">
        <v>71</v>
      </c>
      <c r="BS424" s="1">
        <v>43936</v>
      </c>
      <c r="BT424" s="2">
        <v>0.41666666666666669</v>
      </c>
      <c r="BU424" t="s">
        <v>696</v>
      </c>
      <c r="BV424" t="s">
        <v>80</v>
      </c>
      <c r="BY424">
        <v>8163.67</v>
      </c>
      <c r="CC424" t="s">
        <v>694</v>
      </c>
      <c r="CD424">
        <v>3236</v>
      </c>
      <c r="CE424" t="s">
        <v>91</v>
      </c>
      <c r="CF424" s="1">
        <v>43941</v>
      </c>
      <c r="CI424">
        <v>4</v>
      </c>
      <c r="CJ424">
        <v>4</v>
      </c>
      <c r="CK424">
        <v>23</v>
      </c>
      <c r="CL424" t="s">
        <v>74</v>
      </c>
    </row>
    <row r="425" spans="1:90" x14ac:dyDescent="0.25">
      <c r="A425" t="s">
        <v>61</v>
      </c>
      <c r="B425" t="s">
        <v>62</v>
      </c>
      <c r="C425" t="s">
        <v>63</v>
      </c>
      <c r="E425" t="str">
        <f>"FES1162744626"</f>
        <v>FES1162744626</v>
      </c>
      <c r="F425" s="1">
        <v>43930</v>
      </c>
      <c r="G425">
        <v>202010</v>
      </c>
      <c r="H425" t="s">
        <v>64</v>
      </c>
      <c r="I425" t="s">
        <v>65</v>
      </c>
      <c r="J425" t="s">
        <v>66</v>
      </c>
      <c r="K425" t="s">
        <v>67</v>
      </c>
      <c r="L425" t="s">
        <v>151</v>
      </c>
      <c r="M425" t="s">
        <v>152</v>
      </c>
      <c r="N425" t="s">
        <v>560</v>
      </c>
      <c r="O425" t="s">
        <v>69</v>
      </c>
      <c r="P425" t="str">
        <f>"2170734213                    "</f>
        <v xml:space="preserve">2170734213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4.1900000000000004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G425">
        <v>0</v>
      </c>
      <c r="BH425">
        <v>1</v>
      </c>
      <c r="BI425">
        <v>1.4</v>
      </c>
      <c r="BJ425">
        <v>1</v>
      </c>
      <c r="BK425">
        <v>1.5</v>
      </c>
      <c r="BL425">
        <v>46.06</v>
      </c>
      <c r="BM425">
        <v>6.91</v>
      </c>
      <c r="BN425">
        <v>52.97</v>
      </c>
      <c r="BO425">
        <v>52.97</v>
      </c>
      <c r="BQ425" t="s">
        <v>70</v>
      </c>
      <c r="BR425" t="s">
        <v>71</v>
      </c>
      <c r="BS425" s="1">
        <v>43935</v>
      </c>
      <c r="BT425" s="2">
        <v>8.3333333333333329E-2</v>
      </c>
      <c r="BU425" t="s">
        <v>561</v>
      </c>
      <c r="BV425" t="s">
        <v>80</v>
      </c>
      <c r="BY425">
        <v>4913.75</v>
      </c>
      <c r="CC425" t="s">
        <v>152</v>
      </c>
      <c r="CD425">
        <v>3201</v>
      </c>
      <c r="CE425" t="s">
        <v>73</v>
      </c>
      <c r="CF425" s="1">
        <v>43937</v>
      </c>
      <c r="CI425">
        <v>1</v>
      </c>
      <c r="CJ425">
        <v>3</v>
      </c>
      <c r="CK425">
        <v>21</v>
      </c>
      <c r="CL425" t="s">
        <v>74</v>
      </c>
    </row>
    <row r="426" spans="1:90" x14ac:dyDescent="0.25">
      <c r="A426" t="s">
        <v>61</v>
      </c>
      <c r="B426" t="s">
        <v>62</v>
      </c>
      <c r="C426" t="s">
        <v>63</v>
      </c>
      <c r="E426" t="str">
        <f>"FES1162744609"</f>
        <v>FES1162744609</v>
      </c>
      <c r="F426" s="1">
        <v>43930</v>
      </c>
      <c r="G426">
        <v>202010</v>
      </c>
      <c r="H426" t="s">
        <v>64</v>
      </c>
      <c r="I426" t="s">
        <v>65</v>
      </c>
      <c r="J426" t="s">
        <v>66</v>
      </c>
      <c r="K426" t="s">
        <v>67</v>
      </c>
      <c r="L426" t="s">
        <v>151</v>
      </c>
      <c r="M426" t="s">
        <v>152</v>
      </c>
      <c r="N426" t="s">
        <v>585</v>
      </c>
      <c r="O426" t="s">
        <v>69</v>
      </c>
      <c r="P426" t="str">
        <f>"2170735911                    "</f>
        <v xml:space="preserve">2170735911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5.23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G426">
        <v>0</v>
      </c>
      <c r="BH426">
        <v>1</v>
      </c>
      <c r="BI426">
        <v>2.4</v>
      </c>
      <c r="BJ426">
        <v>1</v>
      </c>
      <c r="BK426">
        <v>2.5</v>
      </c>
      <c r="BL426">
        <v>57.56</v>
      </c>
      <c r="BM426">
        <v>8.6300000000000008</v>
      </c>
      <c r="BN426">
        <v>66.19</v>
      </c>
      <c r="BO426">
        <v>66.19</v>
      </c>
      <c r="BQ426" t="s">
        <v>70</v>
      </c>
      <c r="BR426" t="s">
        <v>71</v>
      </c>
      <c r="BS426" s="1">
        <v>43938</v>
      </c>
      <c r="BT426" s="2">
        <v>0.54513888888888895</v>
      </c>
      <c r="BU426" t="s">
        <v>674</v>
      </c>
      <c r="BV426" t="s">
        <v>74</v>
      </c>
      <c r="BW426" t="s">
        <v>663</v>
      </c>
      <c r="BX426" t="s">
        <v>128</v>
      </c>
      <c r="BY426">
        <v>4915.58</v>
      </c>
      <c r="CC426" t="s">
        <v>152</v>
      </c>
      <c r="CD426">
        <v>3212</v>
      </c>
      <c r="CE426" t="s">
        <v>91</v>
      </c>
      <c r="CF426" s="1">
        <v>43941</v>
      </c>
      <c r="CI426">
        <v>1</v>
      </c>
      <c r="CJ426">
        <v>6</v>
      </c>
      <c r="CK426">
        <v>21</v>
      </c>
      <c r="CL426" t="s">
        <v>74</v>
      </c>
    </row>
    <row r="427" spans="1:90" x14ac:dyDescent="0.25">
      <c r="A427" t="s">
        <v>61</v>
      </c>
      <c r="B427" t="s">
        <v>62</v>
      </c>
      <c r="C427" t="s">
        <v>63</v>
      </c>
      <c r="E427" t="str">
        <f>"FES1162744616"</f>
        <v>FES1162744616</v>
      </c>
      <c r="F427" s="1">
        <v>43930</v>
      </c>
      <c r="G427">
        <v>202010</v>
      </c>
      <c r="H427" t="s">
        <v>64</v>
      </c>
      <c r="I427" t="s">
        <v>65</v>
      </c>
      <c r="J427" t="s">
        <v>66</v>
      </c>
      <c r="K427" t="s">
        <v>67</v>
      </c>
      <c r="L427" t="s">
        <v>151</v>
      </c>
      <c r="M427" t="s">
        <v>152</v>
      </c>
      <c r="N427" t="s">
        <v>560</v>
      </c>
      <c r="O427" t="s">
        <v>69</v>
      </c>
      <c r="P427" t="str">
        <f>"2170731028                    "</f>
        <v xml:space="preserve">2170731028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13.6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G427">
        <v>0</v>
      </c>
      <c r="BH427">
        <v>1</v>
      </c>
      <c r="BI427">
        <v>6.2</v>
      </c>
      <c r="BJ427">
        <v>6</v>
      </c>
      <c r="BK427">
        <v>6.5</v>
      </c>
      <c r="BL427">
        <v>149.61000000000001</v>
      </c>
      <c r="BM427">
        <v>22.44</v>
      </c>
      <c r="BN427">
        <v>172.05</v>
      </c>
      <c r="BO427">
        <v>172.05</v>
      </c>
      <c r="BQ427" t="s">
        <v>70</v>
      </c>
      <c r="BR427" t="s">
        <v>71</v>
      </c>
      <c r="BS427" s="1">
        <v>43935</v>
      </c>
      <c r="BT427" s="2">
        <v>8.3333333333333329E-2</v>
      </c>
      <c r="BU427" t="s">
        <v>561</v>
      </c>
      <c r="BV427" t="s">
        <v>80</v>
      </c>
      <c r="BY427">
        <v>30009.07</v>
      </c>
      <c r="CC427" t="s">
        <v>152</v>
      </c>
      <c r="CD427">
        <v>3201</v>
      </c>
      <c r="CE427" t="s">
        <v>91</v>
      </c>
      <c r="CF427" s="1">
        <v>43937</v>
      </c>
      <c r="CI427">
        <v>1</v>
      </c>
      <c r="CJ427">
        <v>3</v>
      </c>
      <c r="CK427">
        <v>21</v>
      </c>
      <c r="CL427" t="s">
        <v>74</v>
      </c>
    </row>
    <row r="428" spans="1:90" x14ac:dyDescent="0.25">
      <c r="A428" t="s">
        <v>61</v>
      </c>
      <c r="B428" t="s">
        <v>62</v>
      </c>
      <c r="C428" t="s">
        <v>63</v>
      </c>
      <c r="E428" t="str">
        <f>"FES1162744597"</f>
        <v>FES1162744597</v>
      </c>
      <c r="F428" s="1">
        <v>43930</v>
      </c>
      <c r="G428">
        <v>202010</v>
      </c>
      <c r="H428" t="s">
        <v>64</v>
      </c>
      <c r="I428" t="s">
        <v>65</v>
      </c>
      <c r="J428" t="s">
        <v>66</v>
      </c>
      <c r="K428" t="s">
        <v>67</v>
      </c>
      <c r="L428" t="s">
        <v>120</v>
      </c>
      <c r="M428" t="s">
        <v>121</v>
      </c>
      <c r="N428" t="s">
        <v>130</v>
      </c>
      <c r="O428" t="s">
        <v>69</v>
      </c>
      <c r="P428" t="str">
        <f>"2170733781                    "</f>
        <v xml:space="preserve">2170733781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4.1900000000000004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G428">
        <v>0</v>
      </c>
      <c r="BH428">
        <v>1</v>
      </c>
      <c r="BI428">
        <v>0.5</v>
      </c>
      <c r="BJ428">
        <v>0.7</v>
      </c>
      <c r="BK428">
        <v>1</v>
      </c>
      <c r="BL428">
        <v>46.06</v>
      </c>
      <c r="BM428">
        <v>6.91</v>
      </c>
      <c r="BN428">
        <v>52.97</v>
      </c>
      <c r="BO428">
        <v>52.97</v>
      </c>
      <c r="BQ428" t="s">
        <v>78</v>
      </c>
      <c r="BR428" t="s">
        <v>71</v>
      </c>
      <c r="BS428" s="1">
        <v>43935</v>
      </c>
      <c r="BT428" s="2">
        <v>0.44930555555555557</v>
      </c>
      <c r="BU428" t="s">
        <v>697</v>
      </c>
      <c r="BV428" t="s">
        <v>74</v>
      </c>
      <c r="BW428" t="s">
        <v>85</v>
      </c>
      <c r="BX428" t="s">
        <v>128</v>
      </c>
      <c r="BY428">
        <v>3439.65</v>
      </c>
      <c r="CA428" t="s">
        <v>598</v>
      </c>
      <c r="CC428" t="s">
        <v>121</v>
      </c>
      <c r="CD428">
        <v>4051</v>
      </c>
      <c r="CE428" t="s">
        <v>91</v>
      </c>
      <c r="CF428" s="1">
        <v>43936</v>
      </c>
      <c r="CI428">
        <v>1</v>
      </c>
      <c r="CJ428">
        <v>3</v>
      </c>
      <c r="CK428">
        <v>21</v>
      </c>
      <c r="CL428" t="s">
        <v>74</v>
      </c>
    </row>
    <row r="429" spans="1:90" x14ac:dyDescent="0.25">
      <c r="A429" t="s">
        <v>61</v>
      </c>
      <c r="B429" t="s">
        <v>62</v>
      </c>
      <c r="C429" t="s">
        <v>63</v>
      </c>
      <c r="E429" t="str">
        <f>"FES1162744605"</f>
        <v>FES1162744605</v>
      </c>
      <c r="F429" s="1">
        <v>43930</v>
      </c>
      <c r="G429">
        <v>202010</v>
      </c>
      <c r="H429" t="s">
        <v>64</v>
      </c>
      <c r="I429" t="s">
        <v>65</v>
      </c>
      <c r="J429" t="s">
        <v>66</v>
      </c>
      <c r="K429" t="s">
        <v>67</v>
      </c>
      <c r="L429" t="s">
        <v>120</v>
      </c>
      <c r="M429" t="s">
        <v>121</v>
      </c>
      <c r="N429" t="s">
        <v>247</v>
      </c>
      <c r="O429" t="s">
        <v>69</v>
      </c>
      <c r="P429" t="str">
        <f>"2170733328                    "</f>
        <v xml:space="preserve">2170733328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6.28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G429">
        <v>0</v>
      </c>
      <c r="BH429">
        <v>1</v>
      </c>
      <c r="BI429">
        <v>2.7</v>
      </c>
      <c r="BJ429">
        <v>2.8</v>
      </c>
      <c r="BK429">
        <v>3</v>
      </c>
      <c r="BL429">
        <v>69.069999999999993</v>
      </c>
      <c r="BM429">
        <v>10.36</v>
      </c>
      <c r="BN429">
        <v>79.430000000000007</v>
      </c>
      <c r="BO429">
        <v>79.430000000000007</v>
      </c>
      <c r="BQ429" t="s">
        <v>248</v>
      </c>
      <c r="BR429" t="s">
        <v>71</v>
      </c>
      <c r="BS429" s="1">
        <v>43935</v>
      </c>
      <c r="BT429" s="2">
        <v>0.52430555555555558</v>
      </c>
      <c r="BU429" t="s">
        <v>249</v>
      </c>
      <c r="BV429" t="s">
        <v>74</v>
      </c>
      <c r="BW429" t="s">
        <v>85</v>
      </c>
      <c r="BX429" t="s">
        <v>128</v>
      </c>
      <c r="BY429">
        <v>13752.96</v>
      </c>
      <c r="CA429" t="s">
        <v>250</v>
      </c>
      <c r="CC429" t="s">
        <v>121</v>
      </c>
      <c r="CD429">
        <v>4001</v>
      </c>
      <c r="CE429" t="s">
        <v>91</v>
      </c>
      <c r="CF429" s="1">
        <v>43936</v>
      </c>
      <c r="CI429">
        <v>1</v>
      </c>
      <c r="CJ429">
        <v>3</v>
      </c>
      <c r="CK429">
        <v>21</v>
      </c>
      <c r="CL429" t="s">
        <v>74</v>
      </c>
    </row>
    <row r="430" spans="1:90" x14ac:dyDescent="0.25">
      <c r="A430" t="s">
        <v>61</v>
      </c>
      <c r="B430" t="s">
        <v>62</v>
      </c>
      <c r="C430" t="s">
        <v>63</v>
      </c>
      <c r="E430" t="str">
        <f>"FES1162744587"</f>
        <v>FES1162744587</v>
      </c>
      <c r="F430" s="1">
        <v>43930</v>
      </c>
      <c r="G430">
        <v>202010</v>
      </c>
      <c r="H430" t="s">
        <v>64</v>
      </c>
      <c r="I430" t="s">
        <v>65</v>
      </c>
      <c r="J430" t="s">
        <v>66</v>
      </c>
      <c r="K430" t="s">
        <v>67</v>
      </c>
      <c r="L430" t="s">
        <v>120</v>
      </c>
      <c r="M430" t="s">
        <v>121</v>
      </c>
      <c r="N430" t="s">
        <v>206</v>
      </c>
      <c r="O430" t="s">
        <v>69</v>
      </c>
      <c r="P430" t="str">
        <f>"2170735752                    "</f>
        <v xml:space="preserve">2170735752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4.1900000000000004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G430">
        <v>0</v>
      </c>
      <c r="BH430">
        <v>1</v>
      </c>
      <c r="BI430">
        <v>1.7</v>
      </c>
      <c r="BJ430">
        <v>0.8</v>
      </c>
      <c r="BK430">
        <v>2</v>
      </c>
      <c r="BL430">
        <v>46.06</v>
      </c>
      <c r="BM430">
        <v>6.91</v>
      </c>
      <c r="BN430">
        <v>52.97</v>
      </c>
      <c r="BO430">
        <v>52.97</v>
      </c>
      <c r="BQ430" t="s">
        <v>78</v>
      </c>
      <c r="BR430" t="s">
        <v>71</v>
      </c>
      <c r="BS430" s="1">
        <v>43935</v>
      </c>
      <c r="BT430" s="2">
        <v>0.3979166666666667</v>
      </c>
      <c r="BU430" t="s">
        <v>698</v>
      </c>
      <c r="BV430" t="s">
        <v>80</v>
      </c>
      <c r="BY430">
        <v>3873.26</v>
      </c>
      <c r="CA430" t="s">
        <v>699</v>
      </c>
      <c r="CC430" t="s">
        <v>121</v>
      </c>
      <c r="CD430">
        <v>4094</v>
      </c>
      <c r="CE430" t="s">
        <v>73</v>
      </c>
      <c r="CF430" s="1">
        <v>43936</v>
      </c>
      <c r="CI430">
        <v>1</v>
      </c>
      <c r="CJ430">
        <v>3</v>
      </c>
      <c r="CK430">
        <v>21</v>
      </c>
      <c r="CL430" t="s">
        <v>74</v>
      </c>
    </row>
    <row r="431" spans="1:90" x14ac:dyDescent="0.25">
      <c r="A431" t="s">
        <v>61</v>
      </c>
      <c r="B431" t="s">
        <v>62</v>
      </c>
      <c r="C431" t="s">
        <v>63</v>
      </c>
      <c r="E431" t="str">
        <f>"FES1162744627"</f>
        <v>FES1162744627</v>
      </c>
      <c r="F431" s="1">
        <v>43930</v>
      </c>
      <c r="G431">
        <v>202010</v>
      </c>
      <c r="H431" t="s">
        <v>64</v>
      </c>
      <c r="I431" t="s">
        <v>65</v>
      </c>
      <c r="J431" t="s">
        <v>66</v>
      </c>
      <c r="K431" t="s">
        <v>67</v>
      </c>
      <c r="L431" t="s">
        <v>151</v>
      </c>
      <c r="M431" t="s">
        <v>152</v>
      </c>
      <c r="N431" t="s">
        <v>560</v>
      </c>
      <c r="O431" t="s">
        <v>69</v>
      </c>
      <c r="P431" t="str">
        <f>"2170734341                    "</f>
        <v xml:space="preserve">2170734341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4.1900000000000004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G431">
        <v>0</v>
      </c>
      <c r="BH431">
        <v>1</v>
      </c>
      <c r="BI431">
        <v>1</v>
      </c>
      <c r="BJ431">
        <v>0.2</v>
      </c>
      <c r="BK431">
        <v>1</v>
      </c>
      <c r="BL431">
        <v>46.06</v>
      </c>
      <c r="BM431">
        <v>6.91</v>
      </c>
      <c r="BN431">
        <v>52.97</v>
      </c>
      <c r="BO431">
        <v>52.97</v>
      </c>
      <c r="BQ431" t="s">
        <v>70</v>
      </c>
      <c r="BR431" t="s">
        <v>71</v>
      </c>
      <c r="BS431" s="1">
        <v>43935</v>
      </c>
      <c r="BT431" s="2">
        <v>0.41666666666666669</v>
      </c>
      <c r="BU431" t="s">
        <v>700</v>
      </c>
      <c r="BV431" t="s">
        <v>80</v>
      </c>
      <c r="BY431">
        <v>1200</v>
      </c>
      <c r="CC431" t="s">
        <v>152</v>
      </c>
      <c r="CD431">
        <v>3201</v>
      </c>
      <c r="CE431" t="s">
        <v>73</v>
      </c>
      <c r="CF431" s="1">
        <v>43937</v>
      </c>
      <c r="CI431">
        <v>1</v>
      </c>
      <c r="CJ431">
        <v>3</v>
      </c>
      <c r="CK431">
        <v>21</v>
      </c>
      <c r="CL431" t="s">
        <v>74</v>
      </c>
    </row>
    <row r="432" spans="1:90" x14ac:dyDescent="0.25">
      <c r="A432" t="s">
        <v>61</v>
      </c>
      <c r="B432" t="s">
        <v>62</v>
      </c>
      <c r="C432" t="s">
        <v>63</v>
      </c>
      <c r="E432" t="str">
        <f>"FES1162744618"</f>
        <v>FES1162744618</v>
      </c>
      <c r="F432" s="1">
        <v>43930</v>
      </c>
      <c r="G432">
        <v>202010</v>
      </c>
      <c r="H432" t="s">
        <v>64</v>
      </c>
      <c r="I432" t="s">
        <v>65</v>
      </c>
      <c r="J432" t="s">
        <v>66</v>
      </c>
      <c r="K432" t="s">
        <v>67</v>
      </c>
      <c r="L432" t="s">
        <v>177</v>
      </c>
      <c r="M432" t="s">
        <v>178</v>
      </c>
      <c r="N432" t="s">
        <v>701</v>
      </c>
      <c r="O432" t="s">
        <v>69</v>
      </c>
      <c r="P432" t="str">
        <f>"2170732765                    "</f>
        <v xml:space="preserve">2170732765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4.1900000000000004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G432">
        <v>0</v>
      </c>
      <c r="BH432">
        <v>1</v>
      </c>
      <c r="BI432">
        <v>1</v>
      </c>
      <c r="BJ432">
        <v>0.2</v>
      </c>
      <c r="BK432">
        <v>1</v>
      </c>
      <c r="BL432">
        <v>46.06</v>
      </c>
      <c r="BM432">
        <v>6.91</v>
      </c>
      <c r="BN432">
        <v>52.97</v>
      </c>
      <c r="BO432">
        <v>52.97</v>
      </c>
      <c r="BQ432" t="s">
        <v>78</v>
      </c>
      <c r="BR432" t="s">
        <v>71</v>
      </c>
      <c r="BS432" s="1">
        <v>43938</v>
      </c>
      <c r="BT432" s="2">
        <v>0.375</v>
      </c>
      <c r="BU432" t="s">
        <v>702</v>
      </c>
      <c r="BV432" t="s">
        <v>74</v>
      </c>
      <c r="BW432" t="s">
        <v>85</v>
      </c>
      <c r="BX432" t="s">
        <v>128</v>
      </c>
      <c r="BY432">
        <v>1200</v>
      </c>
      <c r="CA432" t="s">
        <v>703</v>
      </c>
      <c r="CC432" t="s">
        <v>178</v>
      </c>
      <c r="CD432">
        <v>4156</v>
      </c>
      <c r="CE432" t="s">
        <v>73</v>
      </c>
      <c r="CF432" s="1">
        <v>43941</v>
      </c>
      <c r="CI432">
        <v>1</v>
      </c>
      <c r="CJ432">
        <v>6</v>
      </c>
      <c r="CK432">
        <v>21</v>
      </c>
      <c r="CL432" t="s">
        <v>74</v>
      </c>
    </row>
    <row r="433" spans="1:90" x14ac:dyDescent="0.25">
      <c r="A433" t="s">
        <v>61</v>
      </c>
      <c r="B433" t="s">
        <v>62</v>
      </c>
      <c r="C433" t="s">
        <v>63</v>
      </c>
      <c r="E433" t="str">
        <f>"FES1162744591"</f>
        <v>FES1162744591</v>
      </c>
      <c r="F433" s="1">
        <v>43930</v>
      </c>
      <c r="G433">
        <v>202010</v>
      </c>
      <c r="H433" t="s">
        <v>64</v>
      </c>
      <c r="I433" t="s">
        <v>65</v>
      </c>
      <c r="J433" t="s">
        <v>66</v>
      </c>
      <c r="K433" t="s">
        <v>67</v>
      </c>
      <c r="L433" t="s">
        <v>87</v>
      </c>
      <c r="M433" t="s">
        <v>88</v>
      </c>
      <c r="N433" t="s">
        <v>89</v>
      </c>
      <c r="O433" t="s">
        <v>69</v>
      </c>
      <c r="P433" t="str">
        <f>"2170735906                    "</f>
        <v xml:space="preserve">2170735906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8.11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G433">
        <v>0</v>
      </c>
      <c r="BH433">
        <v>1</v>
      </c>
      <c r="BI433">
        <v>1</v>
      </c>
      <c r="BJ433">
        <v>0.2</v>
      </c>
      <c r="BK433">
        <v>1</v>
      </c>
      <c r="BL433">
        <v>89.23</v>
      </c>
      <c r="BM433">
        <v>13.38</v>
      </c>
      <c r="BN433">
        <v>102.61</v>
      </c>
      <c r="BO433">
        <v>102.61</v>
      </c>
      <c r="BQ433" t="s">
        <v>70</v>
      </c>
      <c r="BR433" t="s">
        <v>71</v>
      </c>
      <c r="BS433" s="1">
        <v>43935</v>
      </c>
      <c r="BT433" s="2">
        <v>0.41666666666666669</v>
      </c>
      <c r="BU433" t="s">
        <v>455</v>
      </c>
      <c r="BV433" t="s">
        <v>80</v>
      </c>
      <c r="BY433">
        <v>1200</v>
      </c>
      <c r="CC433" t="s">
        <v>88</v>
      </c>
      <c r="CD433">
        <v>5099</v>
      </c>
      <c r="CE433" t="s">
        <v>73</v>
      </c>
      <c r="CF433" s="1">
        <v>43938</v>
      </c>
      <c r="CI433">
        <v>3</v>
      </c>
      <c r="CJ433">
        <v>2</v>
      </c>
      <c r="CK433">
        <v>23</v>
      </c>
      <c r="CL433" t="s">
        <v>74</v>
      </c>
    </row>
    <row r="434" spans="1:90" x14ac:dyDescent="0.25">
      <c r="A434" t="s">
        <v>61</v>
      </c>
      <c r="B434" t="s">
        <v>62</v>
      </c>
      <c r="C434" t="s">
        <v>63</v>
      </c>
      <c r="E434" t="str">
        <f>"FES1162744625"</f>
        <v>FES1162744625</v>
      </c>
      <c r="F434" s="1">
        <v>43930</v>
      </c>
      <c r="G434">
        <v>202010</v>
      </c>
      <c r="H434" t="s">
        <v>64</v>
      </c>
      <c r="I434" t="s">
        <v>65</v>
      </c>
      <c r="J434" t="s">
        <v>66</v>
      </c>
      <c r="K434" t="s">
        <v>67</v>
      </c>
      <c r="L434" t="s">
        <v>368</v>
      </c>
      <c r="M434" t="s">
        <v>369</v>
      </c>
      <c r="N434" t="s">
        <v>704</v>
      </c>
      <c r="O434" t="s">
        <v>69</v>
      </c>
      <c r="P434" t="str">
        <f>"2170734047                    "</f>
        <v xml:space="preserve">2170734047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3.27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G434">
        <v>0</v>
      </c>
      <c r="BH434">
        <v>1</v>
      </c>
      <c r="BI434">
        <v>1</v>
      </c>
      <c r="BJ434">
        <v>0.2</v>
      </c>
      <c r="BK434">
        <v>1</v>
      </c>
      <c r="BL434">
        <v>35.979999999999997</v>
      </c>
      <c r="BM434">
        <v>5.4</v>
      </c>
      <c r="BN434">
        <v>41.38</v>
      </c>
      <c r="BO434">
        <v>41.38</v>
      </c>
      <c r="BQ434" t="s">
        <v>78</v>
      </c>
      <c r="BR434" t="s">
        <v>71</v>
      </c>
      <c r="BS434" s="1">
        <v>43935</v>
      </c>
      <c r="BT434" s="2">
        <v>0.41666666666666669</v>
      </c>
      <c r="BU434" t="s">
        <v>665</v>
      </c>
      <c r="BV434" t="s">
        <v>80</v>
      </c>
      <c r="BY434">
        <v>1200</v>
      </c>
      <c r="CA434" t="s">
        <v>428</v>
      </c>
      <c r="CC434" t="s">
        <v>369</v>
      </c>
      <c r="CD434">
        <v>1422</v>
      </c>
      <c r="CE434" t="s">
        <v>73</v>
      </c>
      <c r="CF434" s="1">
        <v>43936</v>
      </c>
      <c r="CI434">
        <v>1</v>
      </c>
      <c r="CJ434">
        <v>3</v>
      </c>
      <c r="CK434">
        <v>22</v>
      </c>
      <c r="CL434" t="s">
        <v>74</v>
      </c>
    </row>
    <row r="435" spans="1:90" x14ac:dyDescent="0.25">
      <c r="A435" t="s">
        <v>61</v>
      </c>
      <c r="B435" t="s">
        <v>62</v>
      </c>
      <c r="C435" t="s">
        <v>63</v>
      </c>
      <c r="E435" t="str">
        <f>"FES1162744709"</f>
        <v>FES1162744709</v>
      </c>
      <c r="F435" s="1">
        <v>43935</v>
      </c>
      <c r="G435">
        <v>202010</v>
      </c>
      <c r="H435" t="s">
        <v>64</v>
      </c>
      <c r="I435" t="s">
        <v>65</v>
      </c>
      <c r="J435" t="s">
        <v>66</v>
      </c>
      <c r="K435" t="s">
        <v>67</v>
      </c>
      <c r="L435" t="s">
        <v>270</v>
      </c>
      <c r="M435" t="s">
        <v>271</v>
      </c>
      <c r="N435" t="s">
        <v>495</v>
      </c>
      <c r="O435" t="s">
        <v>69</v>
      </c>
      <c r="P435" t="str">
        <f>"2170735961                    "</f>
        <v xml:space="preserve">2170735961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3.27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G435">
        <v>0</v>
      </c>
      <c r="BH435">
        <v>1</v>
      </c>
      <c r="BI435">
        <v>1</v>
      </c>
      <c r="BJ435">
        <v>0.2</v>
      </c>
      <c r="BK435">
        <v>1</v>
      </c>
      <c r="BL435">
        <v>35.979999999999997</v>
      </c>
      <c r="BM435">
        <v>5.4</v>
      </c>
      <c r="BN435">
        <v>41.38</v>
      </c>
      <c r="BO435">
        <v>41.38</v>
      </c>
      <c r="BQ435" t="s">
        <v>70</v>
      </c>
      <c r="BR435" t="s">
        <v>71</v>
      </c>
      <c r="BS435" s="1">
        <v>43936</v>
      </c>
      <c r="BT435" s="2">
        <v>0.375</v>
      </c>
      <c r="BU435" t="s">
        <v>705</v>
      </c>
      <c r="BV435" t="s">
        <v>80</v>
      </c>
      <c r="BY435">
        <v>1200</v>
      </c>
      <c r="CA435" t="s">
        <v>486</v>
      </c>
      <c r="CC435" t="s">
        <v>271</v>
      </c>
      <c r="CD435">
        <v>2013</v>
      </c>
      <c r="CE435" t="s">
        <v>73</v>
      </c>
      <c r="CI435">
        <v>1</v>
      </c>
      <c r="CJ435">
        <v>1</v>
      </c>
      <c r="CK435">
        <v>22</v>
      </c>
      <c r="CL435" t="s">
        <v>74</v>
      </c>
    </row>
    <row r="436" spans="1:90" x14ac:dyDescent="0.25">
      <c r="A436" t="s">
        <v>61</v>
      </c>
      <c r="B436" t="s">
        <v>62</v>
      </c>
      <c r="C436" t="s">
        <v>63</v>
      </c>
      <c r="E436" t="str">
        <f>"FES1162744688"</f>
        <v>FES1162744688</v>
      </c>
      <c r="F436" s="1">
        <v>43935</v>
      </c>
      <c r="G436">
        <v>202010</v>
      </c>
      <c r="H436" t="s">
        <v>64</v>
      </c>
      <c r="I436" t="s">
        <v>65</v>
      </c>
      <c r="J436" t="s">
        <v>66</v>
      </c>
      <c r="K436" t="s">
        <v>67</v>
      </c>
      <c r="L436" t="s">
        <v>351</v>
      </c>
      <c r="M436" t="s">
        <v>352</v>
      </c>
      <c r="N436" t="s">
        <v>122</v>
      </c>
      <c r="O436" t="s">
        <v>69</v>
      </c>
      <c r="P436" t="str">
        <f>"2170732649                    "</f>
        <v xml:space="preserve">2170732649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8.11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G436">
        <v>0</v>
      </c>
      <c r="BH436">
        <v>1</v>
      </c>
      <c r="BI436">
        <v>0.2</v>
      </c>
      <c r="BJ436">
        <v>0.8</v>
      </c>
      <c r="BK436">
        <v>1</v>
      </c>
      <c r="BL436">
        <v>89.23</v>
      </c>
      <c r="BM436">
        <v>13.38</v>
      </c>
      <c r="BN436">
        <v>102.61</v>
      </c>
      <c r="BO436">
        <v>102.61</v>
      </c>
      <c r="BQ436" t="s">
        <v>78</v>
      </c>
      <c r="BR436" t="s">
        <v>71</v>
      </c>
      <c r="BS436" s="1">
        <v>43936</v>
      </c>
      <c r="BT436" s="2">
        <v>0.4375</v>
      </c>
      <c r="BU436" t="s">
        <v>608</v>
      </c>
      <c r="BV436" t="s">
        <v>80</v>
      </c>
      <c r="BY436">
        <v>4193.2299999999996</v>
      </c>
      <c r="CC436" t="s">
        <v>352</v>
      </c>
      <c r="CD436">
        <v>1911</v>
      </c>
      <c r="CE436" t="s">
        <v>91</v>
      </c>
      <c r="CF436" s="1">
        <v>43937</v>
      </c>
      <c r="CI436">
        <v>1</v>
      </c>
      <c r="CJ436">
        <v>1</v>
      </c>
      <c r="CK436">
        <v>23</v>
      </c>
      <c r="CL436" t="s">
        <v>74</v>
      </c>
    </row>
    <row r="437" spans="1:90" x14ac:dyDescent="0.25">
      <c r="A437" t="s">
        <v>61</v>
      </c>
      <c r="B437" t="s">
        <v>62</v>
      </c>
      <c r="C437" t="s">
        <v>63</v>
      </c>
      <c r="E437" t="str">
        <f>"FES1162744617"</f>
        <v>FES1162744617</v>
      </c>
      <c r="F437" s="1">
        <v>43935</v>
      </c>
      <c r="G437">
        <v>202010</v>
      </c>
      <c r="H437" t="s">
        <v>64</v>
      </c>
      <c r="I437" t="s">
        <v>65</v>
      </c>
      <c r="J437" t="s">
        <v>66</v>
      </c>
      <c r="K437" t="s">
        <v>67</v>
      </c>
      <c r="L437" t="s">
        <v>64</v>
      </c>
      <c r="M437" t="s">
        <v>65</v>
      </c>
      <c r="N437" t="s">
        <v>664</v>
      </c>
      <c r="O437" t="s">
        <v>69</v>
      </c>
      <c r="P437" t="str">
        <f>"2170732438                    "</f>
        <v xml:space="preserve">2170732438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3.27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G437">
        <v>0</v>
      </c>
      <c r="BH437">
        <v>1</v>
      </c>
      <c r="BI437">
        <v>0.7</v>
      </c>
      <c r="BJ437">
        <v>1.4</v>
      </c>
      <c r="BK437">
        <v>1.5</v>
      </c>
      <c r="BL437">
        <v>35.979999999999997</v>
      </c>
      <c r="BM437">
        <v>5.4</v>
      </c>
      <c r="BN437">
        <v>41.38</v>
      </c>
      <c r="BO437">
        <v>41.38</v>
      </c>
      <c r="BQ437" t="s">
        <v>70</v>
      </c>
      <c r="BR437" t="s">
        <v>71</v>
      </c>
      <c r="BS437" s="1">
        <v>43936</v>
      </c>
      <c r="BT437" s="2">
        <v>0.33749999999999997</v>
      </c>
      <c r="BU437" t="s">
        <v>706</v>
      </c>
      <c r="BV437" t="s">
        <v>80</v>
      </c>
      <c r="BY437">
        <v>6787.76</v>
      </c>
      <c r="CC437" t="s">
        <v>65</v>
      </c>
      <c r="CD437">
        <v>1665</v>
      </c>
      <c r="CE437" t="s">
        <v>73</v>
      </c>
      <c r="CF437" s="1">
        <v>43943</v>
      </c>
      <c r="CI437">
        <v>1</v>
      </c>
      <c r="CJ437">
        <v>1</v>
      </c>
      <c r="CK437">
        <v>22</v>
      </c>
      <c r="CL437" t="s">
        <v>74</v>
      </c>
    </row>
    <row r="438" spans="1:90" x14ac:dyDescent="0.25">
      <c r="A438" t="s">
        <v>61</v>
      </c>
      <c r="B438" t="s">
        <v>62</v>
      </c>
      <c r="C438" t="s">
        <v>63</v>
      </c>
      <c r="E438" t="str">
        <f>"FES1162744651"</f>
        <v>FES1162744651</v>
      </c>
      <c r="F438" s="1">
        <v>43930</v>
      </c>
      <c r="G438">
        <v>202010</v>
      </c>
      <c r="H438" t="s">
        <v>64</v>
      </c>
      <c r="I438" t="s">
        <v>65</v>
      </c>
      <c r="J438" t="s">
        <v>66</v>
      </c>
      <c r="K438" t="s">
        <v>67</v>
      </c>
      <c r="L438" t="s">
        <v>315</v>
      </c>
      <c r="M438" t="s">
        <v>316</v>
      </c>
      <c r="N438" t="s">
        <v>267</v>
      </c>
      <c r="O438" t="s">
        <v>230</v>
      </c>
      <c r="P438" t="str">
        <f>"2170734540                    "</f>
        <v xml:space="preserve">2170734540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8.57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G438">
        <v>0</v>
      </c>
      <c r="BH438">
        <v>1</v>
      </c>
      <c r="BI438">
        <v>2.1</v>
      </c>
      <c r="BJ438">
        <v>1.1000000000000001</v>
      </c>
      <c r="BK438">
        <v>3</v>
      </c>
      <c r="BL438">
        <v>99.28</v>
      </c>
      <c r="BM438">
        <v>14.89</v>
      </c>
      <c r="BN438">
        <v>114.17</v>
      </c>
      <c r="BO438">
        <v>114.17</v>
      </c>
      <c r="BP438" t="s">
        <v>378</v>
      </c>
      <c r="BQ438" t="s">
        <v>78</v>
      </c>
      <c r="BR438" t="s">
        <v>71</v>
      </c>
      <c r="BS438" s="1">
        <v>43935</v>
      </c>
      <c r="BT438" s="2">
        <v>0.38194444444444442</v>
      </c>
      <c r="BU438" t="s">
        <v>707</v>
      </c>
      <c r="BV438" t="s">
        <v>80</v>
      </c>
      <c r="BY438">
        <v>5674.46</v>
      </c>
      <c r="CA438" t="s">
        <v>150</v>
      </c>
      <c r="CC438" t="s">
        <v>316</v>
      </c>
      <c r="CD438">
        <v>6220</v>
      </c>
      <c r="CE438" t="s">
        <v>91</v>
      </c>
      <c r="CF438" s="1">
        <v>43936</v>
      </c>
      <c r="CI438">
        <v>2</v>
      </c>
      <c r="CJ438">
        <v>3</v>
      </c>
      <c r="CK438" t="s">
        <v>234</v>
      </c>
      <c r="CL438" t="s">
        <v>74</v>
      </c>
    </row>
    <row r="439" spans="1:90" x14ac:dyDescent="0.25">
      <c r="A439" t="s">
        <v>61</v>
      </c>
      <c r="B439" t="s">
        <v>62</v>
      </c>
      <c r="C439" t="s">
        <v>63</v>
      </c>
      <c r="E439" t="str">
        <f>"FES1162744745"</f>
        <v>FES1162744745</v>
      </c>
      <c r="F439" s="1">
        <v>43936</v>
      </c>
      <c r="G439">
        <v>202010</v>
      </c>
      <c r="H439" t="s">
        <v>64</v>
      </c>
      <c r="I439" t="s">
        <v>65</v>
      </c>
      <c r="J439" t="s">
        <v>66</v>
      </c>
      <c r="K439" t="s">
        <v>67</v>
      </c>
      <c r="L439" t="s">
        <v>406</v>
      </c>
      <c r="M439" t="s">
        <v>407</v>
      </c>
      <c r="N439" t="s">
        <v>708</v>
      </c>
      <c r="O439" t="s">
        <v>69</v>
      </c>
      <c r="P439" t="str">
        <f>"2170735995                    "</f>
        <v xml:space="preserve">2170735995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3.27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G439">
        <v>0</v>
      </c>
      <c r="BH439">
        <v>1</v>
      </c>
      <c r="BI439">
        <v>1</v>
      </c>
      <c r="BJ439">
        <v>0.2</v>
      </c>
      <c r="BK439">
        <v>1</v>
      </c>
      <c r="BL439">
        <v>35.979999999999997</v>
      </c>
      <c r="BM439">
        <v>5.4</v>
      </c>
      <c r="BN439">
        <v>41.38</v>
      </c>
      <c r="BO439">
        <v>41.38</v>
      </c>
      <c r="BQ439" t="s">
        <v>78</v>
      </c>
      <c r="BR439" t="s">
        <v>71</v>
      </c>
      <c r="BS439" s="1">
        <v>43938</v>
      </c>
      <c r="BT439" s="2">
        <v>0.4375</v>
      </c>
      <c r="BU439" t="s">
        <v>709</v>
      </c>
      <c r="BV439" t="s">
        <v>74</v>
      </c>
      <c r="BW439" t="s">
        <v>85</v>
      </c>
      <c r="BX439" t="s">
        <v>203</v>
      </c>
      <c r="BY439">
        <v>1200</v>
      </c>
      <c r="CC439" t="s">
        <v>407</v>
      </c>
      <c r="CD439">
        <v>2163</v>
      </c>
      <c r="CE439" t="s">
        <v>73</v>
      </c>
      <c r="CF439" s="1">
        <v>43941</v>
      </c>
      <c r="CI439">
        <v>1</v>
      </c>
      <c r="CJ439">
        <v>2</v>
      </c>
      <c r="CK439">
        <v>22</v>
      </c>
      <c r="CL439" t="s">
        <v>74</v>
      </c>
    </row>
    <row r="440" spans="1:90" x14ac:dyDescent="0.25">
      <c r="A440" t="s">
        <v>61</v>
      </c>
      <c r="B440" t="s">
        <v>62</v>
      </c>
      <c r="C440" t="s">
        <v>63</v>
      </c>
      <c r="E440" t="str">
        <f>"FES1162744933"</f>
        <v>FES1162744933</v>
      </c>
      <c r="F440" s="1">
        <v>43941</v>
      </c>
      <c r="G440">
        <v>202010</v>
      </c>
      <c r="H440" t="s">
        <v>64</v>
      </c>
      <c r="I440" t="s">
        <v>65</v>
      </c>
      <c r="J440" t="s">
        <v>66</v>
      </c>
      <c r="K440" t="s">
        <v>67</v>
      </c>
      <c r="L440" t="s">
        <v>212</v>
      </c>
      <c r="M440" t="s">
        <v>213</v>
      </c>
      <c r="N440" t="s">
        <v>554</v>
      </c>
      <c r="O440" t="s">
        <v>69</v>
      </c>
      <c r="P440" t="str">
        <f>"2170736175                    "</f>
        <v xml:space="preserve">2170736175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4.1900000000000004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G440">
        <v>0</v>
      </c>
      <c r="BH440">
        <v>1</v>
      </c>
      <c r="BI440">
        <v>2</v>
      </c>
      <c r="BJ440">
        <v>0.9</v>
      </c>
      <c r="BK440">
        <v>2</v>
      </c>
      <c r="BL440">
        <v>46.06</v>
      </c>
      <c r="BM440">
        <v>6.91</v>
      </c>
      <c r="BN440">
        <v>52.97</v>
      </c>
      <c r="BO440">
        <v>52.97</v>
      </c>
      <c r="BQ440" t="s">
        <v>78</v>
      </c>
      <c r="BR440" t="s">
        <v>71</v>
      </c>
      <c r="BS440" s="1">
        <v>43942</v>
      </c>
      <c r="BT440" s="2">
        <v>0.57430555555555551</v>
      </c>
      <c r="BU440" t="s">
        <v>710</v>
      </c>
      <c r="BV440" t="s">
        <v>74</v>
      </c>
      <c r="BW440" t="s">
        <v>85</v>
      </c>
      <c r="BX440" t="s">
        <v>128</v>
      </c>
      <c r="BY440">
        <v>4650.28</v>
      </c>
      <c r="CA440" t="s">
        <v>711</v>
      </c>
      <c r="CC440" t="s">
        <v>213</v>
      </c>
      <c r="CD440">
        <v>3610</v>
      </c>
      <c r="CE440" t="s">
        <v>91</v>
      </c>
      <c r="CF440" s="1">
        <v>43943</v>
      </c>
      <c r="CI440">
        <v>1</v>
      </c>
      <c r="CJ440">
        <v>1</v>
      </c>
      <c r="CK440">
        <v>21</v>
      </c>
      <c r="CL440" t="s">
        <v>74</v>
      </c>
    </row>
    <row r="441" spans="1:90" x14ac:dyDescent="0.25">
      <c r="A441" t="s">
        <v>61</v>
      </c>
      <c r="B441" t="s">
        <v>62</v>
      </c>
      <c r="C441" t="s">
        <v>63</v>
      </c>
      <c r="E441" t="str">
        <f>"FES1162744732"</f>
        <v>FES1162744732</v>
      </c>
      <c r="F441" s="1">
        <v>43936</v>
      </c>
      <c r="G441">
        <v>202010</v>
      </c>
      <c r="H441" t="s">
        <v>64</v>
      </c>
      <c r="I441" t="s">
        <v>65</v>
      </c>
      <c r="J441" t="s">
        <v>66</v>
      </c>
      <c r="K441" t="s">
        <v>67</v>
      </c>
      <c r="L441" t="s">
        <v>151</v>
      </c>
      <c r="M441" t="s">
        <v>152</v>
      </c>
      <c r="N441" t="s">
        <v>383</v>
      </c>
      <c r="O441" t="s">
        <v>69</v>
      </c>
      <c r="P441" t="str">
        <f>"2170735985                    "</f>
        <v xml:space="preserve">2170735985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6.28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G441">
        <v>0</v>
      </c>
      <c r="BH441">
        <v>1</v>
      </c>
      <c r="BI441">
        <v>1.7</v>
      </c>
      <c r="BJ441">
        <v>3</v>
      </c>
      <c r="BK441">
        <v>3</v>
      </c>
      <c r="BL441">
        <v>69.069999999999993</v>
      </c>
      <c r="BM441">
        <v>10.36</v>
      </c>
      <c r="BN441">
        <v>79.430000000000007</v>
      </c>
      <c r="BO441">
        <v>79.430000000000007</v>
      </c>
      <c r="BQ441" t="s">
        <v>268</v>
      </c>
      <c r="BR441" t="s">
        <v>71</v>
      </c>
      <c r="BS441" s="1">
        <v>43937</v>
      </c>
      <c r="BT441" s="2">
        <v>0.41666666666666669</v>
      </c>
      <c r="BU441" t="s">
        <v>481</v>
      </c>
      <c r="BV441" t="s">
        <v>80</v>
      </c>
      <c r="BY441">
        <v>15245.33</v>
      </c>
      <c r="CC441" t="s">
        <v>152</v>
      </c>
      <c r="CD441">
        <v>3201</v>
      </c>
      <c r="CE441" t="s">
        <v>91</v>
      </c>
      <c r="CF441" s="1">
        <v>43941</v>
      </c>
      <c r="CI441">
        <v>1</v>
      </c>
      <c r="CJ441">
        <v>1</v>
      </c>
      <c r="CK441">
        <v>21</v>
      </c>
      <c r="CL441" t="s">
        <v>74</v>
      </c>
    </row>
    <row r="442" spans="1:90" x14ac:dyDescent="0.25">
      <c r="A442" t="s">
        <v>61</v>
      </c>
      <c r="B442" t="s">
        <v>62</v>
      </c>
      <c r="C442" t="s">
        <v>63</v>
      </c>
      <c r="E442" t="str">
        <f>"FES1162744893"</f>
        <v>FES1162744893</v>
      </c>
      <c r="F442" s="1">
        <v>43937</v>
      </c>
      <c r="G442">
        <v>202010</v>
      </c>
      <c r="H442" t="s">
        <v>64</v>
      </c>
      <c r="I442" t="s">
        <v>65</v>
      </c>
      <c r="J442" t="s">
        <v>66</v>
      </c>
      <c r="K442" t="s">
        <v>67</v>
      </c>
      <c r="L442" t="s">
        <v>92</v>
      </c>
      <c r="M442" t="s">
        <v>93</v>
      </c>
      <c r="N442" t="s">
        <v>165</v>
      </c>
      <c r="O442" t="s">
        <v>69</v>
      </c>
      <c r="P442" t="str">
        <f>"2170736120                    "</f>
        <v xml:space="preserve">2170736120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4.1900000000000004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G442">
        <v>0</v>
      </c>
      <c r="BH442">
        <v>1</v>
      </c>
      <c r="BI442">
        <v>1</v>
      </c>
      <c r="BJ442">
        <v>0.2</v>
      </c>
      <c r="BK442">
        <v>1</v>
      </c>
      <c r="BL442">
        <v>46.06</v>
      </c>
      <c r="BM442">
        <v>6.91</v>
      </c>
      <c r="BN442">
        <v>52.97</v>
      </c>
      <c r="BO442">
        <v>52.97</v>
      </c>
      <c r="BQ442" t="s">
        <v>70</v>
      </c>
      <c r="BR442" t="s">
        <v>71</v>
      </c>
      <c r="BS442" s="1">
        <v>43938</v>
      </c>
      <c r="BT442" s="2">
        <v>0.35138888888888892</v>
      </c>
      <c r="BU442" t="s">
        <v>617</v>
      </c>
      <c r="BV442" t="s">
        <v>80</v>
      </c>
      <c r="BY442">
        <v>1200</v>
      </c>
      <c r="CA442" t="s">
        <v>167</v>
      </c>
      <c r="CC442" t="s">
        <v>93</v>
      </c>
      <c r="CD442">
        <v>7530</v>
      </c>
      <c r="CE442" t="s">
        <v>73</v>
      </c>
      <c r="CF442" s="1">
        <v>43941</v>
      </c>
      <c r="CI442">
        <v>1</v>
      </c>
      <c r="CJ442">
        <v>1</v>
      </c>
      <c r="CK442">
        <v>21</v>
      </c>
      <c r="CL442" t="s">
        <v>74</v>
      </c>
    </row>
    <row r="443" spans="1:90" x14ac:dyDescent="0.25">
      <c r="A443" t="s">
        <v>61</v>
      </c>
      <c r="B443" t="s">
        <v>62</v>
      </c>
      <c r="C443" t="s">
        <v>63</v>
      </c>
      <c r="E443" t="str">
        <f>"FES1162745032"</f>
        <v>FES1162745032</v>
      </c>
      <c r="F443" s="1">
        <v>43941</v>
      </c>
      <c r="G443">
        <v>202010</v>
      </c>
      <c r="H443" t="s">
        <v>64</v>
      </c>
      <c r="I443" t="s">
        <v>65</v>
      </c>
      <c r="J443" t="s">
        <v>66</v>
      </c>
      <c r="K443" t="s">
        <v>67</v>
      </c>
      <c r="L443" t="s">
        <v>99</v>
      </c>
      <c r="M443" t="s">
        <v>100</v>
      </c>
      <c r="N443" t="s">
        <v>101</v>
      </c>
      <c r="O443" t="s">
        <v>69</v>
      </c>
      <c r="P443" t="str">
        <f>"2170736228                    "</f>
        <v xml:space="preserve">2170736228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41.09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G443">
        <v>0</v>
      </c>
      <c r="BH443">
        <v>1</v>
      </c>
      <c r="BI443">
        <v>10.6</v>
      </c>
      <c r="BJ443">
        <v>3.2</v>
      </c>
      <c r="BK443">
        <v>11</v>
      </c>
      <c r="BL443">
        <v>451.97</v>
      </c>
      <c r="BM443">
        <v>67.8</v>
      </c>
      <c r="BN443">
        <v>519.77</v>
      </c>
      <c r="BO443">
        <v>519.77</v>
      </c>
      <c r="BQ443" t="s">
        <v>78</v>
      </c>
      <c r="BR443" t="s">
        <v>71</v>
      </c>
      <c r="BS443" s="1">
        <v>43943</v>
      </c>
      <c r="BT443" s="2">
        <v>0.7909722222222223</v>
      </c>
      <c r="BU443" t="s">
        <v>102</v>
      </c>
      <c r="BV443" t="s">
        <v>80</v>
      </c>
      <c r="BY443">
        <v>15975</v>
      </c>
      <c r="CA443" t="s">
        <v>103</v>
      </c>
      <c r="CC443" t="s">
        <v>100</v>
      </c>
      <c r="CD443">
        <v>6849</v>
      </c>
      <c r="CE443" t="s">
        <v>91</v>
      </c>
      <c r="CF443" s="1">
        <v>43951</v>
      </c>
      <c r="CI443">
        <v>3</v>
      </c>
      <c r="CJ443">
        <v>2</v>
      </c>
      <c r="CK443">
        <v>23</v>
      </c>
      <c r="CL443" t="s">
        <v>74</v>
      </c>
    </row>
    <row r="444" spans="1:90" x14ac:dyDescent="0.25">
      <c r="A444" t="s">
        <v>61</v>
      </c>
      <c r="B444" t="s">
        <v>62</v>
      </c>
      <c r="C444" t="s">
        <v>63</v>
      </c>
      <c r="E444" t="str">
        <f>"FES1162745716"</f>
        <v>FES1162745716</v>
      </c>
      <c r="F444" s="1">
        <v>43951</v>
      </c>
      <c r="G444">
        <v>202010</v>
      </c>
      <c r="H444" t="s">
        <v>64</v>
      </c>
      <c r="I444" t="s">
        <v>65</v>
      </c>
      <c r="J444" t="s">
        <v>66</v>
      </c>
      <c r="K444" t="s">
        <v>67</v>
      </c>
      <c r="L444" t="s">
        <v>75</v>
      </c>
      <c r="M444" t="s">
        <v>76</v>
      </c>
      <c r="N444" t="s">
        <v>493</v>
      </c>
      <c r="O444" t="s">
        <v>69</v>
      </c>
      <c r="P444" t="str">
        <f>"2170736800                    "</f>
        <v xml:space="preserve">2170736800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6.8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G444">
        <v>0</v>
      </c>
      <c r="BH444">
        <v>1</v>
      </c>
      <c r="BI444">
        <v>6.2</v>
      </c>
      <c r="BJ444">
        <v>5</v>
      </c>
      <c r="BK444">
        <v>6.5</v>
      </c>
      <c r="BL444">
        <v>74.790000000000006</v>
      </c>
      <c r="BM444">
        <v>11.22</v>
      </c>
      <c r="BN444">
        <v>86.01</v>
      </c>
      <c r="BO444">
        <v>86.01</v>
      </c>
      <c r="BQ444" t="s">
        <v>70</v>
      </c>
      <c r="BR444" t="s">
        <v>71</v>
      </c>
      <c r="BS444" t="s">
        <v>72</v>
      </c>
      <c r="BY444">
        <v>24823.08</v>
      </c>
      <c r="CC444" t="s">
        <v>76</v>
      </c>
      <c r="CD444">
        <v>1459</v>
      </c>
      <c r="CE444" t="s">
        <v>91</v>
      </c>
      <c r="CI444">
        <v>1</v>
      </c>
      <c r="CJ444" t="s">
        <v>72</v>
      </c>
      <c r="CK444">
        <v>22</v>
      </c>
      <c r="CL444" t="s">
        <v>74</v>
      </c>
    </row>
    <row r="445" spans="1:90" x14ac:dyDescent="0.25">
      <c r="A445" t="s">
        <v>61</v>
      </c>
      <c r="B445" t="s">
        <v>62</v>
      </c>
      <c r="C445" t="s">
        <v>63</v>
      </c>
      <c r="E445" t="str">
        <f>"FES1162744773"</f>
        <v>FES1162744773</v>
      </c>
      <c r="F445" s="1">
        <v>43936</v>
      </c>
      <c r="G445">
        <v>202010</v>
      </c>
      <c r="H445" t="s">
        <v>64</v>
      </c>
      <c r="I445" t="s">
        <v>65</v>
      </c>
      <c r="J445" t="s">
        <v>66</v>
      </c>
      <c r="K445" t="s">
        <v>67</v>
      </c>
      <c r="L445" t="s">
        <v>602</v>
      </c>
      <c r="M445" t="s">
        <v>603</v>
      </c>
      <c r="N445" t="s">
        <v>712</v>
      </c>
      <c r="O445" t="s">
        <v>69</v>
      </c>
      <c r="P445" t="str">
        <f>"2170736028                    "</f>
        <v xml:space="preserve">2170736028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3.27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G445">
        <v>0</v>
      </c>
      <c r="BH445">
        <v>1</v>
      </c>
      <c r="BI445">
        <v>1</v>
      </c>
      <c r="BJ445">
        <v>0.2</v>
      </c>
      <c r="BK445">
        <v>1</v>
      </c>
      <c r="BL445">
        <v>35.979999999999997</v>
      </c>
      <c r="BM445">
        <v>5.4</v>
      </c>
      <c r="BN445">
        <v>41.38</v>
      </c>
      <c r="BO445">
        <v>41.38</v>
      </c>
      <c r="BQ445" t="s">
        <v>70</v>
      </c>
      <c r="BR445" t="s">
        <v>71</v>
      </c>
      <c r="BS445" s="1">
        <v>43937</v>
      </c>
      <c r="BT445" s="2">
        <v>0.4375</v>
      </c>
      <c r="BU445" t="s">
        <v>713</v>
      </c>
      <c r="BV445" t="s">
        <v>80</v>
      </c>
      <c r="BY445">
        <v>1200</v>
      </c>
      <c r="CC445" t="s">
        <v>603</v>
      </c>
      <c r="CD445">
        <v>1501</v>
      </c>
      <c r="CE445" t="s">
        <v>73</v>
      </c>
      <c r="CF445" s="1">
        <v>43938</v>
      </c>
      <c r="CI445">
        <v>1</v>
      </c>
      <c r="CJ445">
        <v>1</v>
      </c>
      <c r="CK445">
        <v>22</v>
      </c>
      <c r="CL445" t="s">
        <v>74</v>
      </c>
    </row>
    <row r="446" spans="1:90" x14ac:dyDescent="0.25">
      <c r="A446" t="s">
        <v>61</v>
      </c>
      <c r="B446" t="s">
        <v>62</v>
      </c>
      <c r="C446" t="s">
        <v>63</v>
      </c>
      <c r="E446" t="str">
        <f>"FES1162744770"</f>
        <v>FES1162744770</v>
      </c>
      <c r="F446" s="1">
        <v>43936</v>
      </c>
      <c r="G446">
        <v>202010</v>
      </c>
      <c r="H446" t="s">
        <v>64</v>
      </c>
      <c r="I446" t="s">
        <v>65</v>
      </c>
      <c r="J446" t="s">
        <v>66</v>
      </c>
      <c r="K446" t="s">
        <v>67</v>
      </c>
      <c r="L446" t="s">
        <v>87</v>
      </c>
      <c r="M446" t="s">
        <v>88</v>
      </c>
      <c r="N446" t="s">
        <v>89</v>
      </c>
      <c r="O446" t="s">
        <v>69</v>
      </c>
      <c r="P446" t="str">
        <f>"2170736019                    "</f>
        <v xml:space="preserve">2170736019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8.11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G446">
        <v>0</v>
      </c>
      <c r="BH446">
        <v>1</v>
      </c>
      <c r="BI446">
        <v>1</v>
      </c>
      <c r="BJ446">
        <v>0.2</v>
      </c>
      <c r="BK446">
        <v>1</v>
      </c>
      <c r="BL446">
        <v>89.23</v>
      </c>
      <c r="BM446">
        <v>13.38</v>
      </c>
      <c r="BN446">
        <v>102.61</v>
      </c>
      <c r="BO446">
        <v>102.61</v>
      </c>
      <c r="BQ446" t="s">
        <v>70</v>
      </c>
      <c r="BR446" t="s">
        <v>71</v>
      </c>
      <c r="BS446" s="1">
        <v>43938</v>
      </c>
      <c r="BT446" s="2">
        <v>0.54166666666666663</v>
      </c>
      <c r="BU446" t="s">
        <v>714</v>
      </c>
      <c r="BV446" t="s">
        <v>80</v>
      </c>
      <c r="BY446">
        <v>1200</v>
      </c>
      <c r="CC446" t="s">
        <v>88</v>
      </c>
      <c r="CD446">
        <v>5099</v>
      </c>
      <c r="CE446" t="s">
        <v>73</v>
      </c>
      <c r="CF446" s="1">
        <v>43945</v>
      </c>
      <c r="CI446">
        <v>3</v>
      </c>
      <c r="CJ446">
        <v>2</v>
      </c>
      <c r="CK446">
        <v>23</v>
      </c>
      <c r="CL446" t="s">
        <v>74</v>
      </c>
    </row>
    <row r="447" spans="1:90" x14ac:dyDescent="0.25">
      <c r="A447" t="s">
        <v>61</v>
      </c>
      <c r="B447" t="s">
        <v>62</v>
      </c>
      <c r="C447" t="s">
        <v>63</v>
      </c>
      <c r="E447" t="str">
        <f>"FES1162744906"</f>
        <v>FES1162744906</v>
      </c>
      <c r="F447" s="1">
        <v>43937</v>
      </c>
      <c r="G447">
        <v>202010</v>
      </c>
      <c r="H447" t="s">
        <v>64</v>
      </c>
      <c r="I447" t="s">
        <v>65</v>
      </c>
      <c r="J447" t="s">
        <v>66</v>
      </c>
      <c r="K447" t="s">
        <v>67</v>
      </c>
      <c r="L447" t="s">
        <v>212</v>
      </c>
      <c r="M447" t="s">
        <v>213</v>
      </c>
      <c r="N447" t="s">
        <v>214</v>
      </c>
      <c r="O447" t="s">
        <v>69</v>
      </c>
      <c r="P447" t="str">
        <f>"2170736141                    "</f>
        <v xml:space="preserve">2170736141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9.42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G447">
        <v>0</v>
      </c>
      <c r="BH447">
        <v>1</v>
      </c>
      <c r="BI447">
        <v>4.3</v>
      </c>
      <c r="BJ447">
        <v>3.1</v>
      </c>
      <c r="BK447">
        <v>4.5</v>
      </c>
      <c r="BL447">
        <v>103.59</v>
      </c>
      <c r="BM447">
        <v>15.54</v>
      </c>
      <c r="BN447">
        <v>119.13</v>
      </c>
      <c r="BO447">
        <v>119.13</v>
      </c>
      <c r="BQ447" t="s">
        <v>70</v>
      </c>
      <c r="BR447" t="s">
        <v>71</v>
      </c>
      <c r="BS447" s="1">
        <v>43938</v>
      </c>
      <c r="BT447" s="2">
        <v>0.42708333333333331</v>
      </c>
      <c r="BU447" t="s">
        <v>715</v>
      </c>
      <c r="BV447" t="s">
        <v>80</v>
      </c>
      <c r="BY447">
        <v>15424.2</v>
      </c>
      <c r="CA447" t="s">
        <v>216</v>
      </c>
      <c r="CC447" t="s">
        <v>213</v>
      </c>
      <c r="CD447">
        <v>3610</v>
      </c>
      <c r="CE447" t="s">
        <v>91</v>
      </c>
      <c r="CF447" s="1">
        <v>43941</v>
      </c>
      <c r="CI447">
        <v>1</v>
      </c>
      <c r="CJ447">
        <v>0</v>
      </c>
      <c r="CK447">
        <v>21</v>
      </c>
      <c r="CL447" t="s">
        <v>74</v>
      </c>
    </row>
    <row r="448" spans="1:90" x14ac:dyDescent="0.25">
      <c r="A448" t="s">
        <v>61</v>
      </c>
      <c r="B448" t="s">
        <v>62</v>
      </c>
      <c r="C448" t="s">
        <v>63</v>
      </c>
      <c r="E448" t="str">
        <f>"FES1162744915"</f>
        <v>FES1162744915</v>
      </c>
      <c r="F448" s="1">
        <v>43937</v>
      </c>
      <c r="G448">
        <v>202010</v>
      </c>
      <c r="H448" t="s">
        <v>64</v>
      </c>
      <c r="I448" t="s">
        <v>65</v>
      </c>
      <c r="J448" t="s">
        <v>66</v>
      </c>
      <c r="K448" t="s">
        <v>67</v>
      </c>
      <c r="L448" t="s">
        <v>120</v>
      </c>
      <c r="M448" t="s">
        <v>121</v>
      </c>
      <c r="N448" t="s">
        <v>716</v>
      </c>
      <c r="O448" t="s">
        <v>69</v>
      </c>
      <c r="P448" t="str">
        <f>"2170736151                    "</f>
        <v xml:space="preserve">2170736151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10.46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G448">
        <v>0</v>
      </c>
      <c r="BH448">
        <v>1</v>
      </c>
      <c r="BI448">
        <v>4.7</v>
      </c>
      <c r="BJ448">
        <v>2.6</v>
      </c>
      <c r="BK448">
        <v>5</v>
      </c>
      <c r="BL448">
        <v>115.09</v>
      </c>
      <c r="BM448">
        <v>17.260000000000002</v>
      </c>
      <c r="BN448">
        <v>132.35</v>
      </c>
      <c r="BO448">
        <v>132.35</v>
      </c>
      <c r="BQ448" t="s">
        <v>70</v>
      </c>
      <c r="BR448" t="s">
        <v>71</v>
      </c>
      <c r="BS448" s="1">
        <v>43938</v>
      </c>
      <c r="BT448" s="2">
        <v>0.47916666666666669</v>
      </c>
      <c r="BU448" t="s">
        <v>717</v>
      </c>
      <c r="BV448" t="s">
        <v>80</v>
      </c>
      <c r="BY448">
        <v>13147.18</v>
      </c>
      <c r="CA448" t="s">
        <v>172</v>
      </c>
      <c r="CC448" t="s">
        <v>121</v>
      </c>
      <c r="CD448">
        <v>4001</v>
      </c>
      <c r="CE448" t="s">
        <v>91</v>
      </c>
      <c r="CF448" s="1">
        <v>43941</v>
      </c>
      <c r="CI448">
        <v>1</v>
      </c>
      <c r="CJ448">
        <v>0</v>
      </c>
      <c r="CK448">
        <v>21</v>
      </c>
      <c r="CL448" t="s">
        <v>74</v>
      </c>
    </row>
    <row r="449" spans="1:90" x14ac:dyDescent="0.25">
      <c r="A449" t="s">
        <v>61</v>
      </c>
      <c r="B449" t="s">
        <v>62</v>
      </c>
      <c r="C449" t="s">
        <v>63</v>
      </c>
      <c r="E449" t="str">
        <f>"FES1162744789"</f>
        <v>FES1162744789</v>
      </c>
      <c r="F449" s="1">
        <v>43936</v>
      </c>
      <c r="G449">
        <v>202010</v>
      </c>
      <c r="H449" t="s">
        <v>64</v>
      </c>
      <c r="I449" t="s">
        <v>65</v>
      </c>
      <c r="J449" t="s">
        <v>66</v>
      </c>
      <c r="K449" t="s">
        <v>67</v>
      </c>
      <c r="L449" t="s">
        <v>270</v>
      </c>
      <c r="M449" t="s">
        <v>271</v>
      </c>
      <c r="N449" t="s">
        <v>526</v>
      </c>
      <c r="O449" t="s">
        <v>69</v>
      </c>
      <c r="P449" t="str">
        <f>"2170736021                    "</f>
        <v xml:space="preserve">2170736021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3.27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G449">
        <v>0</v>
      </c>
      <c r="BH449">
        <v>1</v>
      </c>
      <c r="BI449">
        <v>1</v>
      </c>
      <c r="BJ449">
        <v>0.2</v>
      </c>
      <c r="BK449">
        <v>1</v>
      </c>
      <c r="BL449">
        <v>35.979999999999997</v>
      </c>
      <c r="BM449">
        <v>5.4</v>
      </c>
      <c r="BN449">
        <v>41.38</v>
      </c>
      <c r="BO449">
        <v>41.38</v>
      </c>
      <c r="BQ449" t="s">
        <v>268</v>
      </c>
      <c r="BR449" t="s">
        <v>71</v>
      </c>
      <c r="BS449" s="1">
        <v>43937</v>
      </c>
      <c r="BT449" s="2">
        <v>0.36527777777777781</v>
      </c>
      <c r="BU449" t="s">
        <v>718</v>
      </c>
      <c r="BV449" t="s">
        <v>80</v>
      </c>
      <c r="BY449">
        <v>1200</v>
      </c>
      <c r="CA449" t="s">
        <v>719</v>
      </c>
      <c r="CC449" t="s">
        <v>271</v>
      </c>
      <c r="CD449">
        <v>2013</v>
      </c>
      <c r="CE449" t="s">
        <v>73</v>
      </c>
      <c r="CI449">
        <v>1</v>
      </c>
      <c r="CJ449">
        <v>1</v>
      </c>
      <c r="CK449">
        <v>22</v>
      </c>
      <c r="CL449" t="s">
        <v>74</v>
      </c>
    </row>
    <row r="450" spans="1:90" x14ac:dyDescent="0.25">
      <c r="A450" t="s">
        <v>61</v>
      </c>
      <c r="B450" t="s">
        <v>62</v>
      </c>
      <c r="C450" t="s">
        <v>63</v>
      </c>
      <c r="E450" t="str">
        <f>"FES1162744156"</f>
        <v>FES1162744156</v>
      </c>
      <c r="F450" s="1">
        <v>43941</v>
      </c>
      <c r="G450">
        <v>202010</v>
      </c>
      <c r="H450" t="s">
        <v>64</v>
      </c>
      <c r="I450" t="s">
        <v>65</v>
      </c>
      <c r="J450" t="s">
        <v>66</v>
      </c>
      <c r="K450" t="s">
        <v>67</v>
      </c>
      <c r="L450" t="s">
        <v>99</v>
      </c>
      <c r="M450" t="s">
        <v>100</v>
      </c>
      <c r="N450" t="s">
        <v>101</v>
      </c>
      <c r="O450" t="s">
        <v>69</v>
      </c>
      <c r="P450" t="str">
        <f>"2170734264                    "</f>
        <v xml:space="preserve">2170734264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13.61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G450">
        <v>0</v>
      </c>
      <c r="BH450">
        <v>1</v>
      </c>
      <c r="BI450">
        <v>3.1</v>
      </c>
      <c r="BJ450">
        <v>0.9</v>
      </c>
      <c r="BK450">
        <v>3.5</v>
      </c>
      <c r="BL450">
        <v>149.69</v>
      </c>
      <c r="BM450">
        <v>22.45</v>
      </c>
      <c r="BN450">
        <v>172.14</v>
      </c>
      <c r="BO450">
        <v>172.14</v>
      </c>
      <c r="BQ450" t="s">
        <v>78</v>
      </c>
      <c r="BR450" t="s">
        <v>71</v>
      </c>
      <c r="BS450" s="1">
        <v>43943</v>
      </c>
      <c r="BT450" s="2">
        <v>0.7909722222222223</v>
      </c>
      <c r="BU450" t="s">
        <v>102</v>
      </c>
      <c r="BV450" t="s">
        <v>80</v>
      </c>
      <c r="BY450">
        <v>4687.2</v>
      </c>
      <c r="CA450" t="s">
        <v>103</v>
      </c>
      <c r="CC450" t="s">
        <v>100</v>
      </c>
      <c r="CD450">
        <v>6849</v>
      </c>
      <c r="CE450" t="s">
        <v>91</v>
      </c>
      <c r="CF450" s="1">
        <v>43951</v>
      </c>
      <c r="CI450">
        <v>3</v>
      </c>
      <c r="CJ450">
        <v>2</v>
      </c>
      <c r="CK450">
        <v>23</v>
      </c>
      <c r="CL450" t="s">
        <v>74</v>
      </c>
    </row>
    <row r="451" spans="1:90" x14ac:dyDescent="0.25">
      <c r="A451" t="s">
        <v>61</v>
      </c>
      <c r="B451" t="s">
        <v>62</v>
      </c>
      <c r="C451" t="s">
        <v>63</v>
      </c>
      <c r="E451" t="str">
        <f>"FES1162744057"</f>
        <v>FES1162744057</v>
      </c>
      <c r="F451" s="1">
        <v>43941</v>
      </c>
      <c r="G451">
        <v>202010</v>
      </c>
      <c r="H451" t="s">
        <v>64</v>
      </c>
      <c r="I451" t="s">
        <v>65</v>
      </c>
      <c r="J451" t="s">
        <v>66</v>
      </c>
      <c r="K451" t="s">
        <v>67</v>
      </c>
      <c r="L451" t="s">
        <v>99</v>
      </c>
      <c r="M451" t="s">
        <v>100</v>
      </c>
      <c r="N451" t="s">
        <v>101</v>
      </c>
      <c r="O451" t="s">
        <v>69</v>
      </c>
      <c r="P451" t="str">
        <f>"2170733091                    "</f>
        <v xml:space="preserve">2170733091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37.42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G451">
        <v>0</v>
      </c>
      <c r="BH451">
        <v>1</v>
      </c>
      <c r="BI451">
        <v>9.6</v>
      </c>
      <c r="BJ451">
        <v>3.7</v>
      </c>
      <c r="BK451">
        <v>10</v>
      </c>
      <c r="BL451">
        <v>411.66</v>
      </c>
      <c r="BM451">
        <v>61.75</v>
      </c>
      <c r="BN451">
        <v>473.41</v>
      </c>
      <c r="BO451">
        <v>473.41</v>
      </c>
      <c r="BQ451" t="s">
        <v>78</v>
      </c>
      <c r="BR451" t="s">
        <v>71</v>
      </c>
      <c r="BS451" s="1">
        <v>43943</v>
      </c>
      <c r="BT451" s="2">
        <v>0.7909722222222223</v>
      </c>
      <c r="BU451" t="s">
        <v>102</v>
      </c>
      <c r="BV451" t="s">
        <v>80</v>
      </c>
      <c r="BY451">
        <v>18641.599999999999</v>
      </c>
      <c r="CA451" t="s">
        <v>103</v>
      </c>
      <c r="CC451" t="s">
        <v>100</v>
      </c>
      <c r="CD451">
        <v>6849</v>
      </c>
      <c r="CE451" t="s">
        <v>91</v>
      </c>
      <c r="CF451" s="1">
        <v>43951</v>
      </c>
      <c r="CI451">
        <v>3</v>
      </c>
      <c r="CJ451">
        <v>2</v>
      </c>
      <c r="CK451">
        <v>23</v>
      </c>
      <c r="CL451" t="s">
        <v>74</v>
      </c>
    </row>
    <row r="452" spans="1:90" x14ac:dyDescent="0.25">
      <c r="A452" t="s">
        <v>61</v>
      </c>
      <c r="B452" t="s">
        <v>62</v>
      </c>
      <c r="C452" t="s">
        <v>63</v>
      </c>
      <c r="E452" t="str">
        <f>"FES1162744983"</f>
        <v>FES1162744983</v>
      </c>
      <c r="F452" s="1">
        <v>43941</v>
      </c>
      <c r="G452">
        <v>202010</v>
      </c>
      <c r="H452" t="s">
        <v>64</v>
      </c>
      <c r="I452" t="s">
        <v>65</v>
      </c>
      <c r="J452" t="s">
        <v>66</v>
      </c>
      <c r="K452" t="s">
        <v>67</v>
      </c>
      <c r="L452" t="s">
        <v>92</v>
      </c>
      <c r="M452" t="s">
        <v>93</v>
      </c>
      <c r="N452" t="s">
        <v>165</v>
      </c>
      <c r="O452" t="s">
        <v>69</v>
      </c>
      <c r="P452" t="str">
        <f>"2170734355                    "</f>
        <v xml:space="preserve">2170734355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10.46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G452">
        <v>0</v>
      </c>
      <c r="BH452">
        <v>1</v>
      </c>
      <c r="BI452">
        <v>4.7</v>
      </c>
      <c r="BJ452">
        <v>1.9</v>
      </c>
      <c r="BK452">
        <v>5</v>
      </c>
      <c r="BL452">
        <v>115.09</v>
      </c>
      <c r="BM452">
        <v>17.260000000000002</v>
      </c>
      <c r="BN452">
        <v>132.35</v>
      </c>
      <c r="BO452">
        <v>132.35</v>
      </c>
      <c r="BQ452" t="s">
        <v>70</v>
      </c>
      <c r="BR452" t="s">
        <v>71</v>
      </c>
      <c r="BS452" s="1">
        <v>43942</v>
      </c>
      <c r="BT452" s="2">
        <v>0.375</v>
      </c>
      <c r="BU452" t="s">
        <v>636</v>
      </c>
      <c r="BV452" t="s">
        <v>80</v>
      </c>
      <c r="BY452">
        <v>9364.42</v>
      </c>
      <c r="CA452" t="s">
        <v>167</v>
      </c>
      <c r="CC452" t="s">
        <v>93</v>
      </c>
      <c r="CD452">
        <v>7530</v>
      </c>
      <c r="CE452" t="s">
        <v>91</v>
      </c>
      <c r="CF452" s="1">
        <v>43943</v>
      </c>
      <c r="CI452">
        <v>1</v>
      </c>
      <c r="CJ452">
        <v>1</v>
      </c>
      <c r="CK452">
        <v>21</v>
      </c>
      <c r="CL452" t="s">
        <v>74</v>
      </c>
    </row>
    <row r="453" spans="1:90" x14ac:dyDescent="0.25">
      <c r="A453" t="s">
        <v>61</v>
      </c>
      <c r="B453" t="s">
        <v>62</v>
      </c>
      <c r="C453" t="s">
        <v>63</v>
      </c>
      <c r="E453" t="str">
        <f>"FES1162744956"</f>
        <v>FES1162744956</v>
      </c>
      <c r="F453" s="1">
        <v>43941</v>
      </c>
      <c r="G453">
        <v>202010</v>
      </c>
      <c r="H453" t="s">
        <v>64</v>
      </c>
      <c r="I453" t="s">
        <v>65</v>
      </c>
      <c r="J453" t="s">
        <v>66</v>
      </c>
      <c r="K453" t="s">
        <v>67</v>
      </c>
      <c r="L453" t="s">
        <v>92</v>
      </c>
      <c r="M453" t="s">
        <v>93</v>
      </c>
      <c r="N453" t="s">
        <v>165</v>
      </c>
      <c r="O453" t="s">
        <v>69</v>
      </c>
      <c r="P453" t="str">
        <f>"2170734355                    "</f>
        <v xml:space="preserve">2170734355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8.3699999999999992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G453">
        <v>0</v>
      </c>
      <c r="BH453">
        <v>1</v>
      </c>
      <c r="BI453">
        <v>3.6</v>
      </c>
      <c r="BJ453">
        <v>3</v>
      </c>
      <c r="BK453">
        <v>4</v>
      </c>
      <c r="BL453">
        <v>92.08</v>
      </c>
      <c r="BM453">
        <v>13.81</v>
      </c>
      <c r="BN453">
        <v>105.89</v>
      </c>
      <c r="BO453">
        <v>105.89</v>
      </c>
      <c r="BQ453" t="s">
        <v>70</v>
      </c>
      <c r="BR453" t="s">
        <v>71</v>
      </c>
      <c r="BS453" s="1">
        <v>43942</v>
      </c>
      <c r="BT453" s="2">
        <v>0.375</v>
      </c>
      <c r="BU453" t="s">
        <v>636</v>
      </c>
      <c r="BV453" t="s">
        <v>80</v>
      </c>
      <c r="BY453">
        <v>15012.58</v>
      </c>
      <c r="CA453" t="s">
        <v>167</v>
      </c>
      <c r="CC453" t="s">
        <v>93</v>
      </c>
      <c r="CD453">
        <v>7530</v>
      </c>
      <c r="CE453" t="s">
        <v>91</v>
      </c>
      <c r="CF453" s="1">
        <v>43943</v>
      </c>
      <c r="CI453">
        <v>1</v>
      </c>
      <c r="CJ453">
        <v>1</v>
      </c>
      <c r="CK453">
        <v>21</v>
      </c>
      <c r="CL453" t="s">
        <v>74</v>
      </c>
    </row>
    <row r="454" spans="1:90" x14ac:dyDescent="0.25">
      <c r="A454" t="s">
        <v>61</v>
      </c>
      <c r="B454" t="s">
        <v>62</v>
      </c>
      <c r="C454" t="s">
        <v>63</v>
      </c>
      <c r="E454" t="str">
        <f>"FES1162744661"</f>
        <v>FES1162744661</v>
      </c>
      <c r="F454" s="1">
        <v>43935</v>
      </c>
      <c r="G454">
        <v>202010</v>
      </c>
      <c r="H454" t="s">
        <v>64</v>
      </c>
      <c r="I454" t="s">
        <v>65</v>
      </c>
      <c r="J454" t="s">
        <v>66</v>
      </c>
      <c r="K454" t="s">
        <v>67</v>
      </c>
      <c r="L454" t="s">
        <v>385</v>
      </c>
      <c r="M454" t="s">
        <v>386</v>
      </c>
      <c r="N454" t="s">
        <v>528</v>
      </c>
      <c r="O454" t="s">
        <v>69</v>
      </c>
      <c r="P454" t="str">
        <f>"2170730691                    "</f>
        <v xml:space="preserve">2170730691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5.89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G454">
        <v>0</v>
      </c>
      <c r="BH454">
        <v>1</v>
      </c>
      <c r="BI454">
        <v>0.2</v>
      </c>
      <c r="BJ454">
        <v>0.6</v>
      </c>
      <c r="BK454">
        <v>1</v>
      </c>
      <c r="BL454">
        <v>64.77</v>
      </c>
      <c r="BM454">
        <v>9.7200000000000006</v>
      </c>
      <c r="BN454">
        <v>74.489999999999995</v>
      </c>
      <c r="BO454">
        <v>74.489999999999995</v>
      </c>
      <c r="BQ454" t="s">
        <v>78</v>
      </c>
      <c r="BR454" t="s">
        <v>71</v>
      </c>
      <c r="BS454" s="1">
        <v>43936</v>
      </c>
      <c r="BT454" s="2">
        <v>0.4375</v>
      </c>
      <c r="BU454" t="s">
        <v>713</v>
      </c>
      <c r="BV454" t="s">
        <v>80</v>
      </c>
      <c r="BY454">
        <v>3184.24</v>
      </c>
      <c r="CC454" t="s">
        <v>386</v>
      </c>
      <c r="CD454">
        <v>1939</v>
      </c>
      <c r="CE454" t="s">
        <v>91</v>
      </c>
      <c r="CF454" s="1">
        <v>43937</v>
      </c>
      <c r="CI454">
        <v>1</v>
      </c>
      <c r="CJ454">
        <v>1</v>
      </c>
      <c r="CK454">
        <v>24</v>
      </c>
      <c r="CL454" t="s">
        <v>74</v>
      </c>
    </row>
    <row r="455" spans="1:90" x14ac:dyDescent="0.25">
      <c r="A455" t="s">
        <v>61</v>
      </c>
      <c r="B455" t="s">
        <v>62</v>
      </c>
      <c r="C455" t="s">
        <v>63</v>
      </c>
      <c r="E455" t="str">
        <f>"FES1162744891"</f>
        <v>FES1162744891</v>
      </c>
      <c r="F455" s="1">
        <v>43937</v>
      </c>
      <c r="G455">
        <v>202010</v>
      </c>
      <c r="H455" t="s">
        <v>64</v>
      </c>
      <c r="I455" t="s">
        <v>65</v>
      </c>
      <c r="J455" t="s">
        <v>66</v>
      </c>
      <c r="K455" t="s">
        <v>67</v>
      </c>
      <c r="L455" t="s">
        <v>270</v>
      </c>
      <c r="M455" t="s">
        <v>271</v>
      </c>
      <c r="N455" t="s">
        <v>720</v>
      </c>
      <c r="O455" t="s">
        <v>69</v>
      </c>
      <c r="P455" t="str">
        <f>"2170734079                    "</f>
        <v xml:space="preserve">2170734079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3.27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G455">
        <v>0</v>
      </c>
      <c r="BH455">
        <v>1</v>
      </c>
      <c r="BI455">
        <v>2</v>
      </c>
      <c r="BJ455">
        <v>1.1000000000000001</v>
      </c>
      <c r="BK455">
        <v>2</v>
      </c>
      <c r="BL455">
        <v>35.979999999999997</v>
      </c>
      <c r="BM455">
        <v>5.4</v>
      </c>
      <c r="BN455">
        <v>41.38</v>
      </c>
      <c r="BO455">
        <v>41.38</v>
      </c>
      <c r="BQ455" t="s">
        <v>70</v>
      </c>
      <c r="BR455" t="s">
        <v>71</v>
      </c>
      <c r="BS455" s="1">
        <v>43938</v>
      </c>
      <c r="BT455" s="2">
        <v>0.35486111111111113</v>
      </c>
      <c r="BU455" t="s">
        <v>721</v>
      </c>
      <c r="BV455" t="s">
        <v>80</v>
      </c>
      <c r="BY455">
        <v>5320</v>
      </c>
      <c r="CA455" t="s">
        <v>486</v>
      </c>
      <c r="CC455" t="s">
        <v>271</v>
      </c>
      <c r="CD455">
        <v>2013</v>
      </c>
      <c r="CE455" t="s">
        <v>91</v>
      </c>
      <c r="CF455" s="1">
        <v>43941</v>
      </c>
      <c r="CI455">
        <v>1</v>
      </c>
      <c r="CJ455">
        <v>1</v>
      </c>
      <c r="CK455">
        <v>22</v>
      </c>
      <c r="CL455" t="s">
        <v>74</v>
      </c>
    </row>
    <row r="456" spans="1:90" x14ac:dyDescent="0.25">
      <c r="A456" t="s">
        <v>61</v>
      </c>
      <c r="B456" t="s">
        <v>62</v>
      </c>
      <c r="C456" t="s">
        <v>63</v>
      </c>
      <c r="E456" t="str">
        <f>"FES1162744896"</f>
        <v>FES1162744896</v>
      </c>
      <c r="F456" s="1">
        <v>43937</v>
      </c>
      <c r="G456">
        <v>202010</v>
      </c>
      <c r="H456" t="s">
        <v>64</v>
      </c>
      <c r="I456" t="s">
        <v>65</v>
      </c>
      <c r="J456" t="s">
        <v>66</v>
      </c>
      <c r="K456" t="s">
        <v>67</v>
      </c>
      <c r="L456" t="s">
        <v>92</v>
      </c>
      <c r="M456" t="s">
        <v>93</v>
      </c>
      <c r="N456" t="s">
        <v>94</v>
      </c>
      <c r="O456" t="s">
        <v>69</v>
      </c>
      <c r="P456" t="str">
        <f>"2170736125                    "</f>
        <v xml:space="preserve">2170736125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24.06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G456">
        <v>0</v>
      </c>
      <c r="BH456">
        <v>2</v>
      </c>
      <c r="BI456">
        <v>11.2</v>
      </c>
      <c r="BJ456">
        <v>8.6</v>
      </c>
      <c r="BK456">
        <v>11.5</v>
      </c>
      <c r="BL456">
        <v>264.67</v>
      </c>
      <c r="BM456">
        <v>39.700000000000003</v>
      </c>
      <c r="BN456">
        <v>304.37</v>
      </c>
      <c r="BO456">
        <v>304.37</v>
      </c>
      <c r="BQ456" t="s">
        <v>70</v>
      </c>
      <c r="BR456" t="s">
        <v>71</v>
      </c>
      <c r="BS456" s="1">
        <v>43938</v>
      </c>
      <c r="BT456" s="2">
        <v>0.55555555555555558</v>
      </c>
      <c r="BU456" t="s">
        <v>722</v>
      </c>
      <c r="BV456" t="s">
        <v>74</v>
      </c>
      <c r="BW456" t="s">
        <v>96</v>
      </c>
      <c r="BX456" t="s">
        <v>97</v>
      </c>
      <c r="BY456">
        <v>42969.24</v>
      </c>
      <c r="CA456" t="s">
        <v>190</v>
      </c>
      <c r="CC456" t="s">
        <v>93</v>
      </c>
      <c r="CD456">
        <v>7441</v>
      </c>
      <c r="CE456" t="s">
        <v>381</v>
      </c>
      <c r="CF456" s="1">
        <v>43941</v>
      </c>
      <c r="CI456">
        <v>1</v>
      </c>
      <c r="CJ456">
        <v>1</v>
      </c>
      <c r="CK456">
        <v>21</v>
      </c>
      <c r="CL456" t="s">
        <v>74</v>
      </c>
    </row>
    <row r="457" spans="1:90" x14ac:dyDescent="0.25">
      <c r="A457" t="s">
        <v>61</v>
      </c>
      <c r="B457" t="s">
        <v>62</v>
      </c>
      <c r="C457" t="s">
        <v>63</v>
      </c>
      <c r="E457" t="str">
        <f>"FES1162744839"</f>
        <v>FES1162744839</v>
      </c>
      <c r="F457" s="1">
        <v>43936</v>
      </c>
      <c r="G457">
        <v>202010</v>
      </c>
      <c r="H457" t="s">
        <v>64</v>
      </c>
      <c r="I457" t="s">
        <v>65</v>
      </c>
      <c r="J457" t="s">
        <v>66</v>
      </c>
      <c r="K457" t="s">
        <v>67</v>
      </c>
      <c r="L457" t="s">
        <v>146</v>
      </c>
      <c r="M457" t="s">
        <v>147</v>
      </c>
      <c r="N457" t="s">
        <v>173</v>
      </c>
      <c r="O457" t="s">
        <v>69</v>
      </c>
      <c r="P457" t="str">
        <f>"2170734288                    "</f>
        <v xml:space="preserve">2170734288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6.28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G457">
        <v>0</v>
      </c>
      <c r="BH457">
        <v>1</v>
      </c>
      <c r="BI457">
        <v>2.6</v>
      </c>
      <c r="BJ457">
        <v>2.8</v>
      </c>
      <c r="BK457">
        <v>3</v>
      </c>
      <c r="BL457">
        <v>69.069999999999993</v>
      </c>
      <c r="BM457">
        <v>10.36</v>
      </c>
      <c r="BN457">
        <v>79.430000000000007</v>
      </c>
      <c r="BO457">
        <v>79.430000000000007</v>
      </c>
      <c r="BQ457" t="s">
        <v>70</v>
      </c>
      <c r="BR457" t="s">
        <v>71</v>
      </c>
      <c r="BS457" s="1">
        <v>43942</v>
      </c>
      <c r="BT457" s="2">
        <v>0.58333333333333337</v>
      </c>
      <c r="BU457" t="s">
        <v>723</v>
      </c>
      <c r="BV457" t="s">
        <v>74</v>
      </c>
      <c r="BW457" t="s">
        <v>96</v>
      </c>
      <c r="BX457" t="s">
        <v>339</v>
      </c>
      <c r="BY457">
        <v>13873.13</v>
      </c>
      <c r="CC457" t="s">
        <v>147</v>
      </c>
      <c r="CD457">
        <v>6001</v>
      </c>
      <c r="CE457" t="s">
        <v>91</v>
      </c>
      <c r="CF457" s="1">
        <v>43943</v>
      </c>
      <c r="CI457">
        <v>1</v>
      </c>
      <c r="CJ457">
        <v>4</v>
      </c>
      <c r="CK457">
        <v>21</v>
      </c>
      <c r="CL457" t="s">
        <v>74</v>
      </c>
    </row>
    <row r="458" spans="1:90" x14ac:dyDescent="0.25">
      <c r="A458" t="s">
        <v>61</v>
      </c>
      <c r="B458" t="s">
        <v>62</v>
      </c>
      <c r="C458" t="s">
        <v>63</v>
      </c>
      <c r="E458" t="str">
        <f>"FES1162744798"</f>
        <v>FES1162744798</v>
      </c>
      <c r="F458" s="1">
        <v>43936</v>
      </c>
      <c r="G458">
        <v>202010</v>
      </c>
      <c r="H458" t="s">
        <v>64</v>
      </c>
      <c r="I458" t="s">
        <v>65</v>
      </c>
      <c r="J458" t="s">
        <v>66</v>
      </c>
      <c r="K458" t="s">
        <v>67</v>
      </c>
      <c r="L458" t="s">
        <v>151</v>
      </c>
      <c r="M458" t="s">
        <v>152</v>
      </c>
      <c r="N458" t="s">
        <v>585</v>
      </c>
      <c r="O458" t="s">
        <v>69</v>
      </c>
      <c r="P458" t="str">
        <f>"2170735914                    "</f>
        <v xml:space="preserve">2170735914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20.92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G458">
        <v>0</v>
      </c>
      <c r="BH458">
        <v>1</v>
      </c>
      <c r="BI458">
        <v>9.9</v>
      </c>
      <c r="BJ458">
        <v>3</v>
      </c>
      <c r="BK458">
        <v>10</v>
      </c>
      <c r="BL458">
        <v>230.15</v>
      </c>
      <c r="BM458">
        <v>34.520000000000003</v>
      </c>
      <c r="BN458">
        <v>264.67</v>
      </c>
      <c r="BO458">
        <v>264.67</v>
      </c>
      <c r="BQ458" t="s">
        <v>70</v>
      </c>
      <c r="BR458" t="s">
        <v>71</v>
      </c>
      <c r="BS458" s="1">
        <v>43936</v>
      </c>
      <c r="BT458" s="2">
        <v>0.5</v>
      </c>
      <c r="BU458" t="s">
        <v>724</v>
      </c>
      <c r="BV458" t="s">
        <v>80</v>
      </c>
      <c r="BY458">
        <v>15215.81</v>
      </c>
      <c r="CC458" t="s">
        <v>152</v>
      </c>
      <c r="CD458">
        <v>3212</v>
      </c>
      <c r="CE458" t="s">
        <v>91</v>
      </c>
      <c r="CF458" s="1">
        <v>43941</v>
      </c>
      <c r="CI458">
        <v>1</v>
      </c>
      <c r="CJ458">
        <v>0</v>
      </c>
      <c r="CK458">
        <v>21</v>
      </c>
      <c r="CL458" t="s">
        <v>74</v>
      </c>
    </row>
    <row r="459" spans="1:90" x14ac:dyDescent="0.25">
      <c r="A459" t="s">
        <v>61</v>
      </c>
      <c r="B459" t="s">
        <v>62</v>
      </c>
      <c r="C459" t="s">
        <v>63</v>
      </c>
      <c r="E459" t="str">
        <f>"FES1162744846"</f>
        <v>FES1162744846</v>
      </c>
      <c r="F459" s="1">
        <v>43936</v>
      </c>
      <c r="G459">
        <v>202010</v>
      </c>
      <c r="H459" t="s">
        <v>64</v>
      </c>
      <c r="I459" t="s">
        <v>65</v>
      </c>
      <c r="J459" t="s">
        <v>66</v>
      </c>
      <c r="K459" t="s">
        <v>67</v>
      </c>
      <c r="L459" t="s">
        <v>81</v>
      </c>
      <c r="M459" t="s">
        <v>82</v>
      </c>
      <c r="N459" t="s">
        <v>83</v>
      </c>
      <c r="O459" t="s">
        <v>69</v>
      </c>
      <c r="P459" t="str">
        <f>"2170735783                    "</f>
        <v xml:space="preserve">2170735783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4.1900000000000004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G459">
        <v>0</v>
      </c>
      <c r="BH459">
        <v>1</v>
      </c>
      <c r="BI459">
        <v>1</v>
      </c>
      <c r="BJ459">
        <v>0.2</v>
      </c>
      <c r="BK459">
        <v>1</v>
      </c>
      <c r="BL459">
        <v>46.06</v>
      </c>
      <c r="BM459">
        <v>6.91</v>
      </c>
      <c r="BN459">
        <v>52.97</v>
      </c>
      <c r="BO459">
        <v>52.97</v>
      </c>
      <c r="BQ459" t="s">
        <v>78</v>
      </c>
      <c r="BR459" t="s">
        <v>71</v>
      </c>
      <c r="BS459" s="1">
        <v>43937</v>
      </c>
      <c r="BT459" s="2">
        <v>0.4513888888888889</v>
      </c>
      <c r="BU459" t="s">
        <v>589</v>
      </c>
      <c r="BV459" t="s">
        <v>74</v>
      </c>
      <c r="BW459" t="s">
        <v>85</v>
      </c>
      <c r="BX459" t="s">
        <v>725</v>
      </c>
      <c r="BY459">
        <v>1200</v>
      </c>
      <c r="CC459" t="s">
        <v>82</v>
      </c>
      <c r="CD459">
        <v>9300</v>
      </c>
      <c r="CE459" t="s">
        <v>73</v>
      </c>
      <c r="CF459" s="1">
        <v>43943</v>
      </c>
      <c r="CI459">
        <v>1</v>
      </c>
      <c r="CJ459">
        <v>1</v>
      </c>
      <c r="CK459">
        <v>21</v>
      </c>
      <c r="CL459" t="s">
        <v>74</v>
      </c>
    </row>
    <row r="460" spans="1:90" x14ac:dyDescent="0.25">
      <c r="A460" t="s">
        <v>61</v>
      </c>
      <c r="B460" t="s">
        <v>62</v>
      </c>
      <c r="C460" t="s">
        <v>63</v>
      </c>
      <c r="E460" t="str">
        <f>"FES1162744583"</f>
        <v>FES1162744583</v>
      </c>
      <c r="F460" s="1">
        <v>43936</v>
      </c>
      <c r="G460">
        <v>202010</v>
      </c>
      <c r="H460" t="s">
        <v>64</v>
      </c>
      <c r="I460" t="s">
        <v>65</v>
      </c>
      <c r="J460" t="s">
        <v>66</v>
      </c>
      <c r="K460" t="s">
        <v>67</v>
      </c>
      <c r="L460" t="s">
        <v>254</v>
      </c>
      <c r="M460" t="s">
        <v>255</v>
      </c>
      <c r="N460" t="s">
        <v>726</v>
      </c>
      <c r="O460" t="s">
        <v>69</v>
      </c>
      <c r="P460" t="str">
        <f>"2170735235                    "</f>
        <v xml:space="preserve">2170735235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4.1900000000000004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G460">
        <v>0</v>
      </c>
      <c r="BH460">
        <v>1</v>
      </c>
      <c r="BI460">
        <v>1</v>
      </c>
      <c r="BJ460">
        <v>0.2</v>
      </c>
      <c r="BK460">
        <v>1</v>
      </c>
      <c r="BL460">
        <v>46.06</v>
      </c>
      <c r="BM460">
        <v>6.91</v>
      </c>
      <c r="BN460">
        <v>52.97</v>
      </c>
      <c r="BO460">
        <v>52.97</v>
      </c>
      <c r="BQ460" t="s">
        <v>268</v>
      </c>
      <c r="BR460" t="s">
        <v>71</v>
      </c>
      <c r="BS460" s="1">
        <v>43937</v>
      </c>
      <c r="BT460" s="2">
        <v>0.52083333333333337</v>
      </c>
      <c r="BU460" t="s">
        <v>727</v>
      </c>
      <c r="BV460" t="s">
        <v>80</v>
      </c>
      <c r="BY460">
        <v>1200</v>
      </c>
      <c r="CC460" t="s">
        <v>255</v>
      </c>
      <c r="CD460">
        <v>186</v>
      </c>
      <c r="CE460" t="s">
        <v>73</v>
      </c>
      <c r="CF460" s="1">
        <v>43938</v>
      </c>
      <c r="CI460">
        <v>1</v>
      </c>
      <c r="CJ460">
        <v>1</v>
      </c>
      <c r="CK460">
        <v>21</v>
      </c>
      <c r="CL460" t="s">
        <v>74</v>
      </c>
    </row>
    <row r="461" spans="1:90" x14ac:dyDescent="0.25">
      <c r="A461" t="s">
        <v>61</v>
      </c>
      <c r="B461" t="s">
        <v>62</v>
      </c>
      <c r="C461" t="s">
        <v>63</v>
      </c>
      <c r="E461" t="str">
        <f>"FES1162744774"</f>
        <v>FES1162744774</v>
      </c>
      <c r="F461" s="1">
        <v>43937</v>
      </c>
      <c r="G461">
        <v>202010</v>
      </c>
      <c r="H461" t="s">
        <v>64</v>
      </c>
      <c r="I461" t="s">
        <v>65</v>
      </c>
      <c r="J461" t="s">
        <v>66</v>
      </c>
      <c r="K461" t="s">
        <v>67</v>
      </c>
      <c r="L461" t="s">
        <v>120</v>
      </c>
      <c r="M461" t="s">
        <v>121</v>
      </c>
      <c r="N461" t="s">
        <v>728</v>
      </c>
      <c r="O461" t="s">
        <v>69</v>
      </c>
      <c r="P461" t="str">
        <f>"2170736032                    "</f>
        <v xml:space="preserve">2170736032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6.28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G461">
        <v>0</v>
      </c>
      <c r="BH461">
        <v>1</v>
      </c>
      <c r="BI461">
        <v>2.8</v>
      </c>
      <c r="BJ461">
        <v>1</v>
      </c>
      <c r="BK461">
        <v>3</v>
      </c>
      <c r="BL461">
        <v>69.069999999999993</v>
      </c>
      <c r="BM461">
        <v>10.36</v>
      </c>
      <c r="BN461">
        <v>79.430000000000007</v>
      </c>
      <c r="BO461">
        <v>79.430000000000007</v>
      </c>
      <c r="BQ461" t="s">
        <v>729</v>
      </c>
      <c r="BR461" t="s">
        <v>71</v>
      </c>
      <c r="BS461" s="1">
        <v>43938</v>
      </c>
      <c r="BT461" s="2">
        <v>0.41250000000000003</v>
      </c>
      <c r="BU461" t="s">
        <v>730</v>
      </c>
      <c r="BV461" t="s">
        <v>80</v>
      </c>
      <c r="BY461">
        <v>4802.3599999999997</v>
      </c>
      <c r="CA461" t="s">
        <v>531</v>
      </c>
      <c r="CC461" t="s">
        <v>121</v>
      </c>
      <c r="CD461">
        <v>4000</v>
      </c>
      <c r="CE461" t="s">
        <v>91</v>
      </c>
      <c r="CF461" s="1">
        <v>43941</v>
      </c>
      <c r="CI461">
        <v>1</v>
      </c>
      <c r="CJ461">
        <v>0</v>
      </c>
      <c r="CK461">
        <v>21</v>
      </c>
      <c r="CL461" t="s">
        <v>74</v>
      </c>
    </row>
    <row r="462" spans="1:90" x14ac:dyDescent="0.25">
      <c r="A462" t="s">
        <v>61</v>
      </c>
      <c r="B462" t="s">
        <v>62</v>
      </c>
      <c r="C462" t="s">
        <v>63</v>
      </c>
      <c r="E462" t="str">
        <f>"FES1162744894"</f>
        <v>FES1162744894</v>
      </c>
      <c r="F462" s="1">
        <v>43937</v>
      </c>
      <c r="G462">
        <v>202010</v>
      </c>
      <c r="H462" t="s">
        <v>64</v>
      </c>
      <c r="I462" t="s">
        <v>65</v>
      </c>
      <c r="J462" t="s">
        <v>66</v>
      </c>
      <c r="K462" t="s">
        <v>67</v>
      </c>
      <c r="L462" t="s">
        <v>422</v>
      </c>
      <c r="M462" t="s">
        <v>423</v>
      </c>
      <c r="N462" t="s">
        <v>720</v>
      </c>
      <c r="O462" t="s">
        <v>69</v>
      </c>
      <c r="P462" t="str">
        <f>"2170736122                    "</f>
        <v xml:space="preserve">2170736122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5.89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G462">
        <v>0</v>
      </c>
      <c r="BH462">
        <v>1</v>
      </c>
      <c r="BI462">
        <v>1.6</v>
      </c>
      <c r="BJ462">
        <v>1.6</v>
      </c>
      <c r="BK462">
        <v>2</v>
      </c>
      <c r="BL462">
        <v>64.77</v>
      </c>
      <c r="BM462">
        <v>9.7200000000000006</v>
      </c>
      <c r="BN462">
        <v>74.489999999999995</v>
      </c>
      <c r="BO462">
        <v>74.489999999999995</v>
      </c>
      <c r="BQ462" t="s">
        <v>70</v>
      </c>
      <c r="BR462" t="s">
        <v>71</v>
      </c>
      <c r="BS462" s="1">
        <v>43938</v>
      </c>
      <c r="BT462" s="2">
        <v>0.34722222222222227</v>
      </c>
      <c r="BU462" t="s">
        <v>731</v>
      </c>
      <c r="BV462" t="s">
        <v>80</v>
      </c>
      <c r="BY462">
        <v>8156.72</v>
      </c>
      <c r="CC462" t="s">
        <v>423</v>
      </c>
      <c r="CD462">
        <v>1740</v>
      </c>
      <c r="CE462" t="s">
        <v>91</v>
      </c>
      <c r="CF462" s="1">
        <v>43941</v>
      </c>
      <c r="CI462">
        <v>1</v>
      </c>
      <c r="CJ462">
        <v>1</v>
      </c>
      <c r="CK462">
        <v>24</v>
      </c>
      <c r="CL462" t="s">
        <v>74</v>
      </c>
    </row>
    <row r="463" spans="1:90" x14ac:dyDescent="0.25">
      <c r="A463" t="s">
        <v>61</v>
      </c>
      <c r="B463" t="s">
        <v>62</v>
      </c>
      <c r="C463" t="s">
        <v>63</v>
      </c>
      <c r="E463" t="str">
        <f>"FES1162744892"</f>
        <v>FES1162744892</v>
      </c>
      <c r="F463" s="1">
        <v>43937</v>
      </c>
      <c r="G463">
        <v>202010</v>
      </c>
      <c r="H463" t="s">
        <v>64</v>
      </c>
      <c r="I463" t="s">
        <v>65</v>
      </c>
      <c r="J463" t="s">
        <v>66</v>
      </c>
      <c r="K463" t="s">
        <v>67</v>
      </c>
      <c r="L463" t="s">
        <v>270</v>
      </c>
      <c r="M463" t="s">
        <v>271</v>
      </c>
      <c r="N463" t="s">
        <v>720</v>
      </c>
      <c r="O463" t="s">
        <v>69</v>
      </c>
      <c r="P463" t="str">
        <f>"2170735558                    "</f>
        <v xml:space="preserve">2170735558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6.02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G463">
        <v>0</v>
      </c>
      <c r="BH463">
        <v>1</v>
      </c>
      <c r="BI463">
        <v>4.9000000000000004</v>
      </c>
      <c r="BJ463">
        <v>5.2</v>
      </c>
      <c r="BK463">
        <v>5.5</v>
      </c>
      <c r="BL463">
        <v>66.17</v>
      </c>
      <c r="BM463">
        <v>9.93</v>
      </c>
      <c r="BN463">
        <v>76.099999999999994</v>
      </c>
      <c r="BO463">
        <v>76.099999999999994</v>
      </c>
      <c r="BQ463" t="s">
        <v>70</v>
      </c>
      <c r="BR463" t="s">
        <v>71</v>
      </c>
      <c r="BS463" s="1">
        <v>43938</v>
      </c>
      <c r="BT463" s="2">
        <v>0.35486111111111113</v>
      </c>
      <c r="BU463" t="s">
        <v>721</v>
      </c>
      <c r="BV463" t="s">
        <v>80</v>
      </c>
      <c r="BY463">
        <v>26032.04</v>
      </c>
      <c r="CA463" t="s">
        <v>486</v>
      </c>
      <c r="CC463" t="s">
        <v>271</v>
      </c>
      <c r="CD463">
        <v>2013</v>
      </c>
      <c r="CE463" t="s">
        <v>91</v>
      </c>
      <c r="CF463" s="1">
        <v>43941</v>
      </c>
      <c r="CI463">
        <v>1</v>
      </c>
      <c r="CJ463">
        <v>1</v>
      </c>
      <c r="CK463">
        <v>22</v>
      </c>
      <c r="CL463" t="s">
        <v>74</v>
      </c>
    </row>
    <row r="464" spans="1:90" x14ac:dyDescent="0.25">
      <c r="A464" t="s">
        <v>61</v>
      </c>
      <c r="B464" t="s">
        <v>62</v>
      </c>
      <c r="C464" t="s">
        <v>63</v>
      </c>
      <c r="E464" t="str">
        <f>"FES1162744743"</f>
        <v>FES1162744743</v>
      </c>
      <c r="F464" s="1">
        <v>43935</v>
      </c>
      <c r="G464">
        <v>202010</v>
      </c>
      <c r="H464" t="s">
        <v>64</v>
      </c>
      <c r="I464" t="s">
        <v>65</v>
      </c>
      <c r="J464" t="s">
        <v>581</v>
      </c>
      <c r="K464" t="s">
        <v>67</v>
      </c>
      <c r="L464" t="s">
        <v>99</v>
      </c>
      <c r="M464" t="s">
        <v>100</v>
      </c>
      <c r="N464" t="s">
        <v>101</v>
      </c>
      <c r="O464" t="s">
        <v>69</v>
      </c>
      <c r="P464" t="str">
        <f>"2170735947                    "</f>
        <v xml:space="preserve">2170735947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55.74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G464">
        <v>1100</v>
      </c>
      <c r="BH464">
        <v>1</v>
      </c>
      <c r="BI464">
        <v>14.6</v>
      </c>
      <c r="BJ464">
        <v>8.5</v>
      </c>
      <c r="BK464">
        <v>15</v>
      </c>
      <c r="BL464">
        <v>1713.18</v>
      </c>
      <c r="BM464">
        <v>256.98</v>
      </c>
      <c r="BN464">
        <v>1970.16</v>
      </c>
      <c r="BO464">
        <v>1970.16</v>
      </c>
      <c r="BQ464" t="s">
        <v>78</v>
      </c>
      <c r="BR464" t="s">
        <v>732</v>
      </c>
      <c r="BS464" s="1">
        <v>43936</v>
      </c>
      <c r="BT464" s="2">
        <v>0.42499999999999999</v>
      </c>
      <c r="BU464" t="s">
        <v>733</v>
      </c>
      <c r="BV464" t="s">
        <v>80</v>
      </c>
      <c r="BY464">
        <v>42391.09</v>
      </c>
      <c r="BZ464" t="s">
        <v>23</v>
      </c>
      <c r="CC464" t="s">
        <v>100</v>
      </c>
      <c r="CD464">
        <v>6849</v>
      </c>
      <c r="CE464" t="s">
        <v>91</v>
      </c>
      <c r="CF464" s="1">
        <v>43941</v>
      </c>
      <c r="CI464">
        <v>0</v>
      </c>
      <c r="CJ464">
        <v>0</v>
      </c>
      <c r="CK464">
        <v>23</v>
      </c>
      <c r="CL464" t="s">
        <v>74</v>
      </c>
    </row>
    <row r="465" spans="1:90" x14ac:dyDescent="0.25">
      <c r="A465" t="s">
        <v>61</v>
      </c>
      <c r="B465" t="s">
        <v>62</v>
      </c>
      <c r="C465" t="s">
        <v>63</v>
      </c>
      <c r="E465" t="str">
        <f>"FES1162744982"</f>
        <v>FES1162744982</v>
      </c>
      <c r="F465" s="1">
        <v>43941</v>
      </c>
      <c r="G465">
        <v>202010</v>
      </c>
      <c r="H465" t="s">
        <v>64</v>
      </c>
      <c r="I465" t="s">
        <v>65</v>
      </c>
      <c r="J465" t="s">
        <v>66</v>
      </c>
      <c r="K465" t="s">
        <v>67</v>
      </c>
      <c r="L465" t="s">
        <v>120</v>
      </c>
      <c r="M465" t="s">
        <v>121</v>
      </c>
      <c r="N465" t="s">
        <v>267</v>
      </c>
      <c r="O465" t="s">
        <v>69</v>
      </c>
      <c r="P465" t="str">
        <f>"2170734330                    "</f>
        <v xml:space="preserve">2170734330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4.1900000000000004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G465">
        <v>0</v>
      </c>
      <c r="BH465">
        <v>1</v>
      </c>
      <c r="BI465">
        <v>1</v>
      </c>
      <c r="BJ465">
        <v>0.2</v>
      </c>
      <c r="BK465">
        <v>1</v>
      </c>
      <c r="BL465">
        <v>46.06</v>
      </c>
      <c r="BM465">
        <v>6.91</v>
      </c>
      <c r="BN465">
        <v>52.97</v>
      </c>
      <c r="BO465">
        <v>52.97</v>
      </c>
      <c r="BQ465" t="s">
        <v>268</v>
      </c>
      <c r="BR465" t="s">
        <v>71</v>
      </c>
      <c r="BS465" s="1">
        <v>43942</v>
      </c>
      <c r="BT465" s="2">
        <v>0.59791666666666665</v>
      </c>
      <c r="BU465" t="s">
        <v>734</v>
      </c>
      <c r="BV465" t="s">
        <v>74</v>
      </c>
      <c r="BW465" t="s">
        <v>85</v>
      </c>
      <c r="BX465" t="s">
        <v>735</v>
      </c>
      <c r="BY465">
        <v>1200</v>
      </c>
      <c r="CA465" t="s">
        <v>172</v>
      </c>
      <c r="CC465" t="s">
        <v>121</v>
      </c>
      <c r="CD465">
        <v>4064</v>
      </c>
      <c r="CE465" t="s">
        <v>73</v>
      </c>
      <c r="CF465" s="1">
        <v>43943</v>
      </c>
      <c r="CI465">
        <v>1</v>
      </c>
      <c r="CJ465">
        <v>1</v>
      </c>
      <c r="CK465">
        <v>21</v>
      </c>
      <c r="CL465" t="s">
        <v>74</v>
      </c>
    </row>
    <row r="466" spans="1:90" x14ac:dyDescent="0.25">
      <c r="A466" t="s">
        <v>61</v>
      </c>
      <c r="B466" t="s">
        <v>62</v>
      </c>
      <c r="C466" t="s">
        <v>63</v>
      </c>
      <c r="E466" t="str">
        <f>"FES1162744854"</f>
        <v>FES1162744854</v>
      </c>
      <c r="F466" s="1">
        <v>43937</v>
      </c>
      <c r="G466">
        <v>202010</v>
      </c>
      <c r="H466" t="s">
        <v>64</v>
      </c>
      <c r="I466" t="s">
        <v>65</v>
      </c>
      <c r="J466" t="s">
        <v>66</v>
      </c>
      <c r="K466" t="s">
        <v>67</v>
      </c>
      <c r="L466" t="s">
        <v>120</v>
      </c>
      <c r="M466" t="s">
        <v>121</v>
      </c>
      <c r="N466" t="s">
        <v>278</v>
      </c>
      <c r="O466" t="s">
        <v>69</v>
      </c>
      <c r="P466" t="str">
        <f>"2170735686                    "</f>
        <v xml:space="preserve">2170735686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4.1900000000000004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G466">
        <v>0</v>
      </c>
      <c r="BH466">
        <v>1</v>
      </c>
      <c r="BI466">
        <v>1</v>
      </c>
      <c r="BJ466">
        <v>0.2</v>
      </c>
      <c r="BK466">
        <v>1</v>
      </c>
      <c r="BL466">
        <v>46.06</v>
      </c>
      <c r="BM466">
        <v>6.91</v>
      </c>
      <c r="BN466">
        <v>52.97</v>
      </c>
      <c r="BO466">
        <v>52.97</v>
      </c>
      <c r="BQ466" t="s">
        <v>70</v>
      </c>
      <c r="BR466" t="s">
        <v>71</v>
      </c>
      <c r="BS466" s="1">
        <v>43938</v>
      </c>
      <c r="BT466" s="2">
        <v>0.54861111111111105</v>
      </c>
      <c r="BU466" t="s">
        <v>591</v>
      </c>
      <c r="BV466" t="s">
        <v>74</v>
      </c>
      <c r="BW466" t="s">
        <v>85</v>
      </c>
      <c r="BX466" t="s">
        <v>128</v>
      </c>
      <c r="BY466">
        <v>1200</v>
      </c>
      <c r="CA466" t="s">
        <v>592</v>
      </c>
      <c r="CC466" t="s">
        <v>121</v>
      </c>
      <c r="CD466">
        <v>4001</v>
      </c>
      <c r="CE466" t="s">
        <v>73</v>
      </c>
      <c r="CF466" s="1">
        <v>43941</v>
      </c>
      <c r="CI466">
        <v>1</v>
      </c>
      <c r="CJ466">
        <v>1</v>
      </c>
      <c r="CK466">
        <v>21</v>
      </c>
      <c r="CL466" t="s">
        <v>74</v>
      </c>
    </row>
    <row r="467" spans="1:90" x14ac:dyDescent="0.25">
      <c r="A467" t="s">
        <v>61</v>
      </c>
      <c r="B467" t="s">
        <v>62</v>
      </c>
      <c r="C467" t="s">
        <v>63</v>
      </c>
      <c r="E467" t="str">
        <f>"FES1162744671"</f>
        <v>FES1162744671</v>
      </c>
      <c r="F467" s="1">
        <v>43935</v>
      </c>
      <c r="G467">
        <v>202010</v>
      </c>
      <c r="H467" t="s">
        <v>64</v>
      </c>
      <c r="I467" t="s">
        <v>65</v>
      </c>
      <c r="J467" t="s">
        <v>66</v>
      </c>
      <c r="K467" t="s">
        <v>67</v>
      </c>
      <c r="L467" t="s">
        <v>460</v>
      </c>
      <c r="M467" t="s">
        <v>461</v>
      </c>
      <c r="N467" t="s">
        <v>736</v>
      </c>
      <c r="O467" t="s">
        <v>69</v>
      </c>
      <c r="P467" t="str">
        <f>"2170735244                    "</f>
        <v xml:space="preserve">2170735244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5.89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G467">
        <v>0</v>
      </c>
      <c r="BH467">
        <v>1</v>
      </c>
      <c r="BI467">
        <v>1</v>
      </c>
      <c r="BJ467">
        <v>0.2</v>
      </c>
      <c r="BK467">
        <v>1</v>
      </c>
      <c r="BL467">
        <v>64.77</v>
      </c>
      <c r="BM467">
        <v>9.7200000000000006</v>
      </c>
      <c r="BN467">
        <v>74.489999999999995</v>
      </c>
      <c r="BO467">
        <v>74.489999999999995</v>
      </c>
      <c r="BQ467" t="s">
        <v>78</v>
      </c>
      <c r="BR467" t="s">
        <v>71</v>
      </c>
      <c r="BS467" s="1">
        <v>43936</v>
      </c>
      <c r="BT467" s="2">
        <v>0.4375</v>
      </c>
      <c r="BU467" t="s">
        <v>737</v>
      </c>
      <c r="BV467" t="s">
        <v>80</v>
      </c>
      <c r="BY467">
        <v>1200</v>
      </c>
      <c r="CA467" t="s">
        <v>464</v>
      </c>
      <c r="CC467" t="s">
        <v>461</v>
      </c>
      <c r="CD467">
        <v>1438</v>
      </c>
      <c r="CE467" t="s">
        <v>73</v>
      </c>
      <c r="CI467">
        <v>1</v>
      </c>
      <c r="CJ467">
        <v>1</v>
      </c>
      <c r="CK467">
        <v>24</v>
      </c>
      <c r="CL467" t="s">
        <v>74</v>
      </c>
    </row>
    <row r="468" spans="1:90" x14ac:dyDescent="0.25">
      <c r="A468" t="s">
        <v>61</v>
      </c>
      <c r="B468" t="s">
        <v>62</v>
      </c>
      <c r="C468" t="s">
        <v>63</v>
      </c>
      <c r="E468" t="str">
        <f>"FES1162744747"</f>
        <v>FES1162744747</v>
      </c>
      <c r="F468" s="1">
        <v>43935</v>
      </c>
      <c r="G468">
        <v>202010</v>
      </c>
      <c r="H468" t="s">
        <v>64</v>
      </c>
      <c r="I468" t="s">
        <v>65</v>
      </c>
      <c r="J468" t="s">
        <v>66</v>
      </c>
      <c r="K468" t="s">
        <v>67</v>
      </c>
      <c r="L468" t="s">
        <v>262</v>
      </c>
      <c r="M468" t="s">
        <v>262</v>
      </c>
      <c r="N468" t="s">
        <v>545</v>
      </c>
      <c r="O468" t="s">
        <v>69</v>
      </c>
      <c r="P468" t="str">
        <f>"2170735154                    "</f>
        <v xml:space="preserve">2170735154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37.42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G468">
        <v>0</v>
      </c>
      <c r="BH468">
        <v>2</v>
      </c>
      <c r="BI468">
        <v>3.6</v>
      </c>
      <c r="BJ468">
        <v>9.6999999999999993</v>
      </c>
      <c r="BK468">
        <v>10</v>
      </c>
      <c r="BL468">
        <v>411.66</v>
      </c>
      <c r="BM468">
        <v>61.75</v>
      </c>
      <c r="BN468">
        <v>473.41</v>
      </c>
      <c r="BO468">
        <v>473.41</v>
      </c>
      <c r="BQ468" t="s">
        <v>70</v>
      </c>
      <c r="BR468" t="s">
        <v>71</v>
      </c>
      <c r="BS468" s="1">
        <v>43936</v>
      </c>
      <c r="BT468" s="2">
        <v>0.42083333333333334</v>
      </c>
      <c r="BU468" t="s">
        <v>635</v>
      </c>
      <c r="BV468" t="s">
        <v>80</v>
      </c>
      <c r="BY468">
        <v>48322.04</v>
      </c>
      <c r="CA468" t="s">
        <v>266</v>
      </c>
      <c r="CC468" t="s">
        <v>262</v>
      </c>
      <c r="CD468">
        <v>7646</v>
      </c>
      <c r="CE468" t="s">
        <v>381</v>
      </c>
      <c r="CF468" s="1">
        <v>43937</v>
      </c>
      <c r="CI468">
        <v>1</v>
      </c>
      <c r="CJ468">
        <v>1</v>
      </c>
      <c r="CK468">
        <v>23</v>
      </c>
      <c r="CL468" t="s">
        <v>74</v>
      </c>
    </row>
    <row r="469" spans="1:90" x14ac:dyDescent="0.25">
      <c r="A469" t="s">
        <v>61</v>
      </c>
      <c r="B469" t="s">
        <v>62</v>
      </c>
      <c r="C469" t="s">
        <v>63</v>
      </c>
      <c r="E469" t="str">
        <f>"FES1162744739"</f>
        <v>FES1162744739</v>
      </c>
      <c r="F469" s="1">
        <v>43935</v>
      </c>
      <c r="G469">
        <v>202010</v>
      </c>
      <c r="H469" t="s">
        <v>64</v>
      </c>
      <c r="I469" t="s">
        <v>65</v>
      </c>
      <c r="J469" t="s">
        <v>66</v>
      </c>
      <c r="K469" t="s">
        <v>67</v>
      </c>
      <c r="L469" t="s">
        <v>92</v>
      </c>
      <c r="M469" t="s">
        <v>93</v>
      </c>
      <c r="N469" t="s">
        <v>94</v>
      </c>
      <c r="O469" t="s">
        <v>69</v>
      </c>
      <c r="P469" t="str">
        <f>"2170735990                    "</f>
        <v xml:space="preserve">2170735990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4.1900000000000004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G469">
        <v>0</v>
      </c>
      <c r="BH469">
        <v>1</v>
      </c>
      <c r="BI469">
        <v>1</v>
      </c>
      <c r="BJ469">
        <v>0.2</v>
      </c>
      <c r="BK469">
        <v>1</v>
      </c>
      <c r="BL469">
        <v>46.06</v>
      </c>
      <c r="BM469">
        <v>6.91</v>
      </c>
      <c r="BN469">
        <v>52.97</v>
      </c>
      <c r="BO469">
        <v>52.97</v>
      </c>
      <c r="BQ469" t="s">
        <v>70</v>
      </c>
      <c r="BR469" t="s">
        <v>71</v>
      </c>
      <c r="BS469" s="1">
        <v>43936</v>
      </c>
      <c r="BT469" s="2">
        <v>0.41666666666666669</v>
      </c>
      <c r="BU469" t="s">
        <v>590</v>
      </c>
      <c r="BV469" t="s">
        <v>80</v>
      </c>
      <c r="BY469">
        <v>1200</v>
      </c>
      <c r="CC469" t="s">
        <v>93</v>
      </c>
      <c r="CD469">
        <v>7441</v>
      </c>
      <c r="CE469" t="s">
        <v>73</v>
      </c>
      <c r="CF469" s="1">
        <v>43937</v>
      </c>
      <c r="CI469">
        <v>1</v>
      </c>
      <c r="CJ469">
        <v>1</v>
      </c>
      <c r="CK469">
        <v>21</v>
      </c>
      <c r="CL469" t="s">
        <v>74</v>
      </c>
    </row>
    <row r="470" spans="1:90" x14ac:dyDescent="0.25">
      <c r="A470" t="s">
        <v>61</v>
      </c>
      <c r="B470" t="s">
        <v>62</v>
      </c>
      <c r="C470" t="s">
        <v>63</v>
      </c>
      <c r="E470" t="str">
        <f>"FES1162744708"</f>
        <v>FES1162744708</v>
      </c>
      <c r="F470" s="1">
        <v>43935</v>
      </c>
      <c r="G470">
        <v>202010</v>
      </c>
      <c r="H470" t="s">
        <v>64</v>
      </c>
      <c r="I470" t="s">
        <v>65</v>
      </c>
      <c r="J470" t="s">
        <v>66</v>
      </c>
      <c r="K470" t="s">
        <v>67</v>
      </c>
      <c r="L470" t="s">
        <v>254</v>
      </c>
      <c r="M470" t="s">
        <v>255</v>
      </c>
      <c r="N470" t="s">
        <v>613</v>
      </c>
      <c r="O470" t="s">
        <v>69</v>
      </c>
      <c r="P470" t="str">
        <f>"2170735920                    "</f>
        <v xml:space="preserve">2170735920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4.1900000000000004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G470">
        <v>0</v>
      </c>
      <c r="BH470">
        <v>1</v>
      </c>
      <c r="BI470">
        <v>0.2</v>
      </c>
      <c r="BJ470">
        <v>1.5</v>
      </c>
      <c r="BK470">
        <v>1.5</v>
      </c>
      <c r="BL470">
        <v>46.06</v>
      </c>
      <c r="BM470">
        <v>6.91</v>
      </c>
      <c r="BN470">
        <v>52.97</v>
      </c>
      <c r="BO470">
        <v>52.97</v>
      </c>
      <c r="BQ470" t="s">
        <v>78</v>
      </c>
      <c r="BR470" t="s">
        <v>71</v>
      </c>
      <c r="BS470" s="1">
        <v>43936</v>
      </c>
      <c r="BT470" s="2">
        <v>0.41666666666666669</v>
      </c>
      <c r="BU470" t="s">
        <v>614</v>
      </c>
      <c r="BV470" t="s">
        <v>80</v>
      </c>
      <c r="BY470">
        <v>7668.38</v>
      </c>
      <c r="CA470" t="s">
        <v>615</v>
      </c>
      <c r="CC470" t="s">
        <v>255</v>
      </c>
      <c r="CD470">
        <v>157</v>
      </c>
      <c r="CE470" t="s">
        <v>91</v>
      </c>
      <c r="CF470" s="1">
        <v>43938</v>
      </c>
      <c r="CI470">
        <v>1</v>
      </c>
      <c r="CJ470">
        <v>1</v>
      </c>
      <c r="CK470">
        <v>21</v>
      </c>
      <c r="CL470" t="s">
        <v>74</v>
      </c>
    </row>
    <row r="471" spans="1:90" x14ac:dyDescent="0.25">
      <c r="A471" t="s">
        <v>61</v>
      </c>
      <c r="B471" t="s">
        <v>62</v>
      </c>
      <c r="C471" t="s">
        <v>63</v>
      </c>
      <c r="E471" t="str">
        <f>"FES1162744682"</f>
        <v>FES1162744682</v>
      </c>
      <c r="F471" s="1">
        <v>43935</v>
      </c>
      <c r="G471">
        <v>202010</v>
      </c>
      <c r="H471" t="s">
        <v>64</v>
      </c>
      <c r="I471" t="s">
        <v>65</v>
      </c>
      <c r="J471" t="s">
        <v>66</v>
      </c>
      <c r="K471" t="s">
        <v>67</v>
      </c>
      <c r="L471" t="s">
        <v>92</v>
      </c>
      <c r="M471" t="s">
        <v>93</v>
      </c>
      <c r="N471" t="s">
        <v>482</v>
      </c>
      <c r="O471" t="s">
        <v>69</v>
      </c>
      <c r="P471" t="str">
        <f>"2170735930                    "</f>
        <v xml:space="preserve">2170735930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4.1900000000000004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G471">
        <v>0</v>
      </c>
      <c r="BH471">
        <v>1</v>
      </c>
      <c r="BI471">
        <v>1</v>
      </c>
      <c r="BJ471">
        <v>0.2</v>
      </c>
      <c r="BK471">
        <v>1</v>
      </c>
      <c r="BL471">
        <v>46.06</v>
      </c>
      <c r="BM471">
        <v>6.91</v>
      </c>
      <c r="BN471">
        <v>52.97</v>
      </c>
      <c r="BO471">
        <v>52.97</v>
      </c>
      <c r="BQ471" t="s">
        <v>78</v>
      </c>
      <c r="BR471" t="s">
        <v>71</v>
      </c>
      <c r="BS471" s="1">
        <v>43936</v>
      </c>
      <c r="BT471" s="2">
        <v>0.41666666666666669</v>
      </c>
      <c r="BU471" t="s">
        <v>312</v>
      </c>
      <c r="BV471" t="s">
        <v>80</v>
      </c>
      <c r="BY471">
        <v>1200</v>
      </c>
      <c r="CC471" t="s">
        <v>93</v>
      </c>
      <c r="CD471">
        <v>7441</v>
      </c>
      <c r="CE471" t="s">
        <v>73</v>
      </c>
      <c r="CF471" s="1">
        <v>43937</v>
      </c>
      <c r="CI471">
        <v>1</v>
      </c>
      <c r="CJ471">
        <v>1</v>
      </c>
      <c r="CK471">
        <v>21</v>
      </c>
      <c r="CL471" t="s">
        <v>74</v>
      </c>
    </row>
    <row r="472" spans="1:90" x14ac:dyDescent="0.25">
      <c r="A472" t="s">
        <v>61</v>
      </c>
      <c r="B472" t="s">
        <v>62</v>
      </c>
      <c r="C472" t="s">
        <v>63</v>
      </c>
      <c r="E472" t="str">
        <f>"FES1162744725"</f>
        <v>FES1162744725</v>
      </c>
      <c r="F472" s="1">
        <v>43935</v>
      </c>
      <c r="G472">
        <v>202010</v>
      </c>
      <c r="H472" t="s">
        <v>64</v>
      </c>
      <c r="I472" t="s">
        <v>65</v>
      </c>
      <c r="J472" t="s">
        <v>66</v>
      </c>
      <c r="K472" t="s">
        <v>67</v>
      </c>
      <c r="L472" t="s">
        <v>92</v>
      </c>
      <c r="M472" t="s">
        <v>93</v>
      </c>
      <c r="N472" t="s">
        <v>402</v>
      </c>
      <c r="O472" t="s">
        <v>69</v>
      </c>
      <c r="P472" t="str">
        <f>"2170732736                    "</f>
        <v xml:space="preserve">2170732736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4.1900000000000004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G472">
        <v>0</v>
      </c>
      <c r="BH472">
        <v>1</v>
      </c>
      <c r="BI472">
        <v>0.2</v>
      </c>
      <c r="BJ472">
        <v>1.5</v>
      </c>
      <c r="BK472">
        <v>1.5</v>
      </c>
      <c r="BL472">
        <v>46.06</v>
      </c>
      <c r="BM472">
        <v>6.91</v>
      </c>
      <c r="BN472">
        <v>52.97</v>
      </c>
      <c r="BO472">
        <v>52.97</v>
      </c>
      <c r="BQ472" t="s">
        <v>109</v>
      </c>
      <c r="BR472" t="s">
        <v>71</v>
      </c>
      <c r="BS472" s="1">
        <v>43936</v>
      </c>
      <c r="BT472" s="2">
        <v>0.35972222222222222</v>
      </c>
      <c r="BU472" t="s">
        <v>738</v>
      </c>
      <c r="BV472" t="s">
        <v>80</v>
      </c>
      <c r="BY472">
        <v>7650.92</v>
      </c>
      <c r="CA472" t="s">
        <v>190</v>
      </c>
      <c r="CC472" t="s">
        <v>93</v>
      </c>
      <c r="CD472">
        <v>7460</v>
      </c>
      <c r="CE472" t="s">
        <v>91</v>
      </c>
      <c r="CF472" s="1">
        <v>43937</v>
      </c>
      <c r="CI472">
        <v>1</v>
      </c>
      <c r="CJ472">
        <v>1</v>
      </c>
      <c r="CK472">
        <v>21</v>
      </c>
      <c r="CL472" t="s">
        <v>74</v>
      </c>
    </row>
    <row r="473" spans="1:90" x14ac:dyDescent="0.25">
      <c r="A473" t="s">
        <v>61</v>
      </c>
      <c r="B473" t="s">
        <v>62</v>
      </c>
      <c r="C473" t="s">
        <v>63</v>
      </c>
      <c r="E473" t="str">
        <f>"FES1162744681"</f>
        <v>FES1162744681</v>
      </c>
      <c r="F473" s="1">
        <v>43935</v>
      </c>
      <c r="G473">
        <v>202010</v>
      </c>
      <c r="H473" t="s">
        <v>64</v>
      </c>
      <c r="I473" t="s">
        <v>65</v>
      </c>
      <c r="J473" t="s">
        <v>66</v>
      </c>
      <c r="K473" t="s">
        <v>67</v>
      </c>
      <c r="L473" t="s">
        <v>374</v>
      </c>
      <c r="M473" t="s">
        <v>375</v>
      </c>
      <c r="N473" t="s">
        <v>376</v>
      </c>
      <c r="O473" t="s">
        <v>69</v>
      </c>
      <c r="P473" t="str">
        <f>"2170735880                    "</f>
        <v xml:space="preserve">2170735880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5.89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G473">
        <v>0</v>
      </c>
      <c r="BH473">
        <v>1</v>
      </c>
      <c r="BI473">
        <v>1</v>
      </c>
      <c r="BJ473">
        <v>0.2</v>
      </c>
      <c r="BK473">
        <v>1</v>
      </c>
      <c r="BL473">
        <v>64.77</v>
      </c>
      <c r="BM473">
        <v>9.7200000000000006</v>
      </c>
      <c r="BN473">
        <v>74.489999999999995</v>
      </c>
      <c r="BO473">
        <v>74.489999999999995</v>
      </c>
      <c r="BQ473" t="s">
        <v>70</v>
      </c>
      <c r="BR473" t="s">
        <v>71</v>
      </c>
      <c r="BS473" s="1">
        <v>43936</v>
      </c>
      <c r="BT473" s="2">
        <v>0.4375</v>
      </c>
      <c r="BU473" t="s">
        <v>377</v>
      </c>
      <c r="BV473" t="s">
        <v>80</v>
      </c>
      <c r="BY473">
        <v>1200</v>
      </c>
      <c r="CC473" t="s">
        <v>375</v>
      </c>
      <c r="CD473">
        <v>2210</v>
      </c>
      <c r="CE473" t="s">
        <v>73</v>
      </c>
      <c r="CF473" s="1">
        <v>43943</v>
      </c>
      <c r="CI473">
        <v>1</v>
      </c>
      <c r="CJ473">
        <v>1</v>
      </c>
      <c r="CK473">
        <v>24</v>
      </c>
      <c r="CL473" t="s">
        <v>74</v>
      </c>
    </row>
    <row r="474" spans="1:90" x14ac:dyDescent="0.25">
      <c r="A474" t="s">
        <v>61</v>
      </c>
      <c r="B474" t="s">
        <v>62</v>
      </c>
      <c r="C474" t="s">
        <v>63</v>
      </c>
      <c r="E474" t="str">
        <f>"FES1162744691"</f>
        <v>FES1162744691</v>
      </c>
      <c r="F474" s="1">
        <v>43935</v>
      </c>
      <c r="G474">
        <v>202010</v>
      </c>
      <c r="H474" t="s">
        <v>64</v>
      </c>
      <c r="I474" t="s">
        <v>65</v>
      </c>
      <c r="J474" t="s">
        <v>66</v>
      </c>
      <c r="K474" t="s">
        <v>67</v>
      </c>
      <c r="L474" t="s">
        <v>184</v>
      </c>
      <c r="M474" t="s">
        <v>185</v>
      </c>
      <c r="N474" t="s">
        <v>186</v>
      </c>
      <c r="O474" t="s">
        <v>69</v>
      </c>
      <c r="P474" t="str">
        <f>"2170735112                    "</f>
        <v xml:space="preserve">2170735112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8.11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G474">
        <v>0</v>
      </c>
      <c r="BH474">
        <v>1</v>
      </c>
      <c r="BI474">
        <v>1</v>
      </c>
      <c r="BJ474">
        <v>0.2</v>
      </c>
      <c r="BK474">
        <v>1</v>
      </c>
      <c r="BL474">
        <v>89.23</v>
      </c>
      <c r="BM474">
        <v>13.38</v>
      </c>
      <c r="BN474">
        <v>102.61</v>
      </c>
      <c r="BO474">
        <v>102.61</v>
      </c>
      <c r="BQ474" t="s">
        <v>70</v>
      </c>
      <c r="BR474" t="s">
        <v>71</v>
      </c>
      <c r="BS474" s="1">
        <v>43936</v>
      </c>
      <c r="BT474" s="2">
        <v>0.38958333333333334</v>
      </c>
      <c r="BU474" t="s">
        <v>739</v>
      </c>
      <c r="BV474" t="s">
        <v>80</v>
      </c>
      <c r="BY474">
        <v>1200</v>
      </c>
      <c r="CA474" t="s">
        <v>188</v>
      </c>
      <c r="CC474" t="s">
        <v>185</v>
      </c>
      <c r="CD474">
        <v>7130</v>
      </c>
      <c r="CE474" t="s">
        <v>73</v>
      </c>
      <c r="CF474" s="1">
        <v>43937</v>
      </c>
      <c r="CI474">
        <v>1</v>
      </c>
      <c r="CJ474">
        <v>1</v>
      </c>
      <c r="CK474">
        <v>23</v>
      </c>
      <c r="CL474" t="s">
        <v>74</v>
      </c>
    </row>
    <row r="475" spans="1:90" x14ac:dyDescent="0.25">
      <c r="A475" t="s">
        <v>61</v>
      </c>
      <c r="B475" t="s">
        <v>62</v>
      </c>
      <c r="C475" t="s">
        <v>63</v>
      </c>
      <c r="E475" t="str">
        <f>"FES1162744677"</f>
        <v>FES1162744677</v>
      </c>
      <c r="F475" s="1">
        <v>43935</v>
      </c>
      <c r="G475">
        <v>202010</v>
      </c>
      <c r="H475" t="s">
        <v>64</v>
      </c>
      <c r="I475" t="s">
        <v>65</v>
      </c>
      <c r="J475" t="s">
        <v>66</v>
      </c>
      <c r="K475" t="s">
        <v>67</v>
      </c>
      <c r="L475" t="s">
        <v>221</v>
      </c>
      <c r="M475" t="s">
        <v>222</v>
      </c>
      <c r="N475" t="s">
        <v>223</v>
      </c>
      <c r="O475" t="s">
        <v>69</v>
      </c>
      <c r="P475" t="str">
        <f>"2170735588                    "</f>
        <v xml:space="preserve">2170735588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5.89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G475">
        <v>0</v>
      </c>
      <c r="BH475">
        <v>1</v>
      </c>
      <c r="BI475">
        <v>1</v>
      </c>
      <c r="BJ475">
        <v>0.2</v>
      </c>
      <c r="BK475">
        <v>1</v>
      </c>
      <c r="BL475">
        <v>64.77</v>
      </c>
      <c r="BM475">
        <v>9.7200000000000006</v>
      </c>
      <c r="BN475">
        <v>74.489999999999995</v>
      </c>
      <c r="BO475">
        <v>74.489999999999995</v>
      </c>
      <c r="BQ475" t="s">
        <v>78</v>
      </c>
      <c r="BR475" t="s">
        <v>71</v>
      </c>
      <c r="BS475" s="1">
        <v>43936</v>
      </c>
      <c r="BT475" s="2">
        <v>0.4375</v>
      </c>
      <c r="BU475" t="s">
        <v>224</v>
      </c>
      <c r="BV475" t="s">
        <v>80</v>
      </c>
      <c r="BY475">
        <v>1200</v>
      </c>
      <c r="CC475" t="s">
        <v>222</v>
      </c>
      <c r="CD475">
        <v>2410</v>
      </c>
      <c r="CE475" t="s">
        <v>73</v>
      </c>
      <c r="CF475" s="1">
        <v>43943</v>
      </c>
      <c r="CI475">
        <v>1</v>
      </c>
      <c r="CJ475">
        <v>1</v>
      </c>
      <c r="CK475">
        <v>24</v>
      </c>
      <c r="CL475" t="s">
        <v>74</v>
      </c>
    </row>
    <row r="476" spans="1:90" x14ac:dyDescent="0.25">
      <c r="A476" t="s">
        <v>61</v>
      </c>
      <c r="B476" t="s">
        <v>62</v>
      </c>
      <c r="C476" t="s">
        <v>63</v>
      </c>
      <c r="E476" t="str">
        <f>"FES1162744676"</f>
        <v>FES1162744676</v>
      </c>
      <c r="F476" s="1">
        <v>43935</v>
      </c>
      <c r="G476">
        <v>202010</v>
      </c>
      <c r="H476" t="s">
        <v>64</v>
      </c>
      <c r="I476" t="s">
        <v>65</v>
      </c>
      <c r="J476" t="s">
        <v>66</v>
      </c>
      <c r="K476" t="s">
        <v>67</v>
      </c>
      <c r="L476" t="s">
        <v>221</v>
      </c>
      <c r="M476" t="s">
        <v>222</v>
      </c>
      <c r="N476" t="s">
        <v>223</v>
      </c>
      <c r="O476" t="s">
        <v>69</v>
      </c>
      <c r="P476" t="str">
        <f>"2170725573                    "</f>
        <v xml:space="preserve">2170725573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5.89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G476">
        <v>0</v>
      </c>
      <c r="BH476">
        <v>1</v>
      </c>
      <c r="BI476">
        <v>1</v>
      </c>
      <c r="BJ476">
        <v>0.2</v>
      </c>
      <c r="BK476">
        <v>1</v>
      </c>
      <c r="BL476">
        <v>64.77</v>
      </c>
      <c r="BM476">
        <v>9.7200000000000006</v>
      </c>
      <c r="BN476">
        <v>74.489999999999995</v>
      </c>
      <c r="BO476">
        <v>74.489999999999995</v>
      </c>
      <c r="BQ476" t="s">
        <v>78</v>
      </c>
      <c r="BR476" t="s">
        <v>71</v>
      </c>
      <c r="BS476" s="1">
        <v>43936</v>
      </c>
      <c r="BT476" s="2">
        <v>0.4375</v>
      </c>
      <c r="BU476" t="s">
        <v>224</v>
      </c>
      <c r="BV476" t="s">
        <v>80</v>
      </c>
      <c r="BY476">
        <v>1200</v>
      </c>
      <c r="CC476" t="s">
        <v>222</v>
      </c>
      <c r="CD476">
        <v>2410</v>
      </c>
      <c r="CE476" t="s">
        <v>73</v>
      </c>
      <c r="CF476" s="1">
        <v>43943</v>
      </c>
      <c r="CI476">
        <v>1</v>
      </c>
      <c r="CJ476">
        <v>1</v>
      </c>
      <c r="CK476">
        <v>24</v>
      </c>
      <c r="CL476" t="s">
        <v>74</v>
      </c>
    </row>
    <row r="477" spans="1:90" x14ac:dyDescent="0.25">
      <c r="A477" t="s">
        <v>61</v>
      </c>
      <c r="B477" t="s">
        <v>62</v>
      </c>
      <c r="C477" t="s">
        <v>63</v>
      </c>
      <c r="E477" t="str">
        <f>"FES1162744615"</f>
        <v>FES1162744615</v>
      </c>
      <c r="F477" s="1">
        <v>43935</v>
      </c>
      <c r="G477">
        <v>202010</v>
      </c>
      <c r="H477" t="s">
        <v>64</v>
      </c>
      <c r="I477" t="s">
        <v>65</v>
      </c>
      <c r="J477" t="s">
        <v>66</v>
      </c>
      <c r="K477" t="s">
        <v>67</v>
      </c>
      <c r="L477" t="s">
        <v>151</v>
      </c>
      <c r="M477" t="s">
        <v>152</v>
      </c>
      <c r="N477" t="s">
        <v>560</v>
      </c>
      <c r="O477" t="s">
        <v>69</v>
      </c>
      <c r="P477" t="str">
        <f>"2170731029                    "</f>
        <v xml:space="preserve">2170731029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18.829999999999998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G477">
        <v>0</v>
      </c>
      <c r="BH477">
        <v>1</v>
      </c>
      <c r="BI477">
        <v>8.9</v>
      </c>
      <c r="BJ477">
        <v>4.0999999999999996</v>
      </c>
      <c r="BK477">
        <v>9</v>
      </c>
      <c r="BL477">
        <v>207.14</v>
      </c>
      <c r="BM477">
        <v>31.07</v>
      </c>
      <c r="BN477">
        <v>238.21</v>
      </c>
      <c r="BO477">
        <v>238.21</v>
      </c>
      <c r="BQ477" t="s">
        <v>70</v>
      </c>
      <c r="BR477" t="s">
        <v>71</v>
      </c>
      <c r="BS477" t="s">
        <v>72</v>
      </c>
      <c r="BY477">
        <v>20338.5</v>
      </c>
      <c r="CC477" t="s">
        <v>152</v>
      </c>
      <c r="CD477">
        <v>3201</v>
      </c>
      <c r="CE477" t="s">
        <v>91</v>
      </c>
      <c r="CI477">
        <v>1</v>
      </c>
      <c r="CJ477" t="s">
        <v>72</v>
      </c>
      <c r="CK477">
        <v>21</v>
      </c>
      <c r="CL477" t="s">
        <v>74</v>
      </c>
    </row>
    <row r="478" spans="1:90" x14ac:dyDescent="0.25">
      <c r="A478" t="s">
        <v>61</v>
      </c>
      <c r="B478" t="s">
        <v>62</v>
      </c>
      <c r="C478" t="s">
        <v>63</v>
      </c>
      <c r="E478" t="str">
        <f>"FES1162744669"</f>
        <v>FES1162744669</v>
      </c>
      <c r="F478" s="1">
        <v>43935</v>
      </c>
      <c r="G478">
        <v>202010</v>
      </c>
      <c r="H478" t="s">
        <v>64</v>
      </c>
      <c r="I478" t="s">
        <v>65</v>
      </c>
      <c r="J478" t="s">
        <v>66</v>
      </c>
      <c r="K478" t="s">
        <v>67</v>
      </c>
      <c r="L478" t="s">
        <v>120</v>
      </c>
      <c r="M478" t="s">
        <v>121</v>
      </c>
      <c r="N478" t="s">
        <v>716</v>
      </c>
      <c r="O478" t="s">
        <v>69</v>
      </c>
      <c r="P478" t="str">
        <f>"2170734039                    "</f>
        <v xml:space="preserve">2170734039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4.1900000000000004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G478">
        <v>0</v>
      </c>
      <c r="BH478">
        <v>1</v>
      </c>
      <c r="BI478">
        <v>1</v>
      </c>
      <c r="BJ478">
        <v>0.2</v>
      </c>
      <c r="BK478">
        <v>1</v>
      </c>
      <c r="BL478">
        <v>46.06</v>
      </c>
      <c r="BM478">
        <v>6.91</v>
      </c>
      <c r="BN478">
        <v>52.97</v>
      </c>
      <c r="BO478">
        <v>52.97</v>
      </c>
      <c r="BQ478" t="s">
        <v>70</v>
      </c>
      <c r="BR478" t="s">
        <v>71</v>
      </c>
      <c r="BS478" s="1">
        <v>43938</v>
      </c>
      <c r="BT478" s="2">
        <v>0.64236111111111105</v>
      </c>
      <c r="BU478" t="s">
        <v>717</v>
      </c>
      <c r="BV478" t="s">
        <v>74</v>
      </c>
      <c r="BW478" t="s">
        <v>85</v>
      </c>
      <c r="BX478" t="s">
        <v>128</v>
      </c>
      <c r="BY478">
        <v>1200</v>
      </c>
      <c r="CA478" t="s">
        <v>172</v>
      </c>
      <c r="CC478" t="s">
        <v>121</v>
      </c>
      <c r="CD478">
        <v>4001</v>
      </c>
      <c r="CE478" t="s">
        <v>73</v>
      </c>
      <c r="CF478" s="1">
        <v>43941</v>
      </c>
      <c r="CI478">
        <v>1</v>
      </c>
      <c r="CJ478">
        <v>3</v>
      </c>
      <c r="CK478">
        <v>21</v>
      </c>
      <c r="CL478" t="s">
        <v>74</v>
      </c>
    </row>
    <row r="479" spans="1:90" x14ac:dyDescent="0.25">
      <c r="A479" t="s">
        <v>61</v>
      </c>
      <c r="B479" t="s">
        <v>62</v>
      </c>
      <c r="C479" t="s">
        <v>63</v>
      </c>
      <c r="E479" t="str">
        <f>"FES1162744733"</f>
        <v>FES1162744733</v>
      </c>
      <c r="F479" s="1">
        <v>43935</v>
      </c>
      <c r="G479">
        <v>202010</v>
      </c>
      <c r="H479" t="s">
        <v>64</v>
      </c>
      <c r="I479" t="s">
        <v>65</v>
      </c>
      <c r="J479" t="s">
        <v>66</v>
      </c>
      <c r="K479" t="s">
        <v>67</v>
      </c>
      <c r="L479" t="s">
        <v>151</v>
      </c>
      <c r="M479" t="s">
        <v>152</v>
      </c>
      <c r="N479" t="s">
        <v>414</v>
      </c>
      <c r="O479" t="s">
        <v>69</v>
      </c>
      <c r="P479" t="str">
        <f>"2170735989                    "</f>
        <v xml:space="preserve">2170735989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4.1900000000000004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G479">
        <v>0</v>
      </c>
      <c r="BH479">
        <v>1</v>
      </c>
      <c r="BI479">
        <v>1</v>
      </c>
      <c r="BJ479">
        <v>0.2</v>
      </c>
      <c r="BK479">
        <v>1</v>
      </c>
      <c r="BL479">
        <v>46.06</v>
      </c>
      <c r="BM479">
        <v>6.91</v>
      </c>
      <c r="BN479">
        <v>52.97</v>
      </c>
      <c r="BO479">
        <v>52.97</v>
      </c>
      <c r="BQ479" t="s">
        <v>78</v>
      </c>
      <c r="BR479" t="s">
        <v>71</v>
      </c>
      <c r="BS479" t="s">
        <v>72</v>
      </c>
      <c r="BY479">
        <v>1200</v>
      </c>
      <c r="CC479" t="s">
        <v>152</v>
      </c>
      <c r="CD479">
        <v>3201</v>
      </c>
      <c r="CE479" t="s">
        <v>73</v>
      </c>
      <c r="CI479">
        <v>1</v>
      </c>
      <c r="CJ479" t="s">
        <v>72</v>
      </c>
      <c r="CK479">
        <v>21</v>
      </c>
      <c r="CL479" t="s">
        <v>74</v>
      </c>
    </row>
    <row r="480" spans="1:90" x14ac:dyDescent="0.25">
      <c r="A480" t="s">
        <v>61</v>
      </c>
      <c r="B480" t="s">
        <v>62</v>
      </c>
      <c r="C480" t="s">
        <v>63</v>
      </c>
      <c r="E480" t="str">
        <f>"FES1162744746"</f>
        <v>FES1162744746</v>
      </c>
      <c r="F480" s="1">
        <v>43935</v>
      </c>
      <c r="G480">
        <v>202010</v>
      </c>
      <c r="H480" t="s">
        <v>64</v>
      </c>
      <c r="I480" t="s">
        <v>65</v>
      </c>
      <c r="J480" t="s">
        <v>66</v>
      </c>
      <c r="K480" t="s">
        <v>67</v>
      </c>
      <c r="L480" t="s">
        <v>120</v>
      </c>
      <c r="M480" t="s">
        <v>121</v>
      </c>
      <c r="N480" t="s">
        <v>130</v>
      </c>
      <c r="O480" t="s">
        <v>69</v>
      </c>
      <c r="P480" t="str">
        <f>"2170733781                    "</f>
        <v xml:space="preserve">2170733781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4.1900000000000004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G480">
        <v>0</v>
      </c>
      <c r="BH480">
        <v>1</v>
      </c>
      <c r="BI480">
        <v>1</v>
      </c>
      <c r="BJ480">
        <v>0.2</v>
      </c>
      <c r="BK480">
        <v>1</v>
      </c>
      <c r="BL480">
        <v>46.06</v>
      </c>
      <c r="BM480">
        <v>6.91</v>
      </c>
      <c r="BN480">
        <v>52.97</v>
      </c>
      <c r="BO480">
        <v>52.97</v>
      </c>
      <c r="BQ480" t="s">
        <v>78</v>
      </c>
      <c r="BR480" t="s">
        <v>71</v>
      </c>
      <c r="BS480" s="1">
        <v>43936</v>
      </c>
      <c r="BT480" s="2">
        <v>0.45833333333333331</v>
      </c>
      <c r="BU480" t="s">
        <v>740</v>
      </c>
      <c r="BV480" t="s">
        <v>74</v>
      </c>
      <c r="BW480" t="s">
        <v>85</v>
      </c>
      <c r="BX480" t="s">
        <v>128</v>
      </c>
      <c r="BY480">
        <v>1200</v>
      </c>
      <c r="CA480" t="s">
        <v>741</v>
      </c>
      <c r="CC480" t="s">
        <v>121</v>
      </c>
      <c r="CD480">
        <v>4051</v>
      </c>
      <c r="CE480" t="s">
        <v>73</v>
      </c>
      <c r="CF480" s="1">
        <v>43937</v>
      </c>
      <c r="CI480">
        <v>1</v>
      </c>
      <c r="CJ480">
        <v>1</v>
      </c>
      <c r="CK480">
        <v>21</v>
      </c>
      <c r="CL480" t="s">
        <v>74</v>
      </c>
    </row>
    <row r="481" spans="1:90" x14ac:dyDescent="0.25">
      <c r="A481" t="s">
        <v>61</v>
      </c>
      <c r="B481" t="s">
        <v>62</v>
      </c>
      <c r="C481" t="s">
        <v>63</v>
      </c>
      <c r="E481" t="str">
        <f>"FES1162744683"</f>
        <v>FES1162744683</v>
      </c>
      <c r="F481" s="1">
        <v>43935</v>
      </c>
      <c r="G481">
        <v>202010</v>
      </c>
      <c r="H481" t="s">
        <v>64</v>
      </c>
      <c r="I481" t="s">
        <v>65</v>
      </c>
      <c r="J481" t="s">
        <v>66</v>
      </c>
      <c r="K481" t="s">
        <v>67</v>
      </c>
      <c r="L481" t="s">
        <v>194</v>
      </c>
      <c r="M481" t="s">
        <v>195</v>
      </c>
      <c r="N481" t="s">
        <v>196</v>
      </c>
      <c r="O481" t="s">
        <v>69</v>
      </c>
      <c r="P481" t="str">
        <f>"2170735932                    "</f>
        <v xml:space="preserve">2170735932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8.11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G481">
        <v>0</v>
      </c>
      <c r="BH481">
        <v>1</v>
      </c>
      <c r="BI481">
        <v>1</v>
      </c>
      <c r="BJ481">
        <v>0.2</v>
      </c>
      <c r="BK481">
        <v>1</v>
      </c>
      <c r="BL481">
        <v>89.23</v>
      </c>
      <c r="BM481">
        <v>13.38</v>
      </c>
      <c r="BN481">
        <v>102.61</v>
      </c>
      <c r="BO481">
        <v>102.61</v>
      </c>
      <c r="BQ481" t="s">
        <v>70</v>
      </c>
      <c r="BR481" t="s">
        <v>71</v>
      </c>
      <c r="BS481" s="1">
        <v>43936</v>
      </c>
      <c r="BT481" s="2">
        <v>0.39583333333333331</v>
      </c>
      <c r="BU481" t="s">
        <v>253</v>
      </c>
      <c r="BV481" t="s">
        <v>80</v>
      </c>
      <c r="BY481">
        <v>1200</v>
      </c>
      <c r="CA481" t="s">
        <v>550</v>
      </c>
      <c r="CC481" t="s">
        <v>195</v>
      </c>
      <c r="CD481">
        <v>9880</v>
      </c>
      <c r="CE481" t="s">
        <v>73</v>
      </c>
      <c r="CI481">
        <v>1</v>
      </c>
      <c r="CJ481">
        <v>1</v>
      </c>
      <c r="CK481">
        <v>23</v>
      </c>
      <c r="CL481" t="s">
        <v>74</v>
      </c>
    </row>
    <row r="482" spans="1:90" x14ac:dyDescent="0.25">
      <c r="A482" t="s">
        <v>61</v>
      </c>
      <c r="B482" t="s">
        <v>62</v>
      </c>
      <c r="C482" t="s">
        <v>63</v>
      </c>
      <c r="E482" t="str">
        <f>"FES1162744752"</f>
        <v>FES1162744752</v>
      </c>
      <c r="F482" s="1">
        <v>43935</v>
      </c>
      <c r="G482">
        <v>202010</v>
      </c>
      <c r="H482" t="s">
        <v>64</v>
      </c>
      <c r="I482" t="s">
        <v>65</v>
      </c>
      <c r="J482" t="s">
        <v>66</v>
      </c>
      <c r="K482" t="s">
        <v>67</v>
      </c>
      <c r="L482" t="s">
        <v>120</v>
      </c>
      <c r="M482" t="s">
        <v>121</v>
      </c>
      <c r="N482" t="s">
        <v>278</v>
      </c>
      <c r="O482" t="s">
        <v>69</v>
      </c>
      <c r="P482" t="str">
        <f>"2170736003                    "</f>
        <v xml:space="preserve">2170736003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4.1900000000000004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G482">
        <v>0</v>
      </c>
      <c r="BH482">
        <v>1</v>
      </c>
      <c r="BI482">
        <v>1</v>
      </c>
      <c r="BJ482">
        <v>0.2</v>
      </c>
      <c r="BK482">
        <v>1</v>
      </c>
      <c r="BL482">
        <v>46.06</v>
      </c>
      <c r="BM482">
        <v>6.91</v>
      </c>
      <c r="BN482">
        <v>52.97</v>
      </c>
      <c r="BO482">
        <v>52.97</v>
      </c>
      <c r="BQ482" t="s">
        <v>70</v>
      </c>
      <c r="BR482" t="s">
        <v>71</v>
      </c>
      <c r="BS482" t="s">
        <v>72</v>
      </c>
      <c r="BY482">
        <v>1200</v>
      </c>
      <c r="CC482" t="s">
        <v>121</v>
      </c>
      <c r="CD482">
        <v>4001</v>
      </c>
      <c r="CE482" t="s">
        <v>73</v>
      </c>
      <c r="CI482">
        <v>1</v>
      </c>
      <c r="CJ482" t="s">
        <v>72</v>
      </c>
      <c r="CK482">
        <v>21</v>
      </c>
      <c r="CL482" t="s">
        <v>74</v>
      </c>
    </row>
    <row r="483" spans="1:90" x14ac:dyDescent="0.25">
      <c r="A483" t="s">
        <v>61</v>
      </c>
      <c r="B483" t="s">
        <v>62</v>
      </c>
      <c r="C483" t="s">
        <v>63</v>
      </c>
      <c r="E483" t="str">
        <f>"FES1162744760"</f>
        <v>FES1162744760</v>
      </c>
      <c r="F483" s="1">
        <v>43935</v>
      </c>
      <c r="G483">
        <v>202010</v>
      </c>
      <c r="H483" t="s">
        <v>64</v>
      </c>
      <c r="I483" t="s">
        <v>65</v>
      </c>
      <c r="J483" t="s">
        <v>66</v>
      </c>
      <c r="K483" t="s">
        <v>67</v>
      </c>
      <c r="L483" t="s">
        <v>225</v>
      </c>
      <c r="M483" t="s">
        <v>226</v>
      </c>
      <c r="N483" t="s">
        <v>620</v>
      </c>
      <c r="O483" t="s">
        <v>69</v>
      </c>
      <c r="P483" t="str">
        <f>"2170736013                    "</f>
        <v xml:space="preserve">2170736013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8.11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G483">
        <v>0</v>
      </c>
      <c r="BH483">
        <v>1</v>
      </c>
      <c r="BI483">
        <v>1</v>
      </c>
      <c r="BJ483">
        <v>0.2</v>
      </c>
      <c r="BK483">
        <v>1</v>
      </c>
      <c r="BL483">
        <v>89.23</v>
      </c>
      <c r="BM483">
        <v>13.38</v>
      </c>
      <c r="BN483">
        <v>102.61</v>
      </c>
      <c r="BO483">
        <v>102.61</v>
      </c>
      <c r="BQ483" t="s">
        <v>78</v>
      </c>
      <c r="BR483" t="s">
        <v>71</v>
      </c>
      <c r="BS483" s="1">
        <v>43936</v>
      </c>
      <c r="BT483" s="2">
        <v>0.4375</v>
      </c>
      <c r="BU483" t="s">
        <v>742</v>
      </c>
      <c r="BV483" t="s">
        <v>80</v>
      </c>
      <c r="BY483">
        <v>1200</v>
      </c>
      <c r="CC483" t="s">
        <v>226</v>
      </c>
      <c r="CD483">
        <v>1947</v>
      </c>
      <c r="CE483" t="s">
        <v>73</v>
      </c>
      <c r="CF483" s="1">
        <v>43937</v>
      </c>
      <c r="CI483">
        <v>1</v>
      </c>
      <c r="CJ483">
        <v>1</v>
      </c>
      <c r="CK483">
        <v>23</v>
      </c>
      <c r="CL483" t="s">
        <v>74</v>
      </c>
    </row>
    <row r="484" spans="1:90" x14ac:dyDescent="0.25">
      <c r="A484" t="s">
        <v>61</v>
      </c>
      <c r="B484" t="s">
        <v>62</v>
      </c>
      <c r="C484" t="s">
        <v>63</v>
      </c>
      <c r="E484" t="str">
        <f>"FES1162744735"</f>
        <v>FES1162744735</v>
      </c>
      <c r="F484" s="1">
        <v>43935</v>
      </c>
      <c r="G484">
        <v>202010</v>
      </c>
      <c r="H484" t="s">
        <v>64</v>
      </c>
      <c r="I484" t="s">
        <v>65</v>
      </c>
      <c r="J484" t="s">
        <v>66</v>
      </c>
      <c r="K484" t="s">
        <v>67</v>
      </c>
      <c r="L484" t="s">
        <v>120</v>
      </c>
      <c r="M484" t="s">
        <v>121</v>
      </c>
      <c r="N484" t="s">
        <v>572</v>
      </c>
      <c r="O484" t="s">
        <v>69</v>
      </c>
      <c r="P484" t="str">
        <f>"2170735895                    "</f>
        <v xml:space="preserve">2170735895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35.57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G484">
        <v>0</v>
      </c>
      <c r="BH484">
        <v>1</v>
      </c>
      <c r="BI484">
        <v>16.8</v>
      </c>
      <c r="BJ484">
        <v>11.4</v>
      </c>
      <c r="BK484">
        <v>17</v>
      </c>
      <c r="BL484">
        <v>391.24</v>
      </c>
      <c r="BM484">
        <v>58.69</v>
      </c>
      <c r="BN484">
        <v>449.93</v>
      </c>
      <c r="BO484">
        <v>449.93</v>
      </c>
      <c r="BQ484" t="s">
        <v>78</v>
      </c>
      <c r="BR484" t="s">
        <v>71</v>
      </c>
      <c r="BS484" s="1">
        <v>43936</v>
      </c>
      <c r="BT484" s="2">
        <v>0.47986111111111113</v>
      </c>
      <c r="BU484" t="s">
        <v>573</v>
      </c>
      <c r="BV484" t="s">
        <v>74</v>
      </c>
      <c r="BW484" t="s">
        <v>85</v>
      </c>
      <c r="BX484" t="s">
        <v>128</v>
      </c>
      <c r="BY484">
        <v>56770.42</v>
      </c>
      <c r="CA484" t="s">
        <v>574</v>
      </c>
      <c r="CC484" t="s">
        <v>121</v>
      </c>
      <c r="CD484">
        <v>4051</v>
      </c>
      <c r="CE484" t="s">
        <v>91</v>
      </c>
      <c r="CF484" s="1">
        <v>43937</v>
      </c>
      <c r="CI484">
        <v>1</v>
      </c>
      <c r="CJ484">
        <v>1</v>
      </c>
      <c r="CK484">
        <v>21</v>
      </c>
      <c r="CL484" t="s">
        <v>74</v>
      </c>
    </row>
    <row r="485" spans="1:90" x14ac:dyDescent="0.25">
      <c r="A485" t="s">
        <v>61</v>
      </c>
      <c r="B485" t="s">
        <v>62</v>
      </c>
      <c r="C485" t="s">
        <v>63</v>
      </c>
      <c r="E485" t="str">
        <f>"FES1162744721"</f>
        <v>FES1162744721</v>
      </c>
      <c r="F485" s="1">
        <v>43935</v>
      </c>
      <c r="G485">
        <v>202010</v>
      </c>
      <c r="H485" t="s">
        <v>64</v>
      </c>
      <c r="I485" t="s">
        <v>65</v>
      </c>
      <c r="J485" t="s">
        <v>66</v>
      </c>
      <c r="K485" t="s">
        <v>67</v>
      </c>
      <c r="L485" t="s">
        <v>120</v>
      </c>
      <c r="M485" t="s">
        <v>121</v>
      </c>
      <c r="N485" t="s">
        <v>206</v>
      </c>
      <c r="O485" t="s">
        <v>69</v>
      </c>
      <c r="P485" t="str">
        <f>"2170735979                    "</f>
        <v xml:space="preserve">2170735979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4.1900000000000004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G485">
        <v>0</v>
      </c>
      <c r="BH485">
        <v>1</v>
      </c>
      <c r="BI485">
        <v>0.2</v>
      </c>
      <c r="BJ485">
        <v>0.8</v>
      </c>
      <c r="BK485">
        <v>1</v>
      </c>
      <c r="BL485">
        <v>46.06</v>
      </c>
      <c r="BM485">
        <v>6.91</v>
      </c>
      <c r="BN485">
        <v>52.97</v>
      </c>
      <c r="BO485">
        <v>52.97</v>
      </c>
      <c r="BQ485" t="s">
        <v>78</v>
      </c>
      <c r="BR485" t="s">
        <v>71</v>
      </c>
      <c r="BS485" s="1">
        <v>43936</v>
      </c>
      <c r="BT485" s="2">
        <v>0.45694444444444443</v>
      </c>
      <c r="BU485" t="s">
        <v>743</v>
      </c>
      <c r="BV485" t="s">
        <v>74</v>
      </c>
      <c r="BW485" t="s">
        <v>85</v>
      </c>
      <c r="BX485" t="s">
        <v>128</v>
      </c>
      <c r="BY485">
        <v>3943.49</v>
      </c>
      <c r="CA485" t="s">
        <v>627</v>
      </c>
      <c r="CC485" t="s">
        <v>121</v>
      </c>
      <c r="CD485">
        <v>4094</v>
      </c>
      <c r="CE485" t="s">
        <v>91</v>
      </c>
      <c r="CF485" s="1">
        <v>43937</v>
      </c>
      <c r="CI485">
        <v>1</v>
      </c>
      <c r="CJ485">
        <v>1</v>
      </c>
      <c r="CK485">
        <v>21</v>
      </c>
      <c r="CL485" t="s">
        <v>74</v>
      </c>
    </row>
    <row r="486" spans="1:90" x14ac:dyDescent="0.25">
      <c r="A486" t="s">
        <v>61</v>
      </c>
      <c r="B486" t="s">
        <v>62</v>
      </c>
      <c r="C486" t="s">
        <v>63</v>
      </c>
      <c r="E486" t="str">
        <f>"FES1162744722"</f>
        <v>FES1162744722</v>
      </c>
      <c r="F486" s="1">
        <v>43935</v>
      </c>
      <c r="G486">
        <v>202010</v>
      </c>
      <c r="H486" t="s">
        <v>64</v>
      </c>
      <c r="I486" t="s">
        <v>65</v>
      </c>
      <c r="J486" t="s">
        <v>66</v>
      </c>
      <c r="K486" t="s">
        <v>67</v>
      </c>
      <c r="L486" t="s">
        <v>120</v>
      </c>
      <c r="M486" t="s">
        <v>121</v>
      </c>
      <c r="N486" t="s">
        <v>206</v>
      </c>
      <c r="O486" t="s">
        <v>69</v>
      </c>
      <c r="P486" t="str">
        <f>"2170735980                    "</f>
        <v xml:space="preserve">2170735980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6.28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G486">
        <v>0</v>
      </c>
      <c r="BH486">
        <v>1</v>
      </c>
      <c r="BI486">
        <v>2.9</v>
      </c>
      <c r="BJ486">
        <v>0.9</v>
      </c>
      <c r="BK486">
        <v>3</v>
      </c>
      <c r="BL486">
        <v>69.069999999999993</v>
      </c>
      <c r="BM486">
        <v>10.36</v>
      </c>
      <c r="BN486">
        <v>79.430000000000007</v>
      </c>
      <c r="BO486">
        <v>79.430000000000007</v>
      </c>
      <c r="BQ486" t="s">
        <v>78</v>
      </c>
      <c r="BR486" t="s">
        <v>71</v>
      </c>
      <c r="BS486" s="1">
        <v>43936</v>
      </c>
      <c r="BT486" s="2">
        <v>0.45694444444444443</v>
      </c>
      <c r="BU486" t="s">
        <v>743</v>
      </c>
      <c r="BV486" t="s">
        <v>74</v>
      </c>
      <c r="BW486" t="s">
        <v>85</v>
      </c>
      <c r="BX486" t="s">
        <v>128</v>
      </c>
      <c r="BY486">
        <v>4449.54</v>
      </c>
      <c r="CA486" t="s">
        <v>627</v>
      </c>
      <c r="CC486" t="s">
        <v>121</v>
      </c>
      <c r="CD486">
        <v>4094</v>
      </c>
      <c r="CE486" t="s">
        <v>91</v>
      </c>
      <c r="CF486" s="1">
        <v>43937</v>
      </c>
      <c r="CI486">
        <v>1</v>
      </c>
      <c r="CJ486">
        <v>1</v>
      </c>
      <c r="CK486">
        <v>21</v>
      </c>
      <c r="CL486" t="s">
        <v>74</v>
      </c>
    </row>
    <row r="487" spans="1:90" x14ac:dyDescent="0.25">
      <c r="A487" t="s">
        <v>61</v>
      </c>
      <c r="B487" t="s">
        <v>62</v>
      </c>
      <c r="C487" t="s">
        <v>63</v>
      </c>
      <c r="E487" t="str">
        <f>"FES1162744753"</f>
        <v>FES1162744753</v>
      </c>
      <c r="F487" s="1">
        <v>43935</v>
      </c>
      <c r="G487">
        <v>202010</v>
      </c>
      <c r="H487" t="s">
        <v>64</v>
      </c>
      <c r="I487" t="s">
        <v>65</v>
      </c>
      <c r="J487" t="s">
        <v>66</v>
      </c>
      <c r="K487" t="s">
        <v>67</v>
      </c>
      <c r="L487" t="s">
        <v>104</v>
      </c>
      <c r="M487" t="s">
        <v>105</v>
      </c>
      <c r="N487" t="s">
        <v>744</v>
      </c>
      <c r="O487" t="s">
        <v>69</v>
      </c>
      <c r="P487" t="str">
        <f>"2170735943                    "</f>
        <v xml:space="preserve">2170735943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5.89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G487">
        <v>0</v>
      </c>
      <c r="BH487">
        <v>1</v>
      </c>
      <c r="BI487">
        <v>0.8</v>
      </c>
      <c r="BJ487">
        <v>0.6</v>
      </c>
      <c r="BK487">
        <v>1</v>
      </c>
      <c r="BL487">
        <v>64.77</v>
      </c>
      <c r="BM487">
        <v>9.7200000000000006</v>
      </c>
      <c r="BN487">
        <v>74.489999999999995</v>
      </c>
      <c r="BO487">
        <v>74.489999999999995</v>
      </c>
      <c r="BQ487" t="s">
        <v>78</v>
      </c>
      <c r="BR487" t="s">
        <v>71</v>
      </c>
      <c r="BS487" s="1">
        <v>43936</v>
      </c>
      <c r="BT487" s="2">
        <v>0.34722222222222227</v>
      </c>
      <c r="BU487" t="s">
        <v>745</v>
      </c>
      <c r="BV487" t="s">
        <v>80</v>
      </c>
      <c r="BY487">
        <v>3124.8</v>
      </c>
      <c r="CC487" t="s">
        <v>105</v>
      </c>
      <c r="CD487">
        <v>1759</v>
      </c>
      <c r="CE487" t="s">
        <v>91</v>
      </c>
      <c r="CI487">
        <v>1</v>
      </c>
      <c r="CJ487">
        <v>1</v>
      </c>
      <c r="CK487">
        <v>24</v>
      </c>
      <c r="CL487" t="s">
        <v>74</v>
      </c>
    </row>
    <row r="488" spans="1:90" x14ac:dyDescent="0.25">
      <c r="A488" t="s">
        <v>61</v>
      </c>
      <c r="B488" t="s">
        <v>62</v>
      </c>
      <c r="C488" t="s">
        <v>63</v>
      </c>
      <c r="E488" t="str">
        <f>"FES1162744755"</f>
        <v>FES1162744755</v>
      </c>
      <c r="F488" s="1">
        <v>43935</v>
      </c>
      <c r="G488">
        <v>202010</v>
      </c>
      <c r="H488" t="s">
        <v>64</v>
      </c>
      <c r="I488" t="s">
        <v>65</v>
      </c>
      <c r="J488" t="s">
        <v>66</v>
      </c>
      <c r="K488" t="s">
        <v>67</v>
      </c>
      <c r="L488" t="s">
        <v>146</v>
      </c>
      <c r="M488" t="s">
        <v>147</v>
      </c>
      <c r="N488" t="s">
        <v>341</v>
      </c>
      <c r="O488" t="s">
        <v>69</v>
      </c>
      <c r="P488" t="str">
        <f>"2170735996                    "</f>
        <v xml:space="preserve">2170735996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4.1900000000000004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G488">
        <v>0</v>
      </c>
      <c r="BH488">
        <v>1</v>
      </c>
      <c r="BI488">
        <v>1</v>
      </c>
      <c r="BJ488">
        <v>0.2</v>
      </c>
      <c r="BK488">
        <v>1</v>
      </c>
      <c r="BL488">
        <v>46.06</v>
      </c>
      <c r="BM488">
        <v>6.91</v>
      </c>
      <c r="BN488">
        <v>52.97</v>
      </c>
      <c r="BO488">
        <v>52.97</v>
      </c>
      <c r="BQ488" t="s">
        <v>746</v>
      </c>
      <c r="BR488" t="s">
        <v>71</v>
      </c>
      <c r="BS488" s="1">
        <v>43936</v>
      </c>
      <c r="BT488" s="2">
        <v>0.34097222222222223</v>
      </c>
      <c r="BU488" t="s">
        <v>283</v>
      </c>
      <c r="BV488" t="s">
        <v>80</v>
      </c>
      <c r="BY488">
        <v>1200</v>
      </c>
      <c r="CA488" t="s">
        <v>150</v>
      </c>
      <c r="CC488" t="s">
        <v>147</v>
      </c>
      <c r="CD488">
        <v>6045</v>
      </c>
      <c r="CE488" t="s">
        <v>73</v>
      </c>
      <c r="CF488" s="1">
        <v>43937</v>
      </c>
      <c r="CI488">
        <v>1</v>
      </c>
      <c r="CJ488">
        <v>1</v>
      </c>
      <c r="CK488">
        <v>21</v>
      </c>
      <c r="CL488" t="s">
        <v>74</v>
      </c>
    </row>
    <row r="489" spans="1:90" x14ac:dyDescent="0.25">
      <c r="A489" t="s">
        <v>61</v>
      </c>
      <c r="B489" t="s">
        <v>62</v>
      </c>
      <c r="C489" t="s">
        <v>63</v>
      </c>
      <c r="E489" t="str">
        <f>"FES1162744744"</f>
        <v>FES1162744744</v>
      </c>
      <c r="F489" s="1">
        <v>43935</v>
      </c>
      <c r="G489">
        <v>202010</v>
      </c>
      <c r="H489" t="s">
        <v>64</v>
      </c>
      <c r="I489" t="s">
        <v>65</v>
      </c>
      <c r="J489" t="s">
        <v>66</v>
      </c>
      <c r="K489" t="s">
        <v>67</v>
      </c>
      <c r="L489" t="s">
        <v>92</v>
      </c>
      <c r="M489" t="s">
        <v>93</v>
      </c>
      <c r="N489" t="s">
        <v>295</v>
      </c>
      <c r="O489" t="s">
        <v>69</v>
      </c>
      <c r="P489" t="str">
        <f>"2170735994                    "</f>
        <v xml:space="preserve">2170735994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4.1900000000000004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G489">
        <v>0</v>
      </c>
      <c r="BH489">
        <v>1</v>
      </c>
      <c r="BI489">
        <v>1</v>
      </c>
      <c r="BJ489">
        <v>0.2</v>
      </c>
      <c r="BK489">
        <v>1</v>
      </c>
      <c r="BL489">
        <v>46.06</v>
      </c>
      <c r="BM489">
        <v>6.91</v>
      </c>
      <c r="BN489">
        <v>52.97</v>
      </c>
      <c r="BO489">
        <v>52.97</v>
      </c>
      <c r="BQ489" t="s">
        <v>268</v>
      </c>
      <c r="BR489" t="s">
        <v>71</v>
      </c>
      <c r="BS489" s="1">
        <v>43936</v>
      </c>
      <c r="BT489" s="2">
        <v>0.37777777777777777</v>
      </c>
      <c r="BU489" t="s">
        <v>747</v>
      </c>
      <c r="BV489" t="s">
        <v>80</v>
      </c>
      <c r="BY489">
        <v>1200</v>
      </c>
      <c r="CA489" t="s">
        <v>538</v>
      </c>
      <c r="CC489" t="s">
        <v>93</v>
      </c>
      <c r="CD489">
        <v>7800</v>
      </c>
      <c r="CE489" t="s">
        <v>73</v>
      </c>
      <c r="CF489" s="1">
        <v>43937</v>
      </c>
      <c r="CI489">
        <v>1</v>
      </c>
      <c r="CJ489">
        <v>1</v>
      </c>
      <c r="CK489">
        <v>21</v>
      </c>
      <c r="CL489" t="s">
        <v>74</v>
      </c>
    </row>
    <row r="490" spans="1:90" x14ac:dyDescent="0.25">
      <c r="A490" t="s">
        <v>61</v>
      </c>
      <c r="B490" t="s">
        <v>62</v>
      </c>
      <c r="C490" t="s">
        <v>63</v>
      </c>
      <c r="E490" t="str">
        <f>"FES1162744731"</f>
        <v>FES1162744731</v>
      </c>
      <c r="F490" s="1">
        <v>43935</v>
      </c>
      <c r="G490">
        <v>202010</v>
      </c>
      <c r="H490" t="s">
        <v>64</v>
      </c>
      <c r="I490" t="s">
        <v>65</v>
      </c>
      <c r="J490" t="s">
        <v>66</v>
      </c>
      <c r="K490" t="s">
        <v>67</v>
      </c>
      <c r="L490" t="s">
        <v>120</v>
      </c>
      <c r="M490" t="s">
        <v>121</v>
      </c>
      <c r="N490" t="s">
        <v>572</v>
      </c>
      <c r="O490" t="s">
        <v>69</v>
      </c>
      <c r="P490" t="str">
        <f>"2170735895                    "</f>
        <v xml:space="preserve">2170735895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27.2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G490">
        <v>0</v>
      </c>
      <c r="BH490">
        <v>1</v>
      </c>
      <c r="BI490">
        <v>12.7</v>
      </c>
      <c r="BJ490">
        <v>6</v>
      </c>
      <c r="BK490">
        <v>13</v>
      </c>
      <c r="BL490">
        <v>299.19</v>
      </c>
      <c r="BM490">
        <v>44.88</v>
      </c>
      <c r="BN490">
        <v>344.07</v>
      </c>
      <c r="BO490">
        <v>344.07</v>
      </c>
      <c r="BQ490" t="s">
        <v>78</v>
      </c>
      <c r="BR490" t="s">
        <v>71</v>
      </c>
      <c r="BS490" s="1">
        <v>43936</v>
      </c>
      <c r="BT490" s="2">
        <v>0.47986111111111113</v>
      </c>
      <c r="BU490" t="s">
        <v>573</v>
      </c>
      <c r="BV490" t="s">
        <v>74</v>
      </c>
      <c r="BW490" t="s">
        <v>85</v>
      </c>
      <c r="BX490" t="s">
        <v>128</v>
      </c>
      <c r="BY490">
        <v>30178.62</v>
      </c>
      <c r="CA490" t="s">
        <v>574</v>
      </c>
      <c r="CC490" t="s">
        <v>121</v>
      </c>
      <c r="CD490">
        <v>4051</v>
      </c>
      <c r="CE490" t="s">
        <v>91</v>
      </c>
      <c r="CF490" s="1">
        <v>43937</v>
      </c>
      <c r="CI490">
        <v>1</v>
      </c>
      <c r="CJ490">
        <v>1</v>
      </c>
      <c r="CK490">
        <v>21</v>
      </c>
      <c r="CL490" t="s">
        <v>74</v>
      </c>
    </row>
    <row r="491" spans="1:90" x14ac:dyDescent="0.25">
      <c r="A491" t="s">
        <v>61</v>
      </c>
      <c r="B491" t="s">
        <v>62</v>
      </c>
      <c r="C491" t="s">
        <v>63</v>
      </c>
      <c r="E491" t="str">
        <f>"FES1162744623"</f>
        <v>FES1162744623</v>
      </c>
      <c r="F491" s="1">
        <v>43935</v>
      </c>
      <c r="G491">
        <v>202010</v>
      </c>
      <c r="H491" t="s">
        <v>64</v>
      </c>
      <c r="I491" t="s">
        <v>65</v>
      </c>
      <c r="J491" t="s">
        <v>66</v>
      </c>
      <c r="K491" t="s">
        <v>67</v>
      </c>
      <c r="L491" t="s">
        <v>151</v>
      </c>
      <c r="M491" t="s">
        <v>152</v>
      </c>
      <c r="N491" t="s">
        <v>560</v>
      </c>
      <c r="O491" t="s">
        <v>230</v>
      </c>
      <c r="P491" t="str">
        <f>"2170733760                    "</f>
        <v xml:space="preserve">2170733760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10.54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G491">
        <v>0</v>
      </c>
      <c r="BH491">
        <v>1</v>
      </c>
      <c r="BI491">
        <v>20.6</v>
      </c>
      <c r="BJ491">
        <v>8.1999999999999993</v>
      </c>
      <c r="BK491">
        <v>21</v>
      </c>
      <c r="BL491">
        <v>120.98</v>
      </c>
      <c r="BM491">
        <v>18.149999999999999</v>
      </c>
      <c r="BN491">
        <v>139.13</v>
      </c>
      <c r="BO491">
        <v>139.13</v>
      </c>
      <c r="BQ491" t="s">
        <v>70</v>
      </c>
      <c r="BR491" t="s">
        <v>71</v>
      </c>
      <c r="BS491" t="s">
        <v>72</v>
      </c>
      <c r="BY491">
        <v>41185.65</v>
      </c>
      <c r="CC491" t="s">
        <v>152</v>
      </c>
      <c r="CD491">
        <v>3201</v>
      </c>
      <c r="CE491" t="s">
        <v>91</v>
      </c>
      <c r="CI491">
        <v>1</v>
      </c>
      <c r="CJ491" t="s">
        <v>72</v>
      </c>
      <c r="CK491" t="s">
        <v>379</v>
      </c>
      <c r="CL491" t="s">
        <v>74</v>
      </c>
    </row>
    <row r="492" spans="1:90" x14ac:dyDescent="0.25">
      <c r="A492" t="s">
        <v>61</v>
      </c>
      <c r="B492" t="s">
        <v>62</v>
      </c>
      <c r="C492" t="s">
        <v>63</v>
      </c>
      <c r="E492" t="str">
        <f>"FES1162744694"</f>
        <v>FES1162744694</v>
      </c>
      <c r="F492" s="1">
        <v>43935</v>
      </c>
      <c r="G492">
        <v>202010</v>
      </c>
      <c r="H492" t="s">
        <v>64</v>
      </c>
      <c r="I492" t="s">
        <v>65</v>
      </c>
      <c r="J492" t="s">
        <v>66</v>
      </c>
      <c r="K492" t="s">
        <v>67</v>
      </c>
      <c r="L492" t="s">
        <v>120</v>
      </c>
      <c r="M492" t="s">
        <v>121</v>
      </c>
      <c r="N492" t="s">
        <v>572</v>
      </c>
      <c r="O492" t="s">
        <v>230</v>
      </c>
      <c r="P492" t="str">
        <f>"2170735895                    "</f>
        <v xml:space="preserve">2170735895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9.11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G492">
        <v>0</v>
      </c>
      <c r="BH492">
        <v>2</v>
      </c>
      <c r="BI492">
        <v>27.8</v>
      </c>
      <c r="BJ492">
        <v>12.2</v>
      </c>
      <c r="BK492">
        <v>28</v>
      </c>
      <c r="BL492">
        <v>105.23</v>
      </c>
      <c r="BM492">
        <v>15.78</v>
      </c>
      <c r="BN492">
        <v>121.01</v>
      </c>
      <c r="BO492">
        <v>121.01</v>
      </c>
      <c r="BQ492" t="s">
        <v>78</v>
      </c>
      <c r="BR492" t="s">
        <v>71</v>
      </c>
      <c r="BS492" s="1">
        <v>43936</v>
      </c>
      <c r="BT492" s="2">
        <v>0.48055555555555557</v>
      </c>
      <c r="BU492" t="s">
        <v>573</v>
      </c>
      <c r="BV492" t="s">
        <v>80</v>
      </c>
      <c r="BY492">
        <v>60920.2</v>
      </c>
      <c r="CA492" t="s">
        <v>574</v>
      </c>
      <c r="CC492" t="s">
        <v>121</v>
      </c>
      <c r="CD492">
        <v>4051</v>
      </c>
      <c r="CE492" t="s">
        <v>381</v>
      </c>
      <c r="CF492" s="1">
        <v>43937</v>
      </c>
      <c r="CI492">
        <v>1</v>
      </c>
      <c r="CJ492">
        <v>1</v>
      </c>
      <c r="CK492" t="s">
        <v>748</v>
      </c>
      <c r="CL492" t="s">
        <v>74</v>
      </c>
    </row>
    <row r="493" spans="1:90" x14ac:dyDescent="0.25">
      <c r="A493" t="s">
        <v>61</v>
      </c>
      <c r="B493" t="s">
        <v>62</v>
      </c>
      <c r="C493" t="s">
        <v>63</v>
      </c>
      <c r="E493" t="str">
        <f>"FES1162744612"</f>
        <v>FES1162744612</v>
      </c>
      <c r="F493" s="1">
        <v>43935</v>
      </c>
      <c r="G493">
        <v>202010</v>
      </c>
      <c r="H493" t="s">
        <v>64</v>
      </c>
      <c r="I493" t="s">
        <v>65</v>
      </c>
      <c r="J493" t="s">
        <v>66</v>
      </c>
      <c r="K493" t="s">
        <v>67</v>
      </c>
      <c r="L493" t="s">
        <v>151</v>
      </c>
      <c r="M493" t="s">
        <v>152</v>
      </c>
      <c r="N493" t="s">
        <v>560</v>
      </c>
      <c r="O493" t="s">
        <v>230</v>
      </c>
      <c r="P493" t="str">
        <f>"2170730635                    "</f>
        <v xml:space="preserve">2170730635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37.74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G493">
        <v>0</v>
      </c>
      <c r="BH493">
        <v>1</v>
      </c>
      <c r="BI493">
        <v>91</v>
      </c>
      <c r="BJ493">
        <v>100.4</v>
      </c>
      <c r="BK493">
        <v>101</v>
      </c>
      <c r="BL493">
        <v>420.18</v>
      </c>
      <c r="BM493">
        <v>63.03</v>
      </c>
      <c r="BN493">
        <v>483.21</v>
      </c>
      <c r="BO493">
        <v>483.21</v>
      </c>
      <c r="BQ493" t="s">
        <v>70</v>
      </c>
      <c r="BR493" t="s">
        <v>71</v>
      </c>
      <c r="BS493" t="s">
        <v>72</v>
      </c>
      <c r="BY493">
        <v>502200</v>
      </c>
      <c r="CC493" t="s">
        <v>152</v>
      </c>
      <c r="CD493">
        <v>3201</v>
      </c>
      <c r="CE493" t="s">
        <v>91</v>
      </c>
      <c r="CI493">
        <v>1</v>
      </c>
      <c r="CJ493" t="s">
        <v>72</v>
      </c>
      <c r="CK493" t="s">
        <v>379</v>
      </c>
      <c r="CL493" t="s">
        <v>74</v>
      </c>
    </row>
    <row r="494" spans="1:90" x14ac:dyDescent="0.25">
      <c r="A494" t="s">
        <v>61</v>
      </c>
      <c r="B494" t="s">
        <v>62</v>
      </c>
      <c r="C494" t="s">
        <v>63</v>
      </c>
      <c r="E494" t="str">
        <f>"FES1162744622"</f>
        <v>FES1162744622</v>
      </c>
      <c r="F494" s="1">
        <v>43935</v>
      </c>
      <c r="G494">
        <v>202010</v>
      </c>
      <c r="H494" t="s">
        <v>64</v>
      </c>
      <c r="I494" t="s">
        <v>65</v>
      </c>
      <c r="J494" t="s">
        <v>66</v>
      </c>
      <c r="K494" t="s">
        <v>67</v>
      </c>
      <c r="L494" t="s">
        <v>151</v>
      </c>
      <c r="M494" t="s">
        <v>152</v>
      </c>
      <c r="N494" t="s">
        <v>560</v>
      </c>
      <c r="O494" t="s">
        <v>230</v>
      </c>
      <c r="P494" t="str">
        <f>"2170733759                    "</f>
        <v xml:space="preserve">2170733759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24.82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G494">
        <v>0</v>
      </c>
      <c r="BH494">
        <v>2</v>
      </c>
      <c r="BI494">
        <v>62.6</v>
      </c>
      <c r="BJ494">
        <v>23.7</v>
      </c>
      <c r="BK494">
        <v>63</v>
      </c>
      <c r="BL494">
        <v>278.06</v>
      </c>
      <c r="BM494">
        <v>41.71</v>
      </c>
      <c r="BN494">
        <v>319.77</v>
      </c>
      <c r="BO494">
        <v>319.77</v>
      </c>
      <c r="BQ494" t="s">
        <v>70</v>
      </c>
      <c r="BR494" t="s">
        <v>71</v>
      </c>
      <c r="BS494" t="s">
        <v>72</v>
      </c>
      <c r="BY494">
        <v>118538.6</v>
      </c>
      <c r="CC494" t="s">
        <v>152</v>
      </c>
      <c r="CD494">
        <v>3201</v>
      </c>
      <c r="CE494" t="s">
        <v>381</v>
      </c>
      <c r="CI494">
        <v>1</v>
      </c>
      <c r="CJ494" t="s">
        <v>72</v>
      </c>
      <c r="CK494" t="s">
        <v>379</v>
      </c>
      <c r="CL494" t="s">
        <v>74</v>
      </c>
    </row>
    <row r="495" spans="1:90" x14ac:dyDescent="0.25">
      <c r="A495" t="s">
        <v>61</v>
      </c>
      <c r="B495" t="s">
        <v>62</v>
      </c>
      <c r="C495" t="s">
        <v>63</v>
      </c>
      <c r="E495" t="str">
        <f>"FES1162744771"</f>
        <v>FES1162744771</v>
      </c>
      <c r="F495" s="1">
        <v>43936</v>
      </c>
      <c r="G495">
        <v>202010</v>
      </c>
      <c r="H495" t="s">
        <v>64</v>
      </c>
      <c r="I495" t="s">
        <v>65</v>
      </c>
      <c r="J495" t="s">
        <v>66</v>
      </c>
      <c r="K495" t="s">
        <v>67</v>
      </c>
      <c r="L495" t="s">
        <v>168</v>
      </c>
      <c r="M495" t="s">
        <v>169</v>
      </c>
      <c r="N495" t="s">
        <v>170</v>
      </c>
      <c r="O495" t="s">
        <v>69</v>
      </c>
      <c r="P495" t="str">
        <f>"2170736025                    "</f>
        <v xml:space="preserve">2170736025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4.1900000000000004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G495">
        <v>0</v>
      </c>
      <c r="BH495">
        <v>1</v>
      </c>
      <c r="BI495">
        <v>1</v>
      </c>
      <c r="BJ495">
        <v>0.2</v>
      </c>
      <c r="BK495">
        <v>1</v>
      </c>
      <c r="BL495">
        <v>46.06</v>
      </c>
      <c r="BM495">
        <v>6.91</v>
      </c>
      <c r="BN495">
        <v>52.97</v>
      </c>
      <c r="BO495">
        <v>52.97</v>
      </c>
      <c r="BQ495" t="s">
        <v>78</v>
      </c>
      <c r="BR495" t="s">
        <v>71</v>
      </c>
      <c r="BS495" s="1">
        <v>43937</v>
      </c>
      <c r="BT495" s="2">
        <v>0.47916666666666669</v>
      </c>
      <c r="BU495" t="s">
        <v>171</v>
      </c>
      <c r="BV495" t="s">
        <v>74</v>
      </c>
      <c r="BW495" t="s">
        <v>85</v>
      </c>
      <c r="BX495" t="s">
        <v>128</v>
      </c>
      <c r="BY495">
        <v>1200</v>
      </c>
      <c r="CA495" t="s">
        <v>172</v>
      </c>
      <c r="CC495" t="s">
        <v>169</v>
      </c>
      <c r="CD495">
        <v>4026</v>
      </c>
      <c r="CE495" t="s">
        <v>73</v>
      </c>
      <c r="CF495" s="1">
        <v>43938</v>
      </c>
      <c r="CI495">
        <v>1</v>
      </c>
      <c r="CJ495">
        <v>1</v>
      </c>
      <c r="CK495">
        <v>21</v>
      </c>
      <c r="CL495" t="s">
        <v>74</v>
      </c>
    </row>
    <row r="496" spans="1:90" x14ac:dyDescent="0.25">
      <c r="A496" t="s">
        <v>61</v>
      </c>
      <c r="B496" t="s">
        <v>62</v>
      </c>
      <c r="C496" t="s">
        <v>63</v>
      </c>
      <c r="E496" t="str">
        <f>"FES1162744767"</f>
        <v>FES1162744767</v>
      </c>
      <c r="F496" s="1">
        <v>43936</v>
      </c>
      <c r="G496">
        <v>202010</v>
      </c>
      <c r="H496" t="s">
        <v>64</v>
      </c>
      <c r="I496" t="s">
        <v>65</v>
      </c>
      <c r="J496" t="s">
        <v>66</v>
      </c>
      <c r="K496" t="s">
        <v>67</v>
      </c>
      <c r="L496" t="s">
        <v>225</v>
      </c>
      <c r="M496" t="s">
        <v>226</v>
      </c>
      <c r="N496" t="s">
        <v>227</v>
      </c>
      <c r="O496" t="s">
        <v>69</v>
      </c>
      <c r="P496" t="str">
        <f>"2170735916                    "</f>
        <v xml:space="preserve">2170735916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8.11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G496">
        <v>0</v>
      </c>
      <c r="BH496">
        <v>1</v>
      </c>
      <c r="BI496">
        <v>1</v>
      </c>
      <c r="BJ496">
        <v>0.2</v>
      </c>
      <c r="BK496">
        <v>1</v>
      </c>
      <c r="BL496">
        <v>89.23</v>
      </c>
      <c r="BM496">
        <v>13.38</v>
      </c>
      <c r="BN496">
        <v>102.61</v>
      </c>
      <c r="BO496">
        <v>102.61</v>
      </c>
      <c r="BQ496" t="s">
        <v>78</v>
      </c>
      <c r="BR496" t="s">
        <v>71</v>
      </c>
      <c r="BS496" s="1">
        <v>43937</v>
      </c>
      <c r="BT496" s="2">
        <v>0.4375</v>
      </c>
      <c r="BU496" t="s">
        <v>749</v>
      </c>
      <c r="BV496" t="s">
        <v>80</v>
      </c>
      <c r="BY496">
        <v>1200</v>
      </c>
      <c r="CC496" t="s">
        <v>226</v>
      </c>
      <c r="CD496">
        <v>1947</v>
      </c>
      <c r="CE496" t="s">
        <v>73</v>
      </c>
      <c r="CF496" s="1">
        <v>43938</v>
      </c>
      <c r="CI496">
        <v>1</v>
      </c>
      <c r="CJ496">
        <v>1</v>
      </c>
      <c r="CK496">
        <v>23</v>
      </c>
      <c r="CL496" t="s">
        <v>74</v>
      </c>
    </row>
    <row r="497" spans="1:90" x14ac:dyDescent="0.25">
      <c r="A497" t="s">
        <v>61</v>
      </c>
      <c r="B497" t="s">
        <v>62</v>
      </c>
      <c r="C497" t="s">
        <v>63</v>
      </c>
      <c r="E497" t="str">
        <f>"FES1162744799"</f>
        <v>FES1162744799</v>
      </c>
      <c r="F497" s="1">
        <v>43936</v>
      </c>
      <c r="G497">
        <v>202010</v>
      </c>
      <c r="H497" t="s">
        <v>64</v>
      </c>
      <c r="I497" t="s">
        <v>65</v>
      </c>
      <c r="J497" t="s">
        <v>66</v>
      </c>
      <c r="K497" t="s">
        <v>67</v>
      </c>
      <c r="L497" t="s">
        <v>184</v>
      </c>
      <c r="M497" t="s">
        <v>185</v>
      </c>
      <c r="N497" t="s">
        <v>186</v>
      </c>
      <c r="O497" t="s">
        <v>69</v>
      </c>
      <c r="P497" t="str">
        <f>"2170736042                    "</f>
        <v xml:space="preserve">2170736042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8.11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G497">
        <v>0</v>
      </c>
      <c r="BH497">
        <v>1</v>
      </c>
      <c r="BI497">
        <v>1</v>
      </c>
      <c r="BJ497">
        <v>0.2</v>
      </c>
      <c r="BK497">
        <v>1</v>
      </c>
      <c r="BL497">
        <v>89.23</v>
      </c>
      <c r="BM497">
        <v>13.38</v>
      </c>
      <c r="BN497">
        <v>102.61</v>
      </c>
      <c r="BO497">
        <v>102.61</v>
      </c>
      <c r="BQ497" t="s">
        <v>70</v>
      </c>
      <c r="BR497" t="s">
        <v>71</v>
      </c>
      <c r="BS497" s="1">
        <v>43937</v>
      </c>
      <c r="BT497" s="2">
        <v>0.45347222222222222</v>
      </c>
      <c r="BU497" t="s">
        <v>328</v>
      </c>
      <c r="BV497" t="s">
        <v>80</v>
      </c>
      <c r="BY497">
        <v>1200</v>
      </c>
      <c r="CA497" t="s">
        <v>188</v>
      </c>
      <c r="CC497" t="s">
        <v>185</v>
      </c>
      <c r="CD497">
        <v>7130</v>
      </c>
      <c r="CE497" t="s">
        <v>73</v>
      </c>
      <c r="CF497" s="1">
        <v>43938</v>
      </c>
      <c r="CI497">
        <v>1</v>
      </c>
      <c r="CJ497">
        <v>1</v>
      </c>
      <c r="CK497">
        <v>23</v>
      </c>
      <c r="CL497" t="s">
        <v>74</v>
      </c>
    </row>
    <row r="498" spans="1:90" x14ac:dyDescent="0.25">
      <c r="A498" t="s">
        <v>61</v>
      </c>
      <c r="B498" t="s">
        <v>62</v>
      </c>
      <c r="C498" t="s">
        <v>63</v>
      </c>
      <c r="E498" t="str">
        <f>"FES1162744795"</f>
        <v>FES1162744795</v>
      </c>
      <c r="F498" s="1">
        <v>43936</v>
      </c>
      <c r="G498">
        <v>202010</v>
      </c>
      <c r="H498" t="s">
        <v>64</v>
      </c>
      <c r="I498" t="s">
        <v>65</v>
      </c>
      <c r="J498" t="s">
        <v>66</v>
      </c>
      <c r="K498" t="s">
        <v>67</v>
      </c>
      <c r="L498" t="s">
        <v>151</v>
      </c>
      <c r="M498" t="s">
        <v>152</v>
      </c>
      <c r="N498" t="s">
        <v>208</v>
      </c>
      <c r="O498" t="s">
        <v>69</v>
      </c>
      <c r="P498" t="str">
        <f>"2170733275                    "</f>
        <v xml:space="preserve">2170733275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4.1900000000000004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G498">
        <v>0</v>
      </c>
      <c r="BH498">
        <v>1</v>
      </c>
      <c r="BI498">
        <v>1</v>
      </c>
      <c r="BJ498">
        <v>0.2</v>
      </c>
      <c r="BK498">
        <v>1</v>
      </c>
      <c r="BL498">
        <v>46.06</v>
      </c>
      <c r="BM498">
        <v>6.91</v>
      </c>
      <c r="BN498">
        <v>52.97</v>
      </c>
      <c r="BO498">
        <v>52.97</v>
      </c>
      <c r="BQ498" t="s">
        <v>78</v>
      </c>
      <c r="BR498" t="s">
        <v>71</v>
      </c>
      <c r="BS498" s="1">
        <v>43937</v>
      </c>
      <c r="BT498" s="2">
        <v>0.5</v>
      </c>
      <c r="BU498" t="s">
        <v>209</v>
      </c>
      <c r="BV498" t="s">
        <v>74</v>
      </c>
      <c r="BY498">
        <v>1200</v>
      </c>
      <c r="CC498" t="s">
        <v>152</v>
      </c>
      <c r="CD498">
        <v>3201</v>
      </c>
      <c r="CE498" t="s">
        <v>73</v>
      </c>
      <c r="CF498" s="1">
        <v>43941</v>
      </c>
      <c r="CI498">
        <v>1</v>
      </c>
      <c r="CJ498">
        <v>1</v>
      </c>
      <c r="CK498">
        <v>21</v>
      </c>
      <c r="CL498" t="s">
        <v>74</v>
      </c>
    </row>
    <row r="499" spans="1:90" x14ac:dyDescent="0.25">
      <c r="A499" t="s">
        <v>61</v>
      </c>
      <c r="B499" t="s">
        <v>62</v>
      </c>
      <c r="C499" t="s">
        <v>63</v>
      </c>
      <c r="E499" t="str">
        <f>"FES1162744149"</f>
        <v>FES1162744149</v>
      </c>
      <c r="F499" s="1">
        <v>43941</v>
      </c>
      <c r="G499">
        <v>202010</v>
      </c>
      <c r="H499" t="s">
        <v>64</v>
      </c>
      <c r="I499" t="s">
        <v>65</v>
      </c>
      <c r="J499" t="s">
        <v>66</v>
      </c>
      <c r="K499" t="s">
        <v>67</v>
      </c>
      <c r="L499" t="s">
        <v>99</v>
      </c>
      <c r="M499" t="s">
        <v>100</v>
      </c>
      <c r="N499" t="s">
        <v>101</v>
      </c>
      <c r="O499" t="s">
        <v>69</v>
      </c>
      <c r="P499" t="str">
        <f>"2170733547                    "</f>
        <v xml:space="preserve">2170733547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24.6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G499">
        <v>0</v>
      </c>
      <c r="BH499">
        <v>1</v>
      </c>
      <c r="BI499">
        <v>6.4</v>
      </c>
      <c r="BJ499">
        <v>1.3</v>
      </c>
      <c r="BK499">
        <v>6.5</v>
      </c>
      <c r="BL499">
        <v>270.60000000000002</v>
      </c>
      <c r="BM499">
        <v>40.590000000000003</v>
      </c>
      <c r="BN499">
        <v>311.19</v>
      </c>
      <c r="BO499">
        <v>311.19</v>
      </c>
      <c r="BQ499" t="s">
        <v>78</v>
      </c>
      <c r="BR499" t="s">
        <v>71</v>
      </c>
      <c r="BS499" s="1">
        <v>43943</v>
      </c>
      <c r="BT499" s="2">
        <v>0.79652777777777783</v>
      </c>
      <c r="BU499" t="s">
        <v>102</v>
      </c>
      <c r="BV499" t="s">
        <v>80</v>
      </c>
      <c r="BY499">
        <v>6692.4</v>
      </c>
      <c r="CA499" t="s">
        <v>103</v>
      </c>
      <c r="CC499" t="s">
        <v>100</v>
      </c>
      <c r="CD499">
        <v>6849</v>
      </c>
      <c r="CE499" t="s">
        <v>91</v>
      </c>
      <c r="CF499" s="1">
        <v>43951</v>
      </c>
      <c r="CI499">
        <v>3</v>
      </c>
      <c r="CJ499">
        <v>2</v>
      </c>
      <c r="CK499">
        <v>23</v>
      </c>
      <c r="CL499" t="s">
        <v>74</v>
      </c>
    </row>
    <row r="500" spans="1:90" x14ac:dyDescent="0.25">
      <c r="A500" t="s">
        <v>61</v>
      </c>
      <c r="B500" t="s">
        <v>62</v>
      </c>
      <c r="C500" t="s">
        <v>63</v>
      </c>
      <c r="E500" t="str">
        <f>"FES1162744816"</f>
        <v>FES1162744816</v>
      </c>
      <c r="F500" s="1">
        <v>43936</v>
      </c>
      <c r="G500">
        <v>202010</v>
      </c>
      <c r="H500" t="s">
        <v>64</v>
      </c>
      <c r="I500" t="s">
        <v>65</v>
      </c>
      <c r="J500" t="s">
        <v>66</v>
      </c>
      <c r="K500" t="s">
        <v>67</v>
      </c>
      <c r="L500" t="s">
        <v>460</v>
      </c>
      <c r="M500" t="s">
        <v>461</v>
      </c>
      <c r="N500" t="s">
        <v>462</v>
      </c>
      <c r="O500" t="s">
        <v>69</v>
      </c>
      <c r="P500" t="str">
        <f>"2170736056                    "</f>
        <v xml:space="preserve">2170736056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5.89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G500">
        <v>0</v>
      </c>
      <c r="BH500">
        <v>1</v>
      </c>
      <c r="BI500">
        <v>1</v>
      </c>
      <c r="BJ500">
        <v>0.2</v>
      </c>
      <c r="BK500">
        <v>1</v>
      </c>
      <c r="BL500">
        <v>64.77</v>
      </c>
      <c r="BM500">
        <v>9.7200000000000006</v>
      </c>
      <c r="BN500">
        <v>74.489999999999995</v>
      </c>
      <c r="BO500">
        <v>74.489999999999995</v>
      </c>
      <c r="BQ500" t="s">
        <v>78</v>
      </c>
      <c r="BR500" t="s">
        <v>71</v>
      </c>
      <c r="BS500" s="1">
        <v>43937</v>
      </c>
      <c r="BT500" s="2">
        <v>0.4375</v>
      </c>
      <c r="BU500" t="s">
        <v>750</v>
      </c>
      <c r="BV500" t="s">
        <v>80</v>
      </c>
      <c r="BY500">
        <v>1200</v>
      </c>
      <c r="CA500" t="s">
        <v>464</v>
      </c>
      <c r="CC500" t="s">
        <v>461</v>
      </c>
      <c r="CD500">
        <v>1438</v>
      </c>
      <c r="CE500" t="s">
        <v>73</v>
      </c>
      <c r="CI500">
        <v>1</v>
      </c>
      <c r="CJ500">
        <v>1</v>
      </c>
      <c r="CK500">
        <v>24</v>
      </c>
      <c r="CL500" t="s">
        <v>74</v>
      </c>
    </row>
    <row r="501" spans="1:90" x14ac:dyDescent="0.25">
      <c r="A501" t="s">
        <v>61</v>
      </c>
      <c r="B501" t="s">
        <v>62</v>
      </c>
      <c r="C501" t="s">
        <v>63</v>
      </c>
      <c r="E501" t="str">
        <f>"FES1162744883"</f>
        <v>FES1162744883</v>
      </c>
      <c r="F501" s="1">
        <v>43937</v>
      </c>
      <c r="G501">
        <v>202010</v>
      </c>
      <c r="H501" t="s">
        <v>64</v>
      </c>
      <c r="I501" t="s">
        <v>65</v>
      </c>
      <c r="J501" t="s">
        <v>66</v>
      </c>
      <c r="K501" t="s">
        <v>67</v>
      </c>
      <c r="L501" t="s">
        <v>168</v>
      </c>
      <c r="M501" t="s">
        <v>169</v>
      </c>
      <c r="N501" t="s">
        <v>372</v>
      </c>
      <c r="O501" t="s">
        <v>69</v>
      </c>
      <c r="P501" t="str">
        <f>"2170736116                    "</f>
        <v xml:space="preserve">2170736116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6.28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G501">
        <v>0</v>
      </c>
      <c r="BH501">
        <v>1</v>
      </c>
      <c r="BI501">
        <v>2.6</v>
      </c>
      <c r="BJ501">
        <v>1</v>
      </c>
      <c r="BK501">
        <v>3</v>
      </c>
      <c r="BL501">
        <v>69.069999999999993</v>
      </c>
      <c r="BM501">
        <v>10.36</v>
      </c>
      <c r="BN501">
        <v>79.430000000000007</v>
      </c>
      <c r="BO501">
        <v>79.430000000000007</v>
      </c>
      <c r="BQ501" t="s">
        <v>78</v>
      </c>
      <c r="BR501" t="s">
        <v>71</v>
      </c>
      <c r="BS501" s="1">
        <v>43938</v>
      </c>
      <c r="BT501" s="2">
        <v>0.64444444444444449</v>
      </c>
      <c r="BU501" t="s">
        <v>751</v>
      </c>
      <c r="BV501" t="s">
        <v>80</v>
      </c>
      <c r="BY501">
        <v>4791.96</v>
      </c>
      <c r="CA501" t="s">
        <v>172</v>
      </c>
      <c r="CC501" t="s">
        <v>169</v>
      </c>
      <c r="CD501">
        <v>4026</v>
      </c>
      <c r="CE501" t="s">
        <v>91</v>
      </c>
      <c r="CF501" s="1">
        <v>43941</v>
      </c>
      <c r="CI501">
        <v>1</v>
      </c>
      <c r="CJ501">
        <v>0</v>
      </c>
      <c r="CK501">
        <v>21</v>
      </c>
      <c r="CL501" t="s">
        <v>74</v>
      </c>
    </row>
    <row r="502" spans="1:90" x14ac:dyDescent="0.25">
      <c r="A502" t="s">
        <v>61</v>
      </c>
      <c r="B502" t="s">
        <v>62</v>
      </c>
      <c r="C502" t="s">
        <v>63</v>
      </c>
      <c r="E502" t="str">
        <f>"FES1162743965"</f>
        <v>FES1162743965</v>
      </c>
      <c r="F502" s="1">
        <v>43937</v>
      </c>
      <c r="G502">
        <v>202010</v>
      </c>
      <c r="H502" t="s">
        <v>64</v>
      </c>
      <c r="I502" t="s">
        <v>65</v>
      </c>
      <c r="J502" t="s">
        <v>66</v>
      </c>
      <c r="K502" t="s">
        <v>67</v>
      </c>
      <c r="L502" t="s">
        <v>151</v>
      </c>
      <c r="M502" t="s">
        <v>152</v>
      </c>
      <c r="N502" t="s">
        <v>208</v>
      </c>
      <c r="O502" t="s">
        <v>69</v>
      </c>
      <c r="P502" t="str">
        <f>"2170733988                    "</f>
        <v xml:space="preserve">2170733988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4.1900000000000004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G502">
        <v>0</v>
      </c>
      <c r="BH502">
        <v>1</v>
      </c>
      <c r="BI502">
        <v>1</v>
      </c>
      <c r="BJ502">
        <v>0.2</v>
      </c>
      <c r="BK502">
        <v>1</v>
      </c>
      <c r="BL502">
        <v>46.06</v>
      </c>
      <c r="BM502">
        <v>6.91</v>
      </c>
      <c r="BN502">
        <v>52.97</v>
      </c>
      <c r="BO502">
        <v>52.97</v>
      </c>
      <c r="BQ502" t="s">
        <v>78</v>
      </c>
      <c r="BR502" t="s">
        <v>71</v>
      </c>
      <c r="BS502" s="1">
        <v>43938</v>
      </c>
      <c r="BT502" s="2">
        <v>0.4375</v>
      </c>
      <c r="BU502" t="s">
        <v>752</v>
      </c>
      <c r="BV502" t="s">
        <v>80</v>
      </c>
      <c r="BY502">
        <v>1200</v>
      </c>
      <c r="CC502" t="s">
        <v>152</v>
      </c>
      <c r="CD502">
        <v>3201</v>
      </c>
      <c r="CE502" t="s">
        <v>73</v>
      </c>
      <c r="CF502" s="1">
        <v>43941</v>
      </c>
      <c r="CI502">
        <v>1</v>
      </c>
      <c r="CJ502">
        <v>1</v>
      </c>
      <c r="CK502">
        <v>21</v>
      </c>
      <c r="CL502" t="s">
        <v>74</v>
      </c>
    </row>
    <row r="503" spans="1:90" x14ac:dyDescent="0.25">
      <c r="A503" t="s">
        <v>61</v>
      </c>
      <c r="B503" t="s">
        <v>62</v>
      </c>
      <c r="C503" t="s">
        <v>63</v>
      </c>
      <c r="E503" t="str">
        <f>"FES1162744861"</f>
        <v>FES1162744861</v>
      </c>
      <c r="F503" s="1">
        <v>43937</v>
      </c>
      <c r="G503">
        <v>202010</v>
      </c>
      <c r="H503" t="s">
        <v>64</v>
      </c>
      <c r="I503" t="s">
        <v>65</v>
      </c>
      <c r="J503" t="s">
        <v>66</v>
      </c>
      <c r="K503" t="s">
        <v>67</v>
      </c>
      <c r="L503" t="s">
        <v>120</v>
      </c>
      <c r="M503" t="s">
        <v>121</v>
      </c>
      <c r="N503" t="s">
        <v>278</v>
      </c>
      <c r="O503" t="s">
        <v>69</v>
      </c>
      <c r="P503" t="str">
        <f>"2170736098                    "</f>
        <v xml:space="preserve">2170736098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4.1900000000000004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G503">
        <v>0</v>
      </c>
      <c r="BH503">
        <v>1</v>
      </c>
      <c r="BI503">
        <v>1</v>
      </c>
      <c r="BJ503">
        <v>0.2</v>
      </c>
      <c r="BK503">
        <v>1</v>
      </c>
      <c r="BL503">
        <v>46.06</v>
      </c>
      <c r="BM503">
        <v>6.91</v>
      </c>
      <c r="BN503">
        <v>52.97</v>
      </c>
      <c r="BO503">
        <v>52.97</v>
      </c>
      <c r="BQ503" t="s">
        <v>70</v>
      </c>
      <c r="BR503" t="s">
        <v>71</v>
      </c>
      <c r="BS503" s="1">
        <v>43938</v>
      </c>
      <c r="BT503" s="2">
        <v>0.54861111111111105</v>
      </c>
      <c r="BU503" t="s">
        <v>753</v>
      </c>
      <c r="BV503" t="s">
        <v>74</v>
      </c>
      <c r="BW503" t="s">
        <v>85</v>
      </c>
      <c r="BX503" t="s">
        <v>128</v>
      </c>
      <c r="BY503">
        <v>1200</v>
      </c>
      <c r="CA503" t="s">
        <v>592</v>
      </c>
      <c r="CC503" t="s">
        <v>121</v>
      </c>
      <c r="CD503">
        <v>4001</v>
      </c>
      <c r="CE503" t="s">
        <v>73</v>
      </c>
      <c r="CF503" s="1">
        <v>43941</v>
      </c>
      <c r="CI503">
        <v>1</v>
      </c>
      <c r="CJ503">
        <v>1</v>
      </c>
      <c r="CK503">
        <v>21</v>
      </c>
      <c r="CL503" t="s">
        <v>74</v>
      </c>
    </row>
    <row r="504" spans="1:90" x14ac:dyDescent="0.25">
      <c r="A504" t="s">
        <v>61</v>
      </c>
      <c r="B504" t="s">
        <v>62</v>
      </c>
      <c r="C504" t="s">
        <v>63</v>
      </c>
      <c r="E504" t="str">
        <f>"FES1162744867"</f>
        <v>FES1162744867</v>
      </c>
      <c r="F504" s="1">
        <v>43937</v>
      </c>
      <c r="G504">
        <v>202010</v>
      </c>
      <c r="H504" t="s">
        <v>64</v>
      </c>
      <c r="I504" t="s">
        <v>65</v>
      </c>
      <c r="J504" t="s">
        <v>66</v>
      </c>
      <c r="K504" t="s">
        <v>67</v>
      </c>
      <c r="L504" t="s">
        <v>81</v>
      </c>
      <c r="M504" t="s">
        <v>82</v>
      </c>
      <c r="N504" t="s">
        <v>83</v>
      </c>
      <c r="O504" t="s">
        <v>69</v>
      </c>
      <c r="P504" t="str">
        <f>"2170736104                    "</f>
        <v xml:space="preserve">2170736104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10.46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G504">
        <v>0</v>
      </c>
      <c r="BH504">
        <v>1</v>
      </c>
      <c r="BI504">
        <v>4.5999999999999996</v>
      </c>
      <c r="BJ504">
        <v>2.4</v>
      </c>
      <c r="BK504">
        <v>5</v>
      </c>
      <c r="BL504">
        <v>115.09</v>
      </c>
      <c r="BM504">
        <v>17.260000000000002</v>
      </c>
      <c r="BN504">
        <v>132.35</v>
      </c>
      <c r="BO504">
        <v>132.35</v>
      </c>
      <c r="BQ504" t="s">
        <v>70</v>
      </c>
      <c r="BR504" t="s">
        <v>71</v>
      </c>
      <c r="BS504" s="1">
        <v>43941</v>
      </c>
      <c r="BT504" s="2">
        <v>0.43402777777777773</v>
      </c>
      <c r="BU504" t="s">
        <v>589</v>
      </c>
      <c r="BV504" t="s">
        <v>74</v>
      </c>
      <c r="BW504" t="s">
        <v>85</v>
      </c>
      <c r="BX504" t="s">
        <v>86</v>
      </c>
      <c r="BY504">
        <v>12184.32</v>
      </c>
      <c r="CC504" t="s">
        <v>82</v>
      </c>
      <c r="CD504">
        <v>9300</v>
      </c>
      <c r="CE504" t="s">
        <v>393</v>
      </c>
      <c r="CF504" s="1">
        <v>43943</v>
      </c>
      <c r="CI504">
        <v>1</v>
      </c>
      <c r="CJ504">
        <v>2</v>
      </c>
      <c r="CK504">
        <v>21</v>
      </c>
      <c r="CL504" t="s">
        <v>74</v>
      </c>
    </row>
    <row r="505" spans="1:90" x14ac:dyDescent="0.25">
      <c r="A505" t="s">
        <v>61</v>
      </c>
      <c r="B505" t="s">
        <v>62</v>
      </c>
      <c r="C505" t="s">
        <v>63</v>
      </c>
      <c r="E505" t="str">
        <f>"FES1162744734"</f>
        <v>FES1162744734</v>
      </c>
      <c r="F505" s="1">
        <v>43936</v>
      </c>
      <c r="G505">
        <v>202010</v>
      </c>
      <c r="H505" t="s">
        <v>64</v>
      </c>
      <c r="I505" t="s">
        <v>65</v>
      </c>
      <c r="J505" t="s">
        <v>66</v>
      </c>
      <c r="K505" t="s">
        <v>67</v>
      </c>
      <c r="L505" t="s">
        <v>116</v>
      </c>
      <c r="M505" t="s">
        <v>117</v>
      </c>
      <c r="N505" t="s">
        <v>118</v>
      </c>
      <c r="O505" t="s">
        <v>69</v>
      </c>
      <c r="P505" t="str">
        <f>"2170732555                    "</f>
        <v xml:space="preserve">2170732555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42.92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G505">
        <v>0</v>
      </c>
      <c r="BH505">
        <v>3</v>
      </c>
      <c r="BI505">
        <v>11.4</v>
      </c>
      <c r="BJ505">
        <v>3.5</v>
      </c>
      <c r="BK505">
        <v>11.5</v>
      </c>
      <c r="BL505">
        <v>472.12</v>
      </c>
      <c r="BM505">
        <v>70.819999999999993</v>
      </c>
      <c r="BN505">
        <v>542.94000000000005</v>
      </c>
      <c r="BO505">
        <v>542.94000000000005</v>
      </c>
      <c r="BQ505" t="s">
        <v>70</v>
      </c>
      <c r="BR505" t="s">
        <v>71</v>
      </c>
      <c r="BS505" s="1">
        <v>43937</v>
      </c>
      <c r="BT505" s="2">
        <v>0.41666666666666669</v>
      </c>
      <c r="BU505" t="s">
        <v>119</v>
      </c>
      <c r="BV505" t="s">
        <v>80</v>
      </c>
      <c r="BY505">
        <v>17647.419999999998</v>
      </c>
      <c r="CC505" t="s">
        <v>117</v>
      </c>
      <c r="CD505">
        <v>7300</v>
      </c>
      <c r="CE505" t="s">
        <v>754</v>
      </c>
      <c r="CF505" s="1">
        <v>43938</v>
      </c>
      <c r="CI505">
        <v>1</v>
      </c>
      <c r="CJ505">
        <v>1</v>
      </c>
      <c r="CK505">
        <v>23</v>
      </c>
      <c r="CL505" t="s">
        <v>74</v>
      </c>
    </row>
    <row r="506" spans="1:90" x14ac:dyDescent="0.25">
      <c r="A506" t="s">
        <v>61</v>
      </c>
      <c r="B506" t="s">
        <v>62</v>
      </c>
      <c r="C506" t="s">
        <v>63</v>
      </c>
      <c r="E506" t="str">
        <f>"FES1162744765"</f>
        <v>FES1162744765</v>
      </c>
      <c r="F506" s="1">
        <v>43936</v>
      </c>
      <c r="G506">
        <v>202010</v>
      </c>
      <c r="H506" t="s">
        <v>64</v>
      </c>
      <c r="I506" t="s">
        <v>65</v>
      </c>
      <c r="J506" t="s">
        <v>66</v>
      </c>
      <c r="K506" t="s">
        <v>67</v>
      </c>
      <c r="L506" t="s">
        <v>120</v>
      </c>
      <c r="M506" t="s">
        <v>121</v>
      </c>
      <c r="N506" t="s">
        <v>278</v>
      </c>
      <c r="O506" t="s">
        <v>69</v>
      </c>
      <c r="P506" t="str">
        <f>"2170735604                    "</f>
        <v xml:space="preserve">2170735604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4.1900000000000004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G506">
        <v>0</v>
      </c>
      <c r="BH506">
        <v>1</v>
      </c>
      <c r="BI506">
        <v>1</v>
      </c>
      <c r="BJ506">
        <v>0.2</v>
      </c>
      <c r="BK506">
        <v>1</v>
      </c>
      <c r="BL506">
        <v>46.06</v>
      </c>
      <c r="BM506">
        <v>6.91</v>
      </c>
      <c r="BN506">
        <v>52.97</v>
      </c>
      <c r="BO506">
        <v>52.97</v>
      </c>
      <c r="BQ506" t="s">
        <v>70</v>
      </c>
      <c r="BR506" t="s">
        <v>71</v>
      </c>
      <c r="BS506" s="1">
        <v>43944</v>
      </c>
      <c r="BT506" s="2">
        <v>0.53888888888888886</v>
      </c>
      <c r="BU506" t="s">
        <v>755</v>
      </c>
      <c r="BV506" t="s">
        <v>74</v>
      </c>
      <c r="BW506" t="s">
        <v>85</v>
      </c>
      <c r="BX506" t="s">
        <v>735</v>
      </c>
      <c r="BY506">
        <v>1200</v>
      </c>
      <c r="CA506" t="s">
        <v>627</v>
      </c>
      <c r="CC506" t="s">
        <v>121</v>
      </c>
      <c r="CD506">
        <v>4001</v>
      </c>
      <c r="CE506" t="s">
        <v>73</v>
      </c>
      <c r="CF506" s="1">
        <v>43945</v>
      </c>
      <c r="CI506">
        <v>1</v>
      </c>
      <c r="CJ506">
        <v>6</v>
      </c>
      <c r="CK506">
        <v>21</v>
      </c>
      <c r="CL506" t="s">
        <v>74</v>
      </c>
    </row>
    <row r="507" spans="1:90" x14ac:dyDescent="0.25">
      <c r="A507" t="s">
        <v>61</v>
      </c>
      <c r="B507" t="s">
        <v>62</v>
      </c>
      <c r="C507" t="s">
        <v>63</v>
      </c>
      <c r="E507" t="str">
        <f>"FES1162744754"</f>
        <v>FES1162744754</v>
      </c>
      <c r="F507" s="1">
        <v>43937</v>
      </c>
      <c r="G507">
        <v>202010</v>
      </c>
      <c r="H507" t="s">
        <v>64</v>
      </c>
      <c r="I507" t="s">
        <v>65</v>
      </c>
      <c r="J507" t="s">
        <v>66</v>
      </c>
      <c r="K507" t="s">
        <v>67</v>
      </c>
      <c r="L507" t="s">
        <v>212</v>
      </c>
      <c r="M507" t="s">
        <v>213</v>
      </c>
      <c r="N507" t="s">
        <v>593</v>
      </c>
      <c r="O507" t="s">
        <v>69</v>
      </c>
      <c r="P507" t="str">
        <f>"2170735988                    "</f>
        <v xml:space="preserve">2170735988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4.1900000000000004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G507">
        <v>0</v>
      </c>
      <c r="BH507">
        <v>1</v>
      </c>
      <c r="BI507">
        <v>1</v>
      </c>
      <c r="BJ507">
        <v>0.2</v>
      </c>
      <c r="BK507">
        <v>1</v>
      </c>
      <c r="BL507">
        <v>46.06</v>
      </c>
      <c r="BM507">
        <v>6.91</v>
      </c>
      <c r="BN507">
        <v>52.97</v>
      </c>
      <c r="BO507">
        <v>52.97</v>
      </c>
      <c r="BQ507" t="s">
        <v>78</v>
      </c>
      <c r="BR507" t="s">
        <v>71</v>
      </c>
      <c r="BS507" s="1">
        <v>43938</v>
      </c>
      <c r="BT507" s="2">
        <v>0.45555555555555555</v>
      </c>
      <c r="BU507" t="s">
        <v>594</v>
      </c>
      <c r="BV507" t="s">
        <v>80</v>
      </c>
      <c r="BY507">
        <v>1200</v>
      </c>
      <c r="CA507" t="s">
        <v>216</v>
      </c>
      <c r="CC507" t="s">
        <v>213</v>
      </c>
      <c r="CD507">
        <v>3610</v>
      </c>
      <c r="CE507" t="s">
        <v>73</v>
      </c>
      <c r="CF507" s="1">
        <v>43941</v>
      </c>
      <c r="CI507">
        <v>1</v>
      </c>
      <c r="CJ507">
        <v>1</v>
      </c>
      <c r="CK507">
        <v>21</v>
      </c>
      <c r="CL507" t="s">
        <v>74</v>
      </c>
    </row>
    <row r="508" spans="1:90" x14ac:dyDescent="0.25">
      <c r="A508" t="s">
        <v>61</v>
      </c>
      <c r="B508" t="s">
        <v>62</v>
      </c>
      <c r="C508" t="s">
        <v>63</v>
      </c>
      <c r="E508" t="str">
        <f>"FES1162744855"</f>
        <v>FES1162744855</v>
      </c>
      <c r="F508" s="1">
        <v>43937</v>
      </c>
      <c r="G508">
        <v>202010</v>
      </c>
      <c r="H508" t="s">
        <v>64</v>
      </c>
      <c r="I508" t="s">
        <v>65</v>
      </c>
      <c r="J508" t="s">
        <v>66</v>
      </c>
      <c r="K508" t="s">
        <v>67</v>
      </c>
      <c r="L508" t="s">
        <v>262</v>
      </c>
      <c r="M508" t="s">
        <v>262</v>
      </c>
      <c r="N508" t="s">
        <v>545</v>
      </c>
      <c r="O508" t="s">
        <v>69</v>
      </c>
      <c r="P508" t="str">
        <f>"2170735749                    "</f>
        <v xml:space="preserve">2170735749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8.11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G508">
        <v>0</v>
      </c>
      <c r="BH508">
        <v>1</v>
      </c>
      <c r="BI508">
        <v>1</v>
      </c>
      <c r="BJ508">
        <v>0.2</v>
      </c>
      <c r="BK508">
        <v>1</v>
      </c>
      <c r="BL508">
        <v>89.23</v>
      </c>
      <c r="BM508">
        <v>13.38</v>
      </c>
      <c r="BN508">
        <v>102.61</v>
      </c>
      <c r="BO508">
        <v>102.61</v>
      </c>
      <c r="BQ508" t="s">
        <v>70</v>
      </c>
      <c r="BR508" t="s">
        <v>71</v>
      </c>
      <c r="BS508" s="1">
        <v>43938</v>
      </c>
      <c r="BT508" s="2">
        <v>0.54375000000000007</v>
      </c>
      <c r="BU508" t="s">
        <v>635</v>
      </c>
      <c r="BV508" t="s">
        <v>74</v>
      </c>
      <c r="BW508" t="s">
        <v>265</v>
      </c>
      <c r="BX508" t="s">
        <v>97</v>
      </c>
      <c r="BY508">
        <v>1200</v>
      </c>
      <c r="CA508" t="s">
        <v>266</v>
      </c>
      <c r="CC508" t="s">
        <v>262</v>
      </c>
      <c r="CD508">
        <v>7646</v>
      </c>
      <c r="CE508" t="s">
        <v>73</v>
      </c>
      <c r="CF508" s="1">
        <v>43941</v>
      </c>
      <c r="CI508">
        <v>1</v>
      </c>
      <c r="CJ508">
        <v>1</v>
      </c>
      <c r="CK508">
        <v>23</v>
      </c>
      <c r="CL508" t="s">
        <v>74</v>
      </c>
    </row>
    <row r="509" spans="1:90" x14ac:dyDescent="0.25">
      <c r="A509" t="s">
        <v>61</v>
      </c>
      <c r="B509" t="s">
        <v>62</v>
      </c>
      <c r="C509" t="s">
        <v>63</v>
      </c>
      <c r="E509" t="str">
        <f>"FES1162744860"</f>
        <v>FES1162744860</v>
      </c>
      <c r="F509" s="1">
        <v>43937</v>
      </c>
      <c r="G509">
        <v>202010</v>
      </c>
      <c r="H509" t="s">
        <v>64</v>
      </c>
      <c r="I509" t="s">
        <v>65</v>
      </c>
      <c r="J509" t="s">
        <v>66</v>
      </c>
      <c r="K509" t="s">
        <v>67</v>
      </c>
      <c r="L509" t="s">
        <v>254</v>
      </c>
      <c r="M509" t="s">
        <v>255</v>
      </c>
      <c r="N509" t="s">
        <v>497</v>
      </c>
      <c r="O509" t="s">
        <v>69</v>
      </c>
      <c r="P509" t="str">
        <f>"2170736096                    "</f>
        <v xml:space="preserve">2170736096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4.1900000000000004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G509">
        <v>0</v>
      </c>
      <c r="BH509">
        <v>1</v>
      </c>
      <c r="BI509">
        <v>1</v>
      </c>
      <c r="BJ509">
        <v>0.2</v>
      </c>
      <c r="BK509">
        <v>1</v>
      </c>
      <c r="BL509">
        <v>46.06</v>
      </c>
      <c r="BM509">
        <v>6.91</v>
      </c>
      <c r="BN509">
        <v>52.97</v>
      </c>
      <c r="BO509">
        <v>52.97</v>
      </c>
      <c r="BQ509" t="s">
        <v>268</v>
      </c>
      <c r="BR509" t="s">
        <v>71</v>
      </c>
      <c r="BS509" s="1">
        <v>43938</v>
      </c>
      <c r="BT509" s="2">
        <v>0.43055555555555558</v>
      </c>
      <c r="BU509" t="s">
        <v>619</v>
      </c>
      <c r="BV509" t="s">
        <v>80</v>
      </c>
      <c r="BY509">
        <v>1200</v>
      </c>
      <c r="CA509" t="s">
        <v>260</v>
      </c>
      <c r="CC509" t="s">
        <v>255</v>
      </c>
      <c r="CD509">
        <v>200</v>
      </c>
      <c r="CE509" t="s">
        <v>73</v>
      </c>
      <c r="CF509" s="1">
        <v>43941</v>
      </c>
      <c r="CI509">
        <v>1</v>
      </c>
      <c r="CJ509">
        <v>1</v>
      </c>
      <c r="CK509">
        <v>21</v>
      </c>
      <c r="CL509" t="s">
        <v>74</v>
      </c>
    </row>
    <row r="510" spans="1:90" x14ac:dyDescent="0.25">
      <c r="A510" t="s">
        <v>61</v>
      </c>
      <c r="B510" t="s">
        <v>62</v>
      </c>
      <c r="C510" t="s">
        <v>63</v>
      </c>
      <c r="E510" t="str">
        <f>"FES1162744788"</f>
        <v>FES1162744788</v>
      </c>
      <c r="F510" s="1">
        <v>43936</v>
      </c>
      <c r="G510">
        <v>202010</v>
      </c>
      <c r="H510" t="s">
        <v>64</v>
      </c>
      <c r="I510" t="s">
        <v>65</v>
      </c>
      <c r="J510" t="s">
        <v>66</v>
      </c>
      <c r="K510" t="s">
        <v>67</v>
      </c>
      <c r="L510" t="s">
        <v>254</v>
      </c>
      <c r="M510" t="s">
        <v>255</v>
      </c>
      <c r="N510" t="s">
        <v>611</v>
      </c>
      <c r="O510" t="s">
        <v>69</v>
      </c>
      <c r="P510" t="str">
        <f>"2170735962                    "</f>
        <v xml:space="preserve">2170735962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4.1900000000000004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G510">
        <v>0</v>
      </c>
      <c r="BH510">
        <v>1</v>
      </c>
      <c r="BI510">
        <v>1</v>
      </c>
      <c r="BJ510">
        <v>0.2</v>
      </c>
      <c r="BK510">
        <v>1</v>
      </c>
      <c r="BL510">
        <v>46.06</v>
      </c>
      <c r="BM510">
        <v>6.91</v>
      </c>
      <c r="BN510">
        <v>52.97</v>
      </c>
      <c r="BO510">
        <v>52.97</v>
      </c>
      <c r="BQ510" t="s">
        <v>109</v>
      </c>
      <c r="BR510" t="s">
        <v>71</v>
      </c>
      <c r="BS510" s="1">
        <v>43937</v>
      </c>
      <c r="BT510" s="2">
        <v>0.41666666666666669</v>
      </c>
      <c r="BU510" t="s">
        <v>756</v>
      </c>
      <c r="BV510" t="s">
        <v>80</v>
      </c>
      <c r="BY510">
        <v>1200</v>
      </c>
      <c r="CC510" t="s">
        <v>255</v>
      </c>
      <c r="CD510">
        <v>157</v>
      </c>
      <c r="CE510" t="s">
        <v>73</v>
      </c>
      <c r="CF510" s="1">
        <v>43938</v>
      </c>
      <c r="CI510">
        <v>1</v>
      </c>
      <c r="CJ510">
        <v>1</v>
      </c>
      <c r="CK510">
        <v>21</v>
      </c>
      <c r="CL510" t="s">
        <v>74</v>
      </c>
    </row>
    <row r="511" spans="1:90" x14ac:dyDescent="0.25">
      <c r="A511" t="s">
        <v>61</v>
      </c>
      <c r="B511" t="s">
        <v>62</v>
      </c>
      <c r="C511" t="s">
        <v>63</v>
      </c>
      <c r="E511" t="str">
        <f>"FES1162744950"</f>
        <v>FES1162744950</v>
      </c>
      <c r="F511" s="1">
        <v>43941</v>
      </c>
      <c r="G511">
        <v>202010</v>
      </c>
      <c r="H511" t="s">
        <v>64</v>
      </c>
      <c r="I511" t="s">
        <v>65</v>
      </c>
      <c r="J511" t="s">
        <v>66</v>
      </c>
      <c r="K511" t="s">
        <v>67</v>
      </c>
      <c r="L511" t="s">
        <v>99</v>
      </c>
      <c r="M511" t="s">
        <v>100</v>
      </c>
      <c r="N511" t="s">
        <v>101</v>
      </c>
      <c r="O511" t="s">
        <v>69</v>
      </c>
      <c r="P511" t="str">
        <f>"2170733091                    "</f>
        <v xml:space="preserve">2170733091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8.11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G511">
        <v>0</v>
      </c>
      <c r="BH511">
        <v>1</v>
      </c>
      <c r="BI511">
        <v>0.2</v>
      </c>
      <c r="BJ511">
        <v>1.8</v>
      </c>
      <c r="BK511">
        <v>2</v>
      </c>
      <c r="BL511">
        <v>89.23</v>
      </c>
      <c r="BM511">
        <v>13.38</v>
      </c>
      <c r="BN511">
        <v>102.61</v>
      </c>
      <c r="BO511">
        <v>102.61</v>
      </c>
      <c r="BQ511" t="s">
        <v>78</v>
      </c>
      <c r="BR511" t="s">
        <v>71</v>
      </c>
      <c r="BS511" s="1">
        <v>43943</v>
      </c>
      <c r="BT511" s="2">
        <v>0.79652777777777783</v>
      </c>
      <c r="BU511" t="s">
        <v>102</v>
      </c>
      <c r="BV511" t="s">
        <v>80</v>
      </c>
      <c r="BY511">
        <v>8785.26</v>
      </c>
      <c r="CA511" t="s">
        <v>103</v>
      </c>
      <c r="CC511" t="s">
        <v>100</v>
      </c>
      <c r="CD511">
        <v>6849</v>
      </c>
      <c r="CE511" t="s">
        <v>73</v>
      </c>
      <c r="CF511" s="1">
        <v>43951</v>
      </c>
      <c r="CI511">
        <v>3</v>
      </c>
      <c r="CJ511">
        <v>2</v>
      </c>
      <c r="CK511">
        <v>23</v>
      </c>
      <c r="CL511" t="s">
        <v>74</v>
      </c>
    </row>
    <row r="512" spans="1:90" x14ac:dyDescent="0.25">
      <c r="A512" t="s">
        <v>61</v>
      </c>
      <c r="B512" t="s">
        <v>62</v>
      </c>
      <c r="C512" t="s">
        <v>63</v>
      </c>
      <c r="E512" t="str">
        <f>"FES1162744763"</f>
        <v>FES1162744763</v>
      </c>
      <c r="F512" s="1">
        <v>43936</v>
      </c>
      <c r="G512">
        <v>202010</v>
      </c>
      <c r="H512" t="s">
        <v>64</v>
      </c>
      <c r="I512" t="s">
        <v>65</v>
      </c>
      <c r="J512" t="s">
        <v>66</v>
      </c>
      <c r="K512" t="s">
        <v>67</v>
      </c>
      <c r="L512" t="s">
        <v>92</v>
      </c>
      <c r="M512" t="s">
        <v>93</v>
      </c>
      <c r="N512" t="s">
        <v>94</v>
      </c>
      <c r="O512" t="s">
        <v>69</v>
      </c>
      <c r="P512" t="str">
        <f>"2170735455                    "</f>
        <v xml:space="preserve">2170735455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4.1900000000000004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G512">
        <v>0</v>
      </c>
      <c r="BH512">
        <v>1</v>
      </c>
      <c r="BI512">
        <v>1</v>
      </c>
      <c r="BJ512">
        <v>0.2</v>
      </c>
      <c r="BK512">
        <v>1</v>
      </c>
      <c r="BL512">
        <v>46.06</v>
      </c>
      <c r="BM512">
        <v>6.91</v>
      </c>
      <c r="BN512">
        <v>52.97</v>
      </c>
      <c r="BO512">
        <v>52.97</v>
      </c>
      <c r="BQ512" t="s">
        <v>70</v>
      </c>
      <c r="BR512" t="s">
        <v>71</v>
      </c>
      <c r="BS512" s="1">
        <v>43937</v>
      </c>
      <c r="BT512" s="2">
        <v>0.4375</v>
      </c>
      <c r="BU512" t="s">
        <v>304</v>
      </c>
      <c r="BV512" t="s">
        <v>80</v>
      </c>
      <c r="BY512">
        <v>1200</v>
      </c>
      <c r="CA512" t="s">
        <v>98</v>
      </c>
      <c r="CC512" t="s">
        <v>93</v>
      </c>
      <c r="CD512">
        <v>7441</v>
      </c>
      <c r="CE512" t="s">
        <v>73</v>
      </c>
      <c r="CF512" s="1">
        <v>43938</v>
      </c>
      <c r="CI512">
        <v>1</v>
      </c>
      <c r="CJ512">
        <v>1</v>
      </c>
      <c r="CK512">
        <v>21</v>
      </c>
      <c r="CL512" t="s">
        <v>74</v>
      </c>
    </row>
    <row r="513" spans="1:90" x14ac:dyDescent="0.25">
      <c r="A513" t="s">
        <v>61</v>
      </c>
      <c r="B513" t="s">
        <v>62</v>
      </c>
      <c r="C513" t="s">
        <v>63</v>
      </c>
      <c r="E513" t="str">
        <f>"FES1162744785"</f>
        <v>FES1162744785</v>
      </c>
      <c r="F513" s="1">
        <v>43936</v>
      </c>
      <c r="G513">
        <v>202010</v>
      </c>
      <c r="H513" t="s">
        <v>64</v>
      </c>
      <c r="I513" t="s">
        <v>65</v>
      </c>
      <c r="J513" t="s">
        <v>66</v>
      </c>
      <c r="K513" t="s">
        <v>67</v>
      </c>
      <c r="L513" t="s">
        <v>120</v>
      </c>
      <c r="M513" t="s">
        <v>121</v>
      </c>
      <c r="N513" t="s">
        <v>210</v>
      </c>
      <c r="O513" t="s">
        <v>69</v>
      </c>
      <c r="P513" t="str">
        <f>"2170733369                    "</f>
        <v xml:space="preserve">2170733369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4.1900000000000004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G513">
        <v>0</v>
      </c>
      <c r="BH513">
        <v>1</v>
      </c>
      <c r="BI513">
        <v>1</v>
      </c>
      <c r="BJ513">
        <v>0.2</v>
      </c>
      <c r="BK513">
        <v>1</v>
      </c>
      <c r="BL513">
        <v>46.06</v>
      </c>
      <c r="BM513">
        <v>6.91</v>
      </c>
      <c r="BN513">
        <v>52.97</v>
      </c>
      <c r="BO513">
        <v>52.97</v>
      </c>
      <c r="BQ513" t="s">
        <v>78</v>
      </c>
      <c r="BR513" t="s">
        <v>71</v>
      </c>
      <c r="BS513" s="1">
        <v>43938</v>
      </c>
      <c r="BT513" s="2">
        <v>0.54166666666666663</v>
      </c>
      <c r="BU513" t="s">
        <v>757</v>
      </c>
      <c r="BV513" t="s">
        <v>74</v>
      </c>
      <c r="BW513" t="s">
        <v>85</v>
      </c>
      <c r="BX513" t="s">
        <v>128</v>
      </c>
      <c r="BY513">
        <v>1200</v>
      </c>
      <c r="CC513" t="s">
        <v>121</v>
      </c>
      <c r="CD513">
        <v>4001</v>
      </c>
      <c r="CE513" t="s">
        <v>73</v>
      </c>
      <c r="CF513" s="1">
        <v>43941</v>
      </c>
      <c r="CI513">
        <v>1</v>
      </c>
      <c r="CJ513">
        <v>2</v>
      </c>
      <c r="CK513">
        <v>21</v>
      </c>
      <c r="CL513" t="s">
        <v>74</v>
      </c>
    </row>
    <row r="514" spans="1:90" x14ac:dyDescent="0.25">
      <c r="A514" t="s">
        <v>61</v>
      </c>
      <c r="B514" t="s">
        <v>62</v>
      </c>
      <c r="C514" t="s">
        <v>63</v>
      </c>
      <c r="E514" t="str">
        <f>"FES1162744778"</f>
        <v>FES1162744778</v>
      </c>
      <c r="F514" s="1">
        <v>43936</v>
      </c>
      <c r="G514">
        <v>202010</v>
      </c>
      <c r="H514" t="s">
        <v>64</v>
      </c>
      <c r="I514" t="s">
        <v>65</v>
      </c>
      <c r="J514" t="s">
        <v>66</v>
      </c>
      <c r="K514" t="s">
        <v>67</v>
      </c>
      <c r="L514" t="s">
        <v>92</v>
      </c>
      <c r="M514" t="s">
        <v>93</v>
      </c>
      <c r="N514" t="s">
        <v>402</v>
      </c>
      <c r="O514" t="s">
        <v>69</v>
      </c>
      <c r="P514" t="str">
        <f>"2170722522                    "</f>
        <v xml:space="preserve">2170722522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4.1900000000000004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G514">
        <v>0</v>
      </c>
      <c r="BH514">
        <v>1</v>
      </c>
      <c r="BI514">
        <v>1</v>
      </c>
      <c r="BJ514">
        <v>0.2</v>
      </c>
      <c r="BK514">
        <v>1</v>
      </c>
      <c r="BL514">
        <v>46.06</v>
      </c>
      <c r="BM514">
        <v>6.91</v>
      </c>
      <c r="BN514">
        <v>52.97</v>
      </c>
      <c r="BO514">
        <v>52.97</v>
      </c>
      <c r="BQ514" t="s">
        <v>109</v>
      </c>
      <c r="BR514" t="s">
        <v>71</v>
      </c>
      <c r="BS514" s="1">
        <v>43937</v>
      </c>
      <c r="BT514" s="2">
        <v>0.35347222222222219</v>
      </c>
      <c r="BU514" t="s">
        <v>715</v>
      </c>
      <c r="BV514" t="s">
        <v>80</v>
      </c>
      <c r="BY514">
        <v>1200</v>
      </c>
      <c r="CA514" t="s">
        <v>98</v>
      </c>
      <c r="CC514" t="s">
        <v>93</v>
      </c>
      <c r="CD514">
        <v>7460</v>
      </c>
      <c r="CE514" t="s">
        <v>73</v>
      </c>
      <c r="CF514" s="1">
        <v>43938</v>
      </c>
      <c r="CI514">
        <v>1</v>
      </c>
      <c r="CJ514">
        <v>1</v>
      </c>
      <c r="CK514">
        <v>21</v>
      </c>
      <c r="CL514" t="s">
        <v>74</v>
      </c>
    </row>
    <row r="515" spans="1:90" x14ac:dyDescent="0.25">
      <c r="A515" t="s">
        <v>61</v>
      </c>
      <c r="B515" t="s">
        <v>62</v>
      </c>
      <c r="C515" t="s">
        <v>63</v>
      </c>
      <c r="E515" t="str">
        <f>"FES1162744764"</f>
        <v>FES1162744764</v>
      </c>
      <c r="F515" s="1">
        <v>43936</v>
      </c>
      <c r="G515">
        <v>202010</v>
      </c>
      <c r="H515" t="s">
        <v>64</v>
      </c>
      <c r="I515" t="s">
        <v>65</v>
      </c>
      <c r="J515" t="s">
        <v>66</v>
      </c>
      <c r="K515" t="s">
        <v>67</v>
      </c>
      <c r="L515" t="s">
        <v>262</v>
      </c>
      <c r="M515" t="s">
        <v>262</v>
      </c>
      <c r="N515" t="s">
        <v>545</v>
      </c>
      <c r="O515" t="s">
        <v>69</v>
      </c>
      <c r="P515" t="str">
        <f>"2170735543                    "</f>
        <v xml:space="preserve">2170735543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8.11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G515">
        <v>0</v>
      </c>
      <c r="BH515">
        <v>1</v>
      </c>
      <c r="BI515">
        <v>1.1000000000000001</v>
      </c>
      <c r="BJ515">
        <v>1.8</v>
      </c>
      <c r="BK515">
        <v>2</v>
      </c>
      <c r="BL515">
        <v>89.23</v>
      </c>
      <c r="BM515">
        <v>13.38</v>
      </c>
      <c r="BN515">
        <v>102.61</v>
      </c>
      <c r="BO515">
        <v>102.61</v>
      </c>
      <c r="BQ515" t="s">
        <v>70</v>
      </c>
      <c r="BR515" t="s">
        <v>71</v>
      </c>
      <c r="BS515" s="1">
        <v>43937</v>
      </c>
      <c r="BT515" s="2">
        <v>0.46597222222222223</v>
      </c>
      <c r="BU515" t="s">
        <v>758</v>
      </c>
      <c r="BV515" t="s">
        <v>80</v>
      </c>
      <c r="BY515">
        <v>9246.94</v>
      </c>
      <c r="CA515" t="s">
        <v>266</v>
      </c>
      <c r="CC515" t="s">
        <v>262</v>
      </c>
      <c r="CD515">
        <v>7646</v>
      </c>
      <c r="CE515" t="s">
        <v>91</v>
      </c>
      <c r="CF515" s="1">
        <v>43938</v>
      </c>
      <c r="CI515">
        <v>1</v>
      </c>
      <c r="CJ515">
        <v>1</v>
      </c>
      <c r="CK515">
        <v>23</v>
      </c>
      <c r="CL515" t="s">
        <v>74</v>
      </c>
    </row>
    <row r="516" spans="1:90" x14ac:dyDescent="0.25">
      <c r="A516" t="s">
        <v>61</v>
      </c>
      <c r="B516" t="s">
        <v>62</v>
      </c>
      <c r="C516" t="s">
        <v>63</v>
      </c>
      <c r="E516" t="str">
        <f>"FES1162744831"</f>
        <v>FES1162744831</v>
      </c>
      <c r="F516" s="1">
        <v>43936</v>
      </c>
      <c r="G516">
        <v>202010</v>
      </c>
      <c r="H516" t="s">
        <v>64</v>
      </c>
      <c r="I516" t="s">
        <v>65</v>
      </c>
      <c r="J516" t="s">
        <v>66</v>
      </c>
      <c r="K516" t="s">
        <v>67</v>
      </c>
      <c r="L516" t="s">
        <v>120</v>
      </c>
      <c r="M516" t="s">
        <v>121</v>
      </c>
      <c r="N516" t="s">
        <v>759</v>
      </c>
      <c r="O516" t="s">
        <v>69</v>
      </c>
      <c r="P516" t="str">
        <f>"2170736065                    "</f>
        <v xml:space="preserve">2170736065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4.1900000000000004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G516">
        <v>0</v>
      </c>
      <c r="BH516">
        <v>1</v>
      </c>
      <c r="BI516">
        <v>1</v>
      </c>
      <c r="BJ516">
        <v>0.2</v>
      </c>
      <c r="BK516">
        <v>1</v>
      </c>
      <c r="BL516">
        <v>46.06</v>
      </c>
      <c r="BM516">
        <v>6.91</v>
      </c>
      <c r="BN516">
        <v>52.97</v>
      </c>
      <c r="BO516">
        <v>52.97</v>
      </c>
      <c r="BQ516" t="s">
        <v>70</v>
      </c>
      <c r="BR516" t="s">
        <v>71</v>
      </c>
      <c r="BS516" s="1">
        <v>43937</v>
      </c>
      <c r="BT516" s="2">
        <v>0.4201388888888889</v>
      </c>
      <c r="BU516" t="s">
        <v>760</v>
      </c>
      <c r="BV516" t="s">
        <v>80</v>
      </c>
      <c r="BY516">
        <v>1200</v>
      </c>
      <c r="CA516" t="s">
        <v>627</v>
      </c>
      <c r="CC516" t="s">
        <v>121</v>
      </c>
      <c r="CD516">
        <v>4001</v>
      </c>
      <c r="CE516" t="s">
        <v>73</v>
      </c>
      <c r="CF516" s="1">
        <v>43938</v>
      </c>
      <c r="CI516">
        <v>1</v>
      </c>
      <c r="CJ516">
        <v>1</v>
      </c>
      <c r="CK516">
        <v>21</v>
      </c>
      <c r="CL516" t="s">
        <v>74</v>
      </c>
    </row>
    <row r="517" spans="1:90" x14ac:dyDescent="0.25">
      <c r="A517" t="s">
        <v>61</v>
      </c>
      <c r="B517" t="s">
        <v>62</v>
      </c>
      <c r="C517" t="s">
        <v>63</v>
      </c>
      <c r="E517" t="str">
        <f>"FES1162744838"</f>
        <v>FES1162744838</v>
      </c>
      <c r="F517" s="1">
        <v>43936</v>
      </c>
      <c r="G517">
        <v>202010</v>
      </c>
      <c r="H517" t="s">
        <v>64</v>
      </c>
      <c r="I517" t="s">
        <v>65</v>
      </c>
      <c r="J517" t="s">
        <v>66</v>
      </c>
      <c r="K517" t="s">
        <v>67</v>
      </c>
      <c r="L517" t="s">
        <v>146</v>
      </c>
      <c r="M517" t="s">
        <v>147</v>
      </c>
      <c r="N517" t="s">
        <v>173</v>
      </c>
      <c r="O517" t="s">
        <v>69</v>
      </c>
      <c r="P517" t="str">
        <f>"2170733447                    "</f>
        <v xml:space="preserve">2170733447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4.1900000000000004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G517">
        <v>0</v>
      </c>
      <c r="BH517">
        <v>1</v>
      </c>
      <c r="BI517">
        <v>1</v>
      </c>
      <c r="BJ517">
        <v>0.2</v>
      </c>
      <c r="BK517">
        <v>1</v>
      </c>
      <c r="BL517">
        <v>46.06</v>
      </c>
      <c r="BM517">
        <v>6.91</v>
      </c>
      <c r="BN517">
        <v>52.97</v>
      </c>
      <c r="BO517">
        <v>52.97</v>
      </c>
      <c r="BQ517" t="s">
        <v>70</v>
      </c>
      <c r="BR517" t="s">
        <v>71</v>
      </c>
      <c r="BS517" s="1">
        <v>43942</v>
      </c>
      <c r="BT517" s="2">
        <v>0.58333333333333337</v>
      </c>
      <c r="BU517" t="s">
        <v>723</v>
      </c>
      <c r="BV517" t="s">
        <v>74</v>
      </c>
      <c r="BW517" t="s">
        <v>96</v>
      </c>
      <c r="BX517" t="s">
        <v>339</v>
      </c>
      <c r="BY517">
        <v>1200</v>
      </c>
      <c r="CC517" t="s">
        <v>147</v>
      </c>
      <c r="CD517">
        <v>6001</v>
      </c>
      <c r="CE517" t="s">
        <v>73</v>
      </c>
      <c r="CF517" s="1">
        <v>43943</v>
      </c>
      <c r="CI517">
        <v>1</v>
      </c>
      <c r="CJ517">
        <v>4</v>
      </c>
      <c r="CK517">
        <v>21</v>
      </c>
      <c r="CL517" t="s">
        <v>74</v>
      </c>
    </row>
    <row r="518" spans="1:90" x14ac:dyDescent="0.25">
      <c r="A518" t="s">
        <v>61</v>
      </c>
      <c r="B518" t="s">
        <v>62</v>
      </c>
      <c r="C518" t="s">
        <v>63</v>
      </c>
      <c r="E518" t="str">
        <f>"FES1162744825"</f>
        <v>FES1162744825</v>
      </c>
      <c r="F518" s="1">
        <v>43936</v>
      </c>
      <c r="G518">
        <v>202010</v>
      </c>
      <c r="H518" t="s">
        <v>64</v>
      </c>
      <c r="I518" t="s">
        <v>65</v>
      </c>
      <c r="J518" t="s">
        <v>66</v>
      </c>
      <c r="K518" t="s">
        <v>67</v>
      </c>
      <c r="L518" t="s">
        <v>120</v>
      </c>
      <c r="M518" t="s">
        <v>121</v>
      </c>
      <c r="N518" t="s">
        <v>716</v>
      </c>
      <c r="O518" t="s">
        <v>69</v>
      </c>
      <c r="P518" t="str">
        <f>"2170736059                    "</f>
        <v xml:space="preserve">2170736059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4.1900000000000004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G518">
        <v>0</v>
      </c>
      <c r="BH518">
        <v>1</v>
      </c>
      <c r="BI518">
        <v>1</v>
      </c>
      <c r="BJ518">
        <v>0.2</v>
      </c>
      <c r="BK518">
        <v>1</v>
      </c>
      <c r="BL518">
        <v>46.06</v>
      </c>
      <c r="BM518">
        <v>6.91</v>
      </c>
      <c r="BN518">
        <v>52.97</v>
      </c>
      <c r="BO518">
        <v>52.97</v>
      </c>
      <c r="BQ518" t="s">
        <v>70</v>
      </c>
      <c r="BR518" t="s">
        <v>71</v>
      </c>
      <c r="BS518" s="1">
        <v>43943</v>
      </c>
      <c r="BT518" s="2">
        <v>0.625</v>
      </c>
      <c r="BU518" t="s">
        <v>761</v>
      </c>
      <c r="BV518" t="s">
        <v>74</v>
      </c>
      <c r="BW518" t="s">
        <v>85</v>
      </c>
      <c r="BX518" t="s">
        <v>128</v>
      </c>
      <c r="BY518">
        <v>1200</v>
      </c>
      <c r="CC518" t="s">
        <v>121</v>
      </c>
      <c r="CD518">
        <v>4001</v>
      </c>
      <c r="CE518" t="s">
        <v>73</v>
      </c>
      <c r="CF518" s="1">
        <v>43943</v>
      </c>
      <c r="CI518">
        <v>1</v>
      </c>
      <c r="CJ518">
        <v>5</v>
      </c>
      <c r="CK518">
        <v>21</v>
      </c>
      <c r="CL518" t="s">
        <v>74</v>
      </c>
    </row>
    <row r="519" spans="1:90" x14ac:dyDescent="0.25">
      <c r="A519" t="s">
        <v>61</v>
      </c>
      <c r="B519" t="s">
        <v>62</v>
      </c>
      <c r="C519" t="s">
        <v>63</v>
      </c>
      <c r="E519" t="str">
        <f>"FES1162744849"</f>
        <v>FES1162744849</v>
      </c>
      <c r="F519" s="1">
        <v>43936</v>
      </c>
      <c r="G519">
        <v>202010</v>
      </c>
      <c r="H519" t="s">
        <v>64</v>
      </c>
      <c r="I519" t="s">
        <v>65</v>
      </c>
      <c r="J519" t="s">
        <v>66</v>
      </c>
      <c r="K519" t="s">
        <v>67</v>
      </c>
      <c r="L519" t="s">
        <v>254</v>
      </c>
      <c r="M519" t="s">
        <v>255</v>
      </c>
      <c r="N519" t="s">
        <v>726</v>
      </c>
      <c r="O519" t="s">
        <v>69</v>
      </c>
      <c r="P519" t="str">
        <f>"2170735235                    "</f>
        <v xml:space="preserve">2170735235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4.1900000000000004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G519">
        <v>0</v>
      </c>
      <c r="BH519">
        <v>1</v>
      </c>
      <c r="BI519">
        <v>1</v>
      </c>
      <c r="BJ519">
        <v>0.2</v>
      </c>
      <c r="BK519">
        <v>1</v>
      </c>
      <c r="BL519">
        <v>46.06</v>
      </c>
      <c r="BM519">
        <v>6.91</v>
      </c>
      <c r="BN519">
        <v>52.97</v>
      </c>
      <c r="BO519">
        <v>52.97</v>
      </c>
      <c r="BQ519" t="s">
        <v>268</v>
      </c>
      <c r="BR519" t="s">
        <v>71</v>
      </c>
      <c r="BS519" s="1">
        <v>43937</v>
      </c>
      <c r="BT519" s="2">
        <v>0.52083333333333337</v>
      </c>
      <c r="BU519" t="s">
        <v>727</v>
      </c>
      <c r="BV519" t="s">
        <v>80</v>
      </c>
      <c r="BY519">
        <v>1200</v>
      </c>
      <c r="CC519" t="s">
        <v>255</v>
      </c>
      <c r="CD519">
        <v>186</v>
      </c>
      <c r="CE519" t="s">
        <v>73</v>
      </c>
      <c r="CF519" s="1">
        <v>43938</v>
      </c>
      <c r="CI519">
        <v>1</v>
      </c>
      <c r="CJ519">
        <v>1</v>
      </c>
      <c r="CK519">
        <v>21</v>
      </c>
      <c r="CL519" t="s">
        <v>74</v>
      </c>
    </row>
    <row r="520" spans="1:90" x14ac:dyDescent="0.25">
      <c r="A520" t="s">
        <v>61</v>
      </c>
      <c r="B520" t="s">
        <v>62</v>
      </c>
      <c r="C520" t="s">
        <v>63</v>
      </c>
      <c r="E520" t="str">
        <f>"FES1162744837"</f>
        <v>FES1162744837</v>
      </c>
      <c r="F520" s="1">
        <v>43936</v>
      </c>
      <c r="G520">
        <v>202010</v>
      </c>
      <c r="H520" t="s">
        <v>64</v>
      </c>
      <c r="I520" t="s">
        <v>65</v>
      </c>
      <c r="J520" t="s">
        <v>66</v>
      </c>
      <c r="K520" t="s">
        <v>67</v>
      </c>
      <c r="L520" t="s">
        <v>146</v>
      </c>
      <c r="M520" t="s">
        <v>147</v>
      </c>
      <c r="N520" t="s">
        <v>173</v>
      </c>
      <c r="O520" t="s">
        <v>69</v>
      </c>
      <c r="P520" t="str">
        <f>"2170732841                    "</f>
        <v xml:space="preserve">2170732841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4.1900000000000004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G520">
        <v>0</v>
      </c>
      <c r="BH520">
        <v>1</v>
      </c>
      <c r="BI520">
        <v>1</v>
      </c>
      <c r="BJ520">
        <v>0.2</v>
      </c>
      <c r="BK520">
        <v>1</v>
      </c>
      <c r="BL520">
        <v>46.06</v>
      </c>
      <c r="BM520">
        <v>6.91</v>
      </c>
      <c r="BN520">
        <v>52.97</v>
      </c>
      <c r="BO520">
        <v>52.97</v>
      </c>
      <c r="BQ520" t="s">
        <v>70</v>
      </c>
      <c r="BR520" t="s">
        <v>71</v>
      </c>
      <c r="BS520" s="1">
        <v>43942</v>
      </c>
      <c r="BT520" s="2">
        <v>0.58333333333333337</v>
      </c>
      <c r="BU520" t="s">
        <v>762</v>
      </c>
      <c r="BV520" t="s">
        <v>74</v>
      </c>
      <c r="BW520" t="s">
        <v>96</v>
      </c>
      <c r="BX520" t="s">
        <v>339</v>
      </c>
      <c r="BY520">
        <v>1200</v>
      </c>
      <c r="CC520" t="s">
        <v>147</v>
      </c>
      <c r="CD520">
        <v>6001</v>
      </c>
      <c r="CE520" t="s">
        <v>73</v>
      </c>
      <c r="CF520" s="1">
        <v>43943</v>
      </c>
      <c r="CI520">
        <v>1</v>
      </c>
      <c r="CJ520">
        <v>4</v>
      </c>
      <c r="CK520">
        <v>21</v>
      </c>
      <c r="CL520" t="s">
        <v>74</v>
      </c>
    </row>
    <row r="521" spans="1:90" x14ac:dyDescent="0.25">
      <c r="A521" t="s">
        <v>61</v>
      </c>
      <c r="B521" t="s">
        <v>62</v>
      </c>
      <c r="C521" t="s">
        <v>63</v>
      </c>
      <c r="E521" t="str">
        <f>"FES1162744848"</f>
        <v>FES1162744848</v>
      </c>
      <c r="F521" s="1">
        <v>43936</v>
      </c>
      <c r="G521">
        <v>202010</v>
      </c>
      <c r="H521" t="s">
        <v>64</v>
      </c>
      <c r="I521" t="s">
        <v>65</v>
      </c>
      <c r="J521" t="s">
        <v>66</v>
      </c>
      <c r="K521" t="s">
        <v>67</v>
      </c>
      <c r="L521" t="s">
        <v>270</v>
      </c>
      <c r="M521" t="s">
        <v>271</v>
      </c>
      <c r="N521" t="s">
        <v>763</v>
      </c>
      <c r="O521" t="s">
        <v>69</v>
      </c>
      <c r="P521" t="str">
        <f>"2170736076                    "</f>
        <v xml:space="preserve">2170736076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3.27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G521">
        <v>0</v>
      </c>
      <c r="BH521">
        <v>1</v>
      </c>
      <c r="BI521">
        <v>1</v>
      </c>
      <c r="BJ521">
        <v>0.2</v>
      </c>
      <c r="BK521">
        <v>1</v>
      </c>
      <c r="BL521">
        <v>35.979999999999997</v>
      </c>
      <c r="BM521">
        <v>5.4</v>
      </c>
      <c r="BN521">
        <v>41.38</v>
      </c>
      <c r="BO521">
        <v>41.38</v>
      </c>
      <c r="BQ521" t="s">
        <v>78</v>
      </c>
      <c r="BR521" t="s">
        <v>71</v>
      </c>
      <c r="BS521" s="1">
        <v>43941</v>
      </c>
      <c r="BT521" s="2">
        <v>0.37222222222222223</v>
      </c>
      <c r="BU521" t="s">
        <v>764</v>
      </c>
      <c r="BV521" t="s">
        <v>74</v>
      </c>
      <c r="BW521" t="s">
        <v>85</v>
      </c>
      <c r="BX521" t="s">
        <v>606</v>
      </c>
      <c r="BY521">
        <v>1200</v>
      </c>
      <c r="CA521" t="s">
        <v>765</v>
      </c>
      <c r="CC521" t="s">
        <v>271</v>
      </c>
      <c r="CD521">
        <v>1820</v>
      </c>
      <c r="CE521" t="s">
        <v>73</v>
      </c>
      <c r="CF521" s="1">
        <v>43942</v>
      </c>
      <c r="CI521">
        <v>1</v>
      </c>
      <c r="CJ521">
        <v>3</v>
      </c>
      <c r="CK521">
        <v>22</v>
      </c>
      <c r="CL521" t="s">
        <v>74</v>
      </c>
    </row>
    <row r="522" spans="1:90" x14ac:dyDescent="0.25">
      <c r="A522" t="s">
        <v>61</v>
      </c>
      <c r="B522" t="s">
        <v>62</v>
      </c>
      <c r="C522" t="s">
        <v>63</v>
      </c>
      <c r="E522" t="str">
        <f>"FES1162744439"</f>
        <v>FES1162744439</v>
      </c>
      <c r="F522" s="1">
        <v>43936</v>
      </c>
      <c r="G522">
        <v>202010</v>
      </c>
      <c r="H522" t="s">
        <v>64</v>
      </c>
      <c r="I522" t="s">
        <v>65</v>
      </c>
      <c r="J522" t="s">
        <v>66</v>
      </c>
      <c r="K522" t="s">
        <v>67</v>
      </c>
      <c r="L522" t="s">
        <v>254</v>
      </c>
      <c r="M522" t="s">
        <v>255</v>
      </c>
      <c r="N522" t="s">
        <v>726</v>
      </c>
      <c r="O522" t="s">
        <v>69</v>
      </c>
      <c r="P522" t="str">
        <f>"2170735235                    "</f>
        <v xml:space="preserve">2170735235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7.33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G522">
        <v>0</v>
      </c>
      <c r="BH522">
        <v>1</v>
      </c>
      <c r="BI522">
        <v>2.1</v>
      </c>
      <c r="BJ522">
        <v>3.2</v>
      </c>
      <c r="BK522">
        <v>3.5</v>
      </c>
      <c r="BL522">
        <v>80.58</v>
      </c>
      <c r="BM522">
        <v>12.09</v>
      </c>
      <c r="BN522">
        <v>92.67</v>
      </c>
      <c r="BO522">
        <v>92.67</v>
      </c>
      <c r="BQ522" t="s">
        <v>268</v>
      </c>
      <c r="BR522" t="s">
        <v>71</v>
      </c>
      <c r="BS522" s="1">
        <v>43937</v>
      </c>
      <c r="BT522" s="2">
        <v>0.52083333333333337</v>
      </c>
      <c r="BU522" t="s">
        <v>727</v>
      </c>
      <c r="BV522" t="s">
        <v>80</v>
      </c>
      <c r="BY522">
        <v>16210.8</v>
      </c>
      <c r="CC522" t="s">
        <v>255</v>
      </c>
      <c r="CD522">
        <v>186</v>
      </c>
      <c r="CE522" t="s">
        <v>91</v>
      </c>
      <c r="CF522" s="1">
        <v>43938</v>
      </c>
      <c r="CI522">
        <v>1</v>
      </c>
      <c r="CJ522">
        <v>1</v>
      </c>
      <c r="CK522">
        <v>21</v>
      </c>
      <c r="CL522" t="s">
        <v>74</v>
      </c>
    </row>
    <row r="523" spans="1:90" x14ac:dyDescent="0.25">
      <c r="A523" t="s">
        <v>61</v>
      </c>
      <c r="B523" t="s">
        <v>62</v>
      </c>
      <c r="C523" t="s">
        <v>63</v>
      </c>
      <c r="E523" t="str">
        <f>"FES1162744845"</f>
        <v>FES1162744845</v>
      </c>
      <c r="F523" s="1">
        <v>43936</v>
      </c>
      <c r="G523">
        <v>202010</v>
      </c>
      <c r="H523" t="s">
        <v>64</v>
      </c>
      <c r="I523" t="s">
        <v>65</v>
      </c>
      <c r="J523" t="s">
        <v>66</v>
      </c>
      <c r="K523" t="s">
        <v>67</v>
      </c>
      <c r="L523" t="s">
        <v>116</v>
      </c>
      <c r="M523" t="s">
        <v>117</v>
      </c>
      <c r="N523" t="s">
        <v>118</v>
      </c>
      <c r="O523" t="s">
        <v>69</v>
      </c>
      <c r="P523" t="str">
        <f>"2170734371                    "</f>
        <v xml:space="preserve">2170734371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17.27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G523">
        <v>0</v>
      </c>
      <c r="BH523">
        <v>1</v>
      </c>
      <c r="BI523">
        <v>4.0999999999999996</v>
      </c>
      <c r="BJ523">
        <v>1.3</v>
      </c>
      <c r="BK523">
        <v>4.5</v>
      </c>
      <c r="BL523">
        <v>189.99</v>
      </c>
      <c r="BM523">
        <v>28.5</v>
      </c>
      <c r="BN523">
        <v>218.49</v>
      </c>
      <c r="BO523">
        <v>218.49</v>
      </c>
      <c r="BQ523" t="s">
        <v>78</v>
      </c>
      <c r="BR523" t="s">
        <v>71</v>
      </c>
      <c r="BS523" s="1">
        <v>43937</v>
      </c>
      <c r="BT523" s="2">
        <v>0.41666666666666669</v>
      </c>
      <c r="BU523" t="s">
        <v>119</v>
      </c>
      <c r="BV523" t="s">
        <v>80</v>
      </c>
      <c r="BY523">
        <v>6543.26</v>
      </c>
      <c r="CC523" t="s">
        <v>117</v>
      </c>
      <c r="CD523">
        <v>7300</v>
      </c>
      <c r="CE523" t="s">
        <v>91</v>
      </c>
      <c r="CF523" s="1">
        <v>43938</v>
      </c>
      <c r="CI523">
        <v>1</v>
      </c>
      <c r="CJ523">
        <v>1</v>
      </c>
      <c r="CK523">
        <v>23</v>
      </c>
      <c r="CL523" t="s">
        <v>74</v>
      </c>
    </row>
    <row r="524" spans="1:90" x14ac:dyDescent="0.25">
      <c r="A524" t="s">
        <v>61</v>
      </c>
      <c r="B524" t="s">
        <v>62</v>
      </c>
      <c r="C524" t="s">
        <v>63</v>
      </c>
      <c r="E524" t="str">
        <f>"FES1162744844"</f>
        <v>FES1162744844</v>
      </c>
      <c r="F524" s="1">
        <v>43936</v>
      </c>
      <c r="G524">
        <v>202010</v>
      </c>
      <c r="H524" t="s">
        <v>64</v>
      </c>
      <c r="I524" t="s">
        <v>65</v>
      </c>
      <c r="J524" t="s">
        <v>66</v>
      </c>
      <c r="K524" t="s">
        <v>67</v>
      </c>
      <c r="L524" t="s">
        <v>92</v>
      </c>
      <c r="M524" t="s">
        <v>93</v>
      </c>
      <c r="N524" t="s">
        <v>329</v>
      </c>
      <c r="O524" t="s">
        <v>69</v>
      </c>
      <c r="P524" t="str">
        <f>"2170734153                    "</f>
        <v xml:space="preserve">2170734153     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9.42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G524">
        <v>0</v>
      </c>
      <c r="BH524">
        <v>1</v>
      </c>
      <c r="BI524">
        <v>4.4000000000000004</v>
      </c>
      <c r="BJ524">
        <v>2.6</v>
      </c>
      <c r="BK524">
        <v>4.5</v>
      </c>
      <c r="BL524">
        <v>103.59</v>
      </c>
      <c r="BM524">
        <v>15.54</v>
      </c>
      <c r="BN524">
        <v>119.13</v>
      </c>
      <c r="BO524">
        <v>119.13</v>
      </c>
      <c r="BQ524" t="s">
        <v>70</v>
      </c>
      <c r="BR524" t="s">
        <v>71</v>
      </c>
      <c r="BS524" s="1">
        <v>43937</v>
      </c>
      <c r="BT524" s="2">
        <v>0.38263888888888892</v>
      </c>
      <c r="BU524" t="s">
        <v>766</v>
      </c>
      <c r="BV524" t="s">
        <v>80</v>
      </c>
      <c r="BY524">
        <v>12946.99</v>
      </c>
      <c r="CA524" t="s">
        <v>98</v>
      </c>
      <c r="CC524" t="s">
        <v>93</v>
      </c>
      <c r="CD524">
        <v>7441</v>
      </c>
      <c r="CE524" t="s">
        <v>91</v>
      </c>
      <c r="CF524" s="1">
        <v>43938</v>
      </c>
      <c r="CI524">
        <v>1</v>
      </c>
      <c r="CJ524">
        <v>1</v>
      </c>
      <c r="CK524">
        <v>21</v>
      </c>
      <c r="CL524" t="s">
        <v>74</v>
      </c>
    </row>
    <row r="525" spans="1:90" x14ac:dyDescent="0.25">
      <c r="A525" t="s">
        <v>61</v>
      </c>
      <c r="B525" t="s">
        <v>62</v>
      </c>
      <c r="C525" t="s">
        <v>63</v>
      </c>
      <c r="E525" t="str">
        <f>"FES1162744726"</f>
        <v>FES1162744726</v>
      </c>
      <c r="F525" s="1">
        <v>43936</v>
      </c>
      <c r="G525">
        <v>202010</v>
      </c>
      <c r="H525" t="s">
        <v>64</v>
      </c>
      <c r="I525" t="s">
        <v>65</v>
      </c>
      <c r="J525" t="s">
        <v>66</v>
      </c>
      <c r="K525" t="s">
        <v>67</v>
      </c>
      <c r="L525" t="s">
        <v>120</v>
      </c>
      <c r="M525" t="s">
        <v>121</v>
      </c>
      <c r="N525" t="s">
        <v>728</v>
      </c>
      <c r="O525" t="s">
        <v>69</v>
      </c>
      <c r="P525" t="str">
        <f>"2170732865                    "</f>
        <v xml:space="preserve">2170732865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5.23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G525">
        <v>0</v>
      </c>
      <c r="BH525">
        <v>1</v>
      </c>
      <c r="BI525">
        <v>2.2000000000000002</v>
      </c>
      <c r="BJ525">
        <v>1</v>
      </c>
      <c r="BK525">
        <v>2.5</v>
      </c>
      <c r="BL525">
        <v>57.56</v>
      </c>
      <c r="BM525">
        <v>8.6300000000000008</v>
      </c>
      <c r="BN525">
        <v>66.19</v>
      </c>
      <c r="BO525">
        <v>66.19</v>
      </c>
      <c r="BQ525" t="s">
        <v>109</v>
      </c>
      <c r="BR525" t="s">
        <v>71</v>
      </c>
      <c r="BS525" s="1">
        <v>43937</v>
      </c>
      <c r="BT525" s="2">
        <v>0.58333333333333337</v>
      </c>
      <c r="BU525" t="s">
        <v>767</v>
      </c>
      <c r="BV525" t="s">
        <v>74</v>
      </c>
      <c r="BW525" t="s">
        <v>663</v>
      </c>
      <c r="BX525" t="s">
        <v>128</v>
      </c>
      <c r="BY525">
        <v>4935.9799999999996</v>
      </c>
      <c r="CA525" t="s">
        <v>430</v>
      </c>
      <c r="CC525" t="s">
        <v>121</v>
      </c>
      <c r="CD525">
        <v>4000</v>
      </c>
      <c r="CE525" t="s">
        <v>91</v>
      </c>
      <c r="CF525" s="1">
        <v>43938</v>
      </c>
      <c r="CI525">
        <v>1</v>
      </c>
      <c r="CJ525">
        <v>1</v>
      </c>
      <c r="CK525">
        <v>21</v>
      </c>
      <c r="CL525" t="s">
        <v>74</v>
      </c>
    </row>
    <row r="526" spans="1:90" x14ac:dyDescent="0.25">
      <c r="A526" t="s">
        <v>61</v>
      </c>
      <c r="B526" t="s">
        <v>62</v>
      </c>
      <c r="C526" t="s">
        <v>63</v>
      </c>
      <c r="E526" t="str">
        <f>"FES1162744791"</f>
        <v>FES1162744791</v>
      </c>
      <c r="F526" s="1">
        <v>43936</v>
      </c>
      <c r="G526">
        <v>202010</v>
      </c>
      <c r="H526" t="s">
        <v>64</v>
      </c>
      <c r="I526" t="s">
        <v>65</v>
      </c>
      <c r="J526" t="s">
        <v>66</v>
      </c>
      <c r="K526" t="s">
        <v>67</v>
      </c>
      <c r="L526" t="s">
        <v>151</v>
      </c>
      <c r="M526" t="s">
        <v>152</v>
      </c>
      <c r="N526" t="s">
        <v>208</v>
      </c>
      <c r="O526" t="s">
        <v>69</v>
      </c>
      <c r="P526" t="str">
        <f>"2170731085                    "</f>
        <v xml:space="preserve">2170731085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7.33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G526">
        <v>0</v>
      </c>
      <c r="BH526">
        <v>1</v>
      </c>
      <c r="BI526">
        <v>3.1</v>
      </c>
      <c r="BJ526">
        <v>0.9</v>
      </c>
      <c r="BK526">
        <v>3.5</v>
      </c>
      <c r="BL526">
        <v>80.58</v>
      </c>
      <c r="BM526">
        <v>12.09</v>
      </c>
      <c r="BN526">
        <v>92.67</v>
      </c>
      <c r="BO526">
        <v>92.67</v>
      </c>
      <c r="BQ526" t="s">
        <v>78</v>
      </c>
      <c r="BR526" t="s">
        <v>71</v>
      </c>
      <c r="BS526" s="1">
        <v>43937</v>
      </c>
      <c r="BT526" s="2">
        <v>0.5</v>
      </c>
      <c r="BU526" t="s">
        <v>768</v>
      </c>
      <c r="BV526" t="s">
        <v>74</v>
      </c>
      <c r="BY526">
        <v>4705.67</v>
      </c>
      <c r="CC526" t="s">
        <v>152</v>
      </c>
      <c r="CD526">
        <v>3201</v>
      </c>
      <c r="CE526" t="s">
        <v>91</v>
      </c>
      <c r="CF526" s="1">
        <v>43941</v>
      </c>
      <c r="CI526">
        <v>1</v>
      </c>
      <c r="CJ526">
        <v>1</v>
      </c>
      <c r="CK526">
        <v>21</v>
      </c>
      <c r="CL526" t="s">
        <v>74</v>
      </c>
    </row>
    <row r="527" spans="1:90" x14ac:dyDescent="0.25">
      <c r="A527" t="s">
        <v>61</v>
      </c>
      <c r="B527" t="s">
        <v>62</v>
      </c>
      <c r="C527" t="s">
        <v>63</v>
      </c>
      <c r="E527" t="str">
        <f>"FES1162744772"</f>
        <v>FES1162744772</v>
      </c>
      <c r="F527" s="1">
        <v>43936</v>
      </c>
      <c r="G527">
        <v>202010</v>
      </c>
      <c r="H527" t="s">
        <v>64</v>
      </c>
      <c r="I527" t="s">
        <v>65</v>
      </c>
      <c r="J527" t="s">
        <v>66</v>
      </c>
      <c r="K527" t="s">
        <v>67</v>
      </c>
      <c r="L527" t="s">
        <v>212</v>
      </c>
      <c r="M527" t="s">
        <v>213</v>
      </c>
      <c r="N527" t="s">
        <v>677</v>
      </c>
      <c r="O527" t="s">
        <v>69</v>
      </c>
      <c r="P527" t="str">
        <f>"2170736026                    "</f>
        <v xml:space="preserve">2170736026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4.1900000000000004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G527">
        <v>0</v>
      </c>
      <c r="BH527">
        <v>1</v>
      </c>
      <c r="BI527">
        <v>1.3</v>
      </c>
      <c r="BJ527">
        <v>1.8</v>
      </c>
      <c r="BK527">
        <v>2</v>
      </c>
      <c r="BL527">
        <v>46.06</v>
      </c>
      <c r="BM527">
        <v>6.91</v>
      </c>
      <c r="BN527">
        <v>52.97</v>
      </c>
      <c r="BO527">
        <v>52.97</v>
      </c>
      <c r="BQ527" t="s">
        <v>268</v>
      </c>
      <c r="BR527" t="s">
        <v>71</v>
      </c>
      <c r="BS527" s="1">
        <v>43937</v>
      </c>
      <c r="BT527" s="2">
        <v>0.37013888888888885</v>
      </c>
      <c r="BU527" t="s">
        <v>769</v>
      </c>
      <c r="BV527" t="s">
        <v>80</v>
      </c>
      <c r="BY527">
        <v>9052.2000000000007</v>
      </c>
      <c r="CA527" t="s">
        <v>216</v>
      </c>
      <c r="CC527" t="s">
        <v>213</v>
      </c>
      <c r="CD527">
        <v>3600</v>
      </c>
      <c r="CE527" t="s">
        <v>91</v>
      </c>
      <c r="CF527" s="1">
        <v>43938</v>
      </c>
      <c r="CI527">
        <v>1</v>
      </c>
      <c r="CJ527">
        <v>1</v>
      </c>
      <c r="CK527">
        <v>21</v>
      </c>
      <c r="CL527" t="s">
        <v>74</v>
      </c>
    </row>
    <row r="528" spans="1:90" x14ac:dyDescent="0.25">
      <c r="A528" t="s">
        <v>61</v>
      </c>
      <c r="B528" t="s">
        <v>62</v>
      </c>
      <c r="C528" t="s">
        <v>63</v>
      </c>
      <c r="E528" t="str">
        <f>"FES1162744800"</f>
        <v>FES1162744800</v>
      </c>
      <c r="F528" s="1">
        <v>43936</v>
      </c>
      <c r="G528">
        <v>202010</v>
      </c>
      <c r="H528" t="s">
        <v>64</v>
      </c>
      <c r="I528" t="s">
        <v>65</v>
      </c>
      <c r="J528" t="s">
        <v>66</v>
      </c>
      <c r="K528" t="s">
        <v>67</v>
      </c>
      <c r="L528" t="s">
        <v>151</v>
      </c>
      <c r="M528" t="s">
        <v>152</v>
      </c>
      <c r="N528" t="s">
        <v>208</v>
      </c>
      <c r="O528" t="s">
        <v>69</v>
      </c>
      <c r="P528" t="str">
        <f>"2170736043                    "</f>
        <v xml:space="preserve">2170736043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4.1900000000000004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G528">
        <v>0</v>
      </c>
      <c r="BH528">
        <v>1</v>
      </c>
      <c r="BI528">
        <v>1</v>
      </c>
      <c r="BJ528">
        <v>0.2</v>
      </c>
      <c r="BK528">
        <v>1</v>
      </c>
      <c r="BL528">
        <v>46.06</v>
      </c>
      <c r="BM528">
        <v>6.91</v>
      </c>
      <c r="BN528">
        <v>52.97</v>
      </c>
      <c r="BO528">
        <v>52.97</v>
      </c>
      <c r="BQ528" t="s">
        <v>78</v>
      </c>
      <c r="BR528" t="s">
        <v>71</v>
      </c>
      <c r="BS528" s="1">
        <v>43937</v>
      </c>
      <c r="BT528" s="2">
        <v>0.5</v>
      </c>
      <c r="BU528" t="s">
        <v>209</v>
      </c>
      <c r="BV528" t="s">
        <v>74</v>
      </c>
      <c r="BY528">
        <v>1200</v>
      </c>
      <c r="CC528" t="s">
        <v>152</v>
      </c>
      <c r="CD528">
        <v>3201</v>
      </c>
      <c r="CE528" t="s">
        <v>73</v>
      </c>
      <c r="CF528" s="1">
        <v>43941</v>
      </c>
      <c r="CI528">
        <v>1</v>
      </c>
      <c r="CJ528">
        <v>1</v>
      </c>
      <c r="CK528">
        <v>21</v>
      </c>
      <c r="CL528" t="s">
        <v>74</v>
      </c>
    </row>
    <row r="529" spans="1:90" x14ac:dyDescent="0.25">
      <c r="A529" t="s">
        <v>61</v>
      </c>
      <c r="B529" t="s">
        <v>62</v>
      </c>
      <c r="C529" t="s">
        <v>63</v>
      </c>
      <c r="E529" t="str">
        <f>"FES1162744796"</f>
        <v>FES1162744796</v>
      </c>
      <c r="F529" s="1">
        <v>43936</v>
      </c>
      <c r="G529">
        <v>202010</v>
      </c>
      <c r="H529" t="s">
        <v>64</v>
      </c>
      <c r="I529" t="s">
        <v>65</v>
      </c>
      <c r="J529" t="s">
        <v>66</v>
      </c>
      <c r="K529" t="s">
        <v>67</v>
      </c>
      <c r="L529" t="s">
        <v>151</v>
      </c>
      <c r="M529" t="s">
        <v>152</v>
      </c>
      <c r="N529" t="s">
        <v>208</v>
      </c>
      <c r="O529" t="s">
        <v>69</v>
      </c>
      <c r="P529" t="str">
        <f>"2170733988                    "</f>
        <v xml:space="preserve">2170733988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4.1900000000000004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G529">
        <v>0</v>
      </c>
      <c r="BH529">
        <v>1</v>
      </c>
      <c r="BI529">
        <v>1</v>
      </c>
      <c r="BJ529">
        <v>0.2</v>
      </c>
      <c r="BK529">
        <v>1</v>
      </c>
      <c r="BL529">
        <v>46.06</v>
      </c>
      <c r="BM529">
        <v>6.91</v>
      </c>
      <c r="BN529">
        <v>52.97</v>
      </c>
      <c r="BO529">
        <v>52.97</v>
      </c>
      <c r="BQ529" t="s">
        <v>78</v>
      </c>
      <c r="BR529" t="s">
        <v>71</v>
      </c>
      <c r="BS529" s="1">
        <v>43937</v>
      </c>
      <c r="BT529" s="2">
        <v>0.5</v>
      </c>
      <c r="BU529" t="s">
        <v>770</v>
      </c>
      <c r="BV529" t="s">
        <v>74</v>
      </c>
      <c r="BY529">
        <v>1200</v>
      </c>
      <c r="CC529" t="s">
        <v>152</v>
      </c>
      <c r="CD529">
        <v>3201</v>
      </c>
      <c r="CE529" t="s">
        <v>73</v>
      </c>
      <c r="CF529" s="1">
        <v>43941</v>
      </c>
      <c r="CI529">
        <v>1</v>
      </c>
      <c r="CJ529">
        <v>1</v>
      </c>
      <c r="CK529">
        <v>21</v>
      </c>
      <c r="CL529" t="s">
        <v>74</v>
      </c>
    </row>
    <row r="530" spans="1:90" x14ac:dyDescent="0.25">
      <c r="A530" t="s">
        <v>61</v>
      </c>
      <c r="B530" t="s">
        <v>62</v>
      </c>
      <c r="C530" t="s">
        <v>63</v>
      </c>
      <c r="E530" t="str">
        <f>"FES1162744287"</f>
        <v>FES1162744287</v>
      </c>
      <c r="F530" s="1">
        <v>43936</v>
      </c>
      <c r="G530">
        <v>202010</v>
      </c>
      <c r="H530" t="s">
        <v>64</v>
      </c>
      <c r="I530" t="s">
        <v>65</v>
      </c>
      <c r="J530" t="s">
        <v>66</v>
      </c>
      <c r="K530" t="s">
        <v>67</v>
      </c>
      <c r="L530" t="s">
        <v>262</v>
      </c>
      <c r="M530" t="s">
        <v>262</v>
      </c>
      <c r="N530" t="s">
        <v>545</v>
      </c>
      <c r="O530" t="s">
        <v>69</v>
      </c>
      <c r="P530" t="str">
        <f>"2170731547                    "</f>
        <v xml:space="preserve">2170731547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8.11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G530">
        <v>0</v>
      </c>
      <c r="BH530">
        <v>1</v>
      </c>
      <c r="BI530">
        <v>1</v>
      </c>
      <c r="BJ530">
        <v>0.2</v>
      </c>
      <c r="BK530">
        <v>1</v>
      </c>
      <c r="BL530">
        <v>89.23</v>
      </c>
      <c r="BM530">
        <v>13.38</v>
      </c>
      <c r="BN530">
        <v>102.61</v>
      </c>
      <c r="BO530">
        <v>102.61</v>
      </c>
      <c r="BQ530" t="s">
        <v>70</v>
      </c>
      <c r="BR530" t="s">
        <v>71</v>
      </c>
      <c r="BS530" s="1">
        <v>43937</v>
      </c>
      <c r="BT530" s="2">
        <v>0.46597222222222223</v>
      </c>
      <c r="BU530" t="s">
        <v>758</v>
      </c>
      <c r="BV530" t="s">
        <v>80</v>
      </c>
      <c r="BY530">
        <v>1200</v>
      </c>
      <c r="CA530" t="s">
        <v>266</v>
      </c>
      <c r="CC530" t="s">
        <v>262</v>
      </c>
      <c r="CD530">
        <v>7646</v>
      </c>
      <c r="CE530" t="s">
        <v>73</v>
      </c>
      <c r="CF530" s="1">
        <v>43938</v>
      </c>
      <c r="CI530">
        <v>1</v>
      </c>
      <c r="CJ530">
        <v>1</v>
      </c>
      <c r="CK530">
        <v>23</v>
      </c>
      <c r="CL530" t="s">
        <v>74</v>
      </c>
    </row>
    <row r="531" spans="1:90" x14ac:dyDescent="0.25">
      <c r="A531" t="s">
        <v>61</v>
      </c>
      <c r="B531" t="s">
        <v>62</v>
      </c>
      <c r="C531" t="s">
        <v>63</v>
      </c>
      <c r="E531" t="str">
        <f>"FES1162743968"</f>
        <v>FES1162743968</v>
      </c>
      <c r="F531" s="1">
        <v>43936</v>
      </c>
      <c r="G531">
        <v>202010</v>
      </c>
      <c r="H531" t="s">
        <v>64</v>
      </c>
      <c r="I531" t="s">
        <v>65</v>
      </c>
      <c r="J531" t="s">
        <v>66</v>
      </c>
      <c r="K531" t="s">
        <v>67</v>
      </c>
      <c r="L531" t="s">
        <v>262</v>
      </c>
      <c r="M531" t="s">
        <v>262</v>
      </c>
      <c r="N531" t="s">
        <v>545</v>
      </c>
      <c r="O531" t="s">
        <v>69</v>
      </c>
      <c r="P531" t="str">
        <f>"2170734121                    "</f>
        <v xml:space="preserve">2170734121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8.11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G531">
        <v>0</v>
      </c>
      <c r="BH531">
        <v>1</v>
      </c>
      <c r="BI531">
        <v>1</v>
      </c>
      <c r="BJ531">
        <v>0.2</v>
      </c>
      <c r="BK531">
        <v>1</v>
      </c>
      <c r="BL531">
        <v>89.23</v>
      </c>
      <c r="BM531">
        <v>13.38</v>
      </c>
      <c r="BN531">
        <v>102.61</v>
      </c>
      <c r="BO531">
        <v>102.61</v>
      </c>
      <c r="BQ531" t="s">
        <v>70</v>
      </c>
      <c r="BR531" t="s">
        <v>71</v>
      </c>
      <c r="BS531" s="1">
        <v>43937</v>
      </c>
      <c r="BT531" s="2">
        <v>0.46597222222222223</v>
      </c>
      <c r="BU531" t="s">
        <v>758</v>
      </c>
      <c r="BV531" t="s">
        <v>80</v>
      </c>
      <c r="BY531">
        <v>1200</v>
      </c>
      <c r="CA531" t="s">
        <v>266</v>
      </c>
      <c r="CC531" t="s">
        <v>262</v>
      </c>
      <c r="CD531">
        <v>7646</v>
      </c>
      <c r="CE531" t="s">
        <v>73</v>
      </c>
      <c r="CF531" s="1">
        <v>43938</v>
      </c>
      <c r="CI531">
        <v>1</v>
      </c>
      <c r="CJ531">
        <v>1</v>
      </c>
      <c r="CK531">
        <v>23</v>
      </c>
      <c r="CL531" t="s">
        <v>74</v>
      </c>
    </row>
    <row r="532" spans="1:90" x14ac:dyDescent="0.25">
      <c r="A532" t="s">
        <v>61</v>
      </c>
      <c r="B532" t="s">
        <v>62</v>
      </c>
      <c r="C532" t="s">
        <v>63</v>
      </c>
      <c r="E532" t="str">
        <f>"FES1162744464"</f>
        <v>FES1162744464</v>
      </c>
      <c r="F532" s="1">
        <v>43936</v>
      </c>
      <c r="G532">
        <v>202010</v>
      </c>
      <c r="H532" t="s">
        <v>64</v>
      </c>
      <c r="I532" t="s">
        <v>65</v>
      </c>
      <c r="J532" t="s">
        <v>66</v>
      </c>
      <c r="K532" t="s">
        <v>67</v>
      </c>
      <c r="L532" t="s">
        <v>262</v>
      </c>
      <c r="M532" t="s">
        <v>262</v>
      </c>
      <c r="N532" t="s">
        <v>545</v>
      </c>
      <c r="O532" t="s">
        <v>69</v>
      </c>
      <c r="P532" t="str">
        <f>"2170735830                    "</f>
        <v xml:space="preserve">2170735830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8.11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G532">
        <v>0</v>
      </c>
      <c r="BH532">
        <v>1</v>
      </c>
      <c r="BI532">
        <v>1</v>
      </c>
      <c r="BJ532">
        <v>0.2</v>
      </c>
      <c r="BK532">
        <v>1</v>
      </c>
      <c r="BL532">
        <v>89.23</v>
      </c>
      <c r="BM532">
        <v>13.38</v>
      </c>
      <c r="BN532">
        <v>102.61</v>
      </c>
      <c r="BO532">
        <v>102.61</v>
      </c>
      <c r="BQ532" t="s">
        <v>70</v>
      </c>
      <c r="BR532" t="s">
        <v>71</v>
      </c>
      <c r="BS532" s="1">
        <v>43937</v>
      </c>
      <c r="BT532" s="2">
        <v>0.46597222222222223</v>
      </c>
      <c r="BU532" t="s">
        <v>758</v>
      </c>
      <c r="BV532" t="s">
        <v>80</v>
      </c>
      <c r="BY532">
        <v>1200</v>
      </c>
      <c r="CA532" t="s">
        <v>266</v>
      </c>
      <c r="CC532" t="s">
        <v>262</v>
      </c>
      <c r="CD532">
        <v>7646</v>
      </c>
      <c r="CE532" t="s">
        <v>73</v>
      </c>
      <c r="CF532" s="1">
        <v>43938</v>
      </c>
      <c r="CI532">
        <v>1</v>
      </c>
      <c r="CJ532">
        <v>1</v>
      </c>
      <c r="CK532">
        <v>23</v>
      </c>
      <c r="CL532" t="s">
        <v>74</v>
      </c>
    </row>
    <row r="533" spans="1:90" x14ac:dyDescent="0.25">
      <c r="A533" t="s">
        <v>61</v>
      </c>
      <c r="B533" t="s">
        <v>62</v>
      </c>
      <c r="C533" t="s">
        <v>63</v>
      </c>
      <c r="E533" t="str">
        <f>"FES1162744842"</f>
        <v>FES1162744842</v>
      </c>
      <c r="F533" s="1">
        <v>43936</v>
      </c>
      <c r="G533">
        <v>202010</v>
      </c>
      <c r="H533" t="s">
        <v>64</v>
      </c>
      <c r="I533" t="s">
        <v>65</v>
      </c>
      <c r="J533" t="s">
        <v>66</v>
      </c>
      <c r="K533" t="s">
        <v>67</v>
      </c>
      <c r="L533" t="s">
        <v>99</v>
      </c>
      <c r="M533" t="s">
        <v>100</v>
      </c>
      <c r="N533" t="s">
        <v>101</v>
      </c>
      <c r="O533" t="s">
        <v>69</v>
      </c>
      <c r="P533" t="str">
        <f>"2170736064                    "</f>
        <v xml:space="preserve">2170736064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17.27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G533">
        <v>0</v>
      </c>
      <c r="BH533">
        <v>1</v>
      </c>
      <c r="BI533">
        <v>4.3</v>
      </c>
      <c r="BJ533">
        <v>1.9</v>
      </c>
      <c r="BK533">
        <v>4.5</v>
      </c>
      <c r="BL533">
        <v>189.99</v>
      </c>
      <c r="BM533">
        <v>28.5</v>
      </c>
      <c r="BN533">
        <v>218.49</v>
      </c>
      <c r="BO533">
        <v>218.49</v>
      </c>
      <c r="BQ533" t="s">
        <v>78</v>
      </c>
      <c r="BR533" t="s">
        <v>71</v>
      </c>
      <c r="BS533" s="1">
        <v>43941</v>
      </c>
      <c r="BT533" s="2">
        <v>0.41666666666666669</v>
      </c>
      <c r="BU533" t="s">
        <v>102</v>
      </c>
      <c r="BV533" t="s">
        <v>80</v>
      </c>
      <c r="BY533">
        <v>9720.2000000000007</v>
      </c>
      <c r="CC533" t="s">
        <v>100</v>
      </c>
      <c r="CD533">
        <v>6849</v>
      </c>
      <c r="CE533" t="s">
        <v>91</v>
      </c>
      <c r="CF533" s="1">
        <v>43944</v>
      </c>
      <c r="CI533">
        <v>3</v>
      </c>
      <c r="CJ533">
        <v>3</v>
      </c>
      <c r="CK533">
        <v>23</v>
      </c>
      <c r="CL533" t="s">
        <v>74</v>
      </c>
    </row>
    <row r="534" spans="1:90" x14ac:dyDescent="0.25">
      <c r="A534" t="s">
        <v>61</v>
      </c>
      <c r="B534" t="s">
        <v>62</v>
      </c>
      <c r="C534" t="s">
        <v>63</v>
      </c>
      <c r="E534" t="str">
        <f>"FES1162744833"</f>
        <v>FES1162744833</v>
      </c>
      <c r="F534" s="1">
        <v>43936</v>
      </c>
      <c r="G534">
        <v>202010</v>
      </c>
      <c r="H534" t="s">
        <v>64</v>
      </c>
      <c r="I534" t="s">
        <v>65</v>
      </c>
      <c r="J534" t="s">
        <v>66</v>
      </c>
      <c r="K534" t="s">
        <v>67</v>
      </c>
      <c r="L534" t="s">
        <v>184</v>
      </c>
      <c r="M534" t="s">
        <v>185</v>
      </c>
      <c r="N534" t="s">
        <v>186</v>
      </c>
      <c r="O534" t="s">
        <v>69</v>
      </c>
      <c r="P534" t="str">
        <f>"2170736066                    "</f>
        <v xml:space="preserve">2170736066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64.900000000000006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G534">
        <v>0</v>
      </c>
      <c r="BH534">
        <v>1</v>
      </c>
      <c r="BI534">
        <v>17.3</v>
      </c>
      <c r="BJ534">
        <v>8</v>
      </c>
      <c r="BK534">
        <v>17.5</v>
      </c>
      <c r="BL534">
        <v>713.94</v>
      </c>
      <c r="BM534">
        <v>107.09</v>
      </c>
      <c r="BN534">
        <v>821.03</v>
      </c>
      <c r="BO534">
        <v>821.03</v>
      </c>
      <c r="BQ534" t="s">
        <v>70</v>
      </c>
      <c r="BR534" t="s">
        <v>71</v>
      </c>
      <c r="BS534" s="1">
        <v>43937</v>
      </c>
      <c r="BT534" s="2">
        <v>0.45347222222222222</v>
      </c>
      <c r="BU534" t="s">
        <v>328</v>
      </c>
      <c r="BV534" t="s">
        <v>80</v>
      </c>
      <c r="BY534">
        <v>39919.949999999997</v>
      </c>
      <c r="CA534" t="s">
        <v>188</v>
      </c>
      <c r="CC534" t="s">
        <v>185</v>
      </c>
      <c r="CD534">
        <v>7130</v>
      </c>
      <c r="CE534" t="s">
        <v>91</v>
      </c>
      <c r="CF534" s="1">
        <v>43938</v>
      </c>
      <c r="CI534">
        <v>1</v>
      </c>
      <c r="CJ534">
        <v>1</v>
      </c>
      <c r="CK534">
        <v>23</v>
      </c>
      <c r="CL534" t="s">
        <v>74</v>
      </c>
    </row>
    <row r="535" spans="1:90" x14ac:dyDescent="0.25">
      <c r="A535" t="s">
        <v>61</v>
      </c>
      <c r="B535" t="s">
        <v>62</v>
      </c>
      <c r="C535" t="s">
        <v>63</v>
      </c>
      <c r="E535" t="str">
        <f>"FES1162744790"</f>
        <v>FES1162744790</v>
      </c>
      <c r="F535" s="1">
        <v>43936</v>
      </c>
      <c r="G535">
        <v>202010</v>
      </c>
      <c r="H535" t="s">
        <v>64</v>
      </c>
      <c r="I535" t="s">
        <v>65</v>
      </c>
      <c r="J535" t="s">
        <v>66</v>
      </c>
      <c r="K535" t="s">
        <v>67</v>
      </c>
      <c r="L535" t="s">
        <v>212</v>
      </c>
      <c r="M535" t="s">
        <v>213</v>
      </c>
      <c r="N535" t="s">
        <v>210</v>
      </c>
      <c r="O535" t="s">
        <v>69</v>
      </c>
      <c r="P535" t="str">
        <f>"2170736023                    "</f>
        <v xml:space="preserve">2170736023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4.1900000000000004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G535">
        <v>0</v>
      </c>
      <c r="BH535">
        <v>1</v>
      </c>
      <c r="BI535">
        <v>1</v>
      </c>
      <c r="BJ535">
        <v>0.2</v>
      </c>
      <c r="BK535">
        <v>1</v>
      </c>
      <c r="BL535">
        <v>46.06</v>
      </c>
      <c r="BM535">
        <v>6.91</v>
      </c>
      <c r="BN535">
        <v>52.97</v>
      </c>
      <c r="BO535">
        <v>52.97</v>
      </c>
      <c r="BQ535" t="s">
        <v>78</v>
      </c>
      <c r="BR535" t="s">
        <v>71</v>
      </c>
      <c r="BS535" s="1">
        <v>43937</v>
      </c>
      <c r="BT535" s="2">
        <v>0.54166666666666663</v>
      </c>
      <c r="BU535" t="s">
        <v>674</v>
      </c>
      <c r="BV535" t="s">
        <v>74</v>
      </c>
      <c r="BW535" t="s">
        <v>85</v>
      </c>
      <c r="BX535" t="s">
        <v>128</v>
      </c>
      <c r="BY535">
        <v>1200</v>
      </c>
      <c r="CC535" t="s">
        <v>213</v>
      </c>
      <c r="CD535">
        <v>3610</v>
      </c>
      <c r="CE535" t="s">
        <v>73</v>
      </c>
      <c r="CF535" s="1">
        <v>43938</v>
      </c>
      <c r="CI535">
        <v>1</v>
      </c>
      <c r="CJ535">
        <v>1</v>
      </c>
      <c r="CK535">
        <v>21</v>
      </c>
      <c r="CL535" t="s">
        <v>74</v>
      </c>
    </row>
    <row r="536" spans="1:90" x14ac:dyDescent="0.25">
      <c r="A536" t="s">
        <v>61</v>
      </c>
      <c r="B536" t="s">
        <v>62</v>
      </c>
      <c r="C536" t="s">
        <v>63</v>
      </c>
      <c r="E536" t="str">
        <f>"FES1162744787"</f>
        <v>FES1162744787</v>
      </c>
      <c r="F536" s="1">
        <v>43936</v>
      </c>
      <c r="G536">
        <v>202010</v>
      </c>
      <c r="H536" t="s">
        <v>64</v>
      </c>
      <c r="I536" t="s">
        <v>65</v>
      </c>
      <c r="J536" t="s">
        <v>66</v>
      </c>
      <c r="K536" t="s">
        <v>67</v>
      </c>
      <c r="L536" t="s">
        <v>221</v>
      </c>
      <c r="M536" t="s">
        <v>222</v>
      </c>
      <c r="N536" t="s">
        <v>771</v>
      </c>
      <c r="O536" t="s">
        <v>69</v>
      </c>
      <c r="P536" t="str">
        <f>"21707335212                   "</f>
        <v xml:space="preserve">21707335212  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5.89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G536">
        <v>0</v>
      </c>
      <c r="BH536">
        <v>1</v>
      </c>
      <c r="BI536">
        <v>1</v>
      </c>
      <c r="BJ536">
        <v>0.2</v>
      </c>
      <c r="BK536">
        <v>1</v>
      </c>
      <c r="BL536">
        <v>64.77</v>
      </c>
      <c r="BM536">
        <v>9.7200000000000006</v>
      </c>
      <c r="BN536">
        <v>74.489999999999995</v>
      </c>
      <c r="BO536">
        <v>74.489999999999995</v>
      </c>
      <c r="BQ536" t="s">
        <v>78</v>
      </c>
      <c r="BR536" t="s">
        <v>71</v>
      </c>
      <c r="BS536" s="1">
        <v>43938</v>
      </c>
      <c r="BT536" s="2">
        <v>0.41666666666666669</v>
      </c>
      <c r="BU536" t="s">
        <v>772</v>
      </c>
      <c r="BV536" t="s">
        <v>74</v>
      </c>
      <c r="BW536" t="s">
        <v>85</v>
      </c>
      <c r="BX536" t="s">
        <v>203</v>
      </c>
      <c r="BY536">
        <v>1200</v>
      </c>
      <c r="CC536" t="s">
        <v>222</v>
      </c>
      <c r="CD536">
        <v>2410</v>
      </c>
      <c r="CE536" t="s">
        <v>73</v>
      </c>
      <c r="CF536" s="1">
        <v>43941</v>
      </c>
      <c r="CI536">
        <v>1</v>
      </c>
      <c r="CJ536">
        <v>2</v>
      </c>
      <c r="CK536">
        <v>24</v>
      </c>
      <c r="CL536" t="s">
        <v>74</v>
      </c>
    </row>
    <row r="537" spans="1:90" x14ac:dyDescent="0.25">
      <c r="A537" t="s">
        <v>61</v>
      </c>
      <c r="B537" t="s">
        <v>62</v>
      </c>
      <c r="C537" t="s">
        <v>63</v>
      </c>
      <c r="E537" t="str">
        <f>"FES1162744909"</f>
        <v>FES1162744909</v>
      </c>
      <c r="F537" s="1">
        <v>43937</v>
      </c>
      <c r="G537">
        <v>202010</v>
      </c>
      <c r="H537" t="s">
        <v>64</v>
      </c>
      <c r="I537" t="s">
        <v>65</v>
      </c>
      <c r="J537" t="s">
        <v>66</v>
      </c>
      <c r="K537" t="s">
        <v>67</v>
      </c>
      <c r="L537" t="s">
        <v>151</v>
      </c>
      <c r="M537" t="s">
        <v>152</v>
      </c>
      <c r="N537" t="s">
        <v>773</v>
      </c>
      <c r="O537" t="s">
        <v>69</v>
      </c>
      <c r="P537" t="str">
        <f>"2170736145                    "</f>
        <v xml:space="preserve">2170736145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4.1900000000000004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G537">
        <v>0</v>
      </c>
      <c r="BH537">
        <v>1</v>
      </c>
      <c r="BI537">
        <v>2</v>
      </c>
      <c r="BJ537">
        <v>1.9</v>
      </c>
      <c r="BK537">
        <v>2</v>
      </c>
      <c r="BL537">
        <v>46.06</v>
      </c>
      <c r="BM537">
        <v>6.91</v>
      </c>
      <c r="BN537">
        <v>52.97</v>
      </c>
      <c r="BO537">
        <v>52.97</v>
      </c>
      <c r="BQ537" t="s">
        <v>70</v>
      </c>
      <c r="BR537" t="s">
        <v>71</v>
      </c>
      <c r="BS537" s="1">
        <v>43941</v>
      </c>
      <c r="BT537" s="2">
        <v>0.41666666666666669</v>
      </c>
      <c r="BU537" t="s">
        <v>774</v>
      </c>
      <c r="BV537" t="s">
        <v>74</v>
      </c>
      <c r="BY537">
        <v>9271.39</v>
      </c>
      <c r="CC537" t="s">
        <v>152</v>
      </c>
      <c r="CD537">
        <v>3201</v>
      </c>
      <c r="CE537" t="s">
        <v>91</v>
      </c>
      <c r="CF537" s="1">
        <v>43943</v>
      </c>
      <c r="CI537">
        <v>1</v>
      </c>
      <c r="CJ537">
        <v>2</v>
      </c>
      <c r="CK537">
        <v>21</v>
      </c>
      <c r="CL537" t="s">
        <v>74</v>
      </c>
    </row>
    <row r="538" spans="1:90" x14ac:dyDescent="0.25">
      <c r="A538" t="s">
        <v>61</v>
      </c>
      <c r="B538" t="s">
        <v>62</v>
      </c>
      <c r="C538" t="s">
        <v>63</v>
      </c>
      <c r="E538" t="str">
        <f>"FES1162745074"</f>
        <v>FES1162745074</v>
      </c>
      <c r="F538" s="1">
        <v>43943</v>
      </c>
      <c r="G538">
        <v>202010</v>
      </c>
      <c r="H538" t="s">
        <v>64</v>
      </c>
      <c r="I538" t="s">
        <v>65</v>
      </c>
      <c r="J538" t="s">
        <v>66</v>
      </c>
      <c r="K538" t="s">
        <v>67</v>
      </c>
      <c r="L538" t="s">
        <v>64</v>
      </c>
      <c r="M538" t="s">
        <v>65</v>
      </c>
      <c r="N538" t="s">
        <v>313</v>
      </c>
      <c r="O538" t="s">
        <v>69</v>
      </c>
      <c r="P538" t="str">
        <f>"2170735424                    "</f>
        <v xml:space="preserve">2170735424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4.0599999999999996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G538">
        <v>0</v>
      </c>
      <c r="BH538">
        <v>1</v>
      </c>
      <c r="BI538">
        <v>2.9</v>
      </c>
      <c r="BJ538">
        <v>1.3</v>
      </c>
      <c r="BK538">
        <v>3</v>
      </c>
      <c r="BL538">
        <v>44.61</v>
      </c>
      <c r="BM538">
        <v>6.69</v>
      </c>
      <c r="BN538">
        <v>51.3</v>
      </c>
      <c r="BO538">
        <v>51.3</v>
      </c>
      <c r="BQ538" t="s">
        <v>78</v>
      </c>
      <c r="BR538" t="s">
        <v>71</v>
      </c>
      <c r="BS538" s="1">
        <v>43944</v>
      </c>
      <c r="BT538" s="2">
        <v>0.41666666666666669</v>
      </c>
      <c r="BU538" t="s">
        <v>775</v>
      </c>
      <c r="BV538" t="s">
        <v>80</v>
      </c>
      <c r="BY538">
        <v>6485.16</v>
      </c>
      <c r="CC538" t="s">
        <v>65</v>
      </c>
      <c r="CD538">
        <v>1624</v>
      </c>
      <c r="CE538" t="s">
        <v>91</v>
      </c>
      <c r="CF538" s="1">
        <v>43945</v>
      </c>
      <c r="CI538">
        <v>1</v>
      </c>
      <c r="CJ538">
        <v>1</v>
      </c>
      <c r="CK538">
        <v>22</v>
      </c>
      <c r="CL538" t="s">
        <v>74</v>
      </c>
    </row>
    <row r="539" spans="1:90" x14ac:dyDescent="0.25">
      <c r="A539" t="s">
        <v>61</v>
      </c>
      <c r="B539" t="s">
        <v>62</v>
      </c>
      <c r="C539" t="s">
        <v>63</v>
      </c>
      <c r="E539" t="str">
        <f>"FES1162745070"</f>
        <v>FES1162745070</v>
      </c>
      <c r="F539" s="1">
        <v>43941</v>
      </c>
      <c r="G539">
        <v>202010</v>
      </c>
      <c r="H539" t="s">
        <v>64</v>
      </c>
      <c r="I539" t="s">
        <v>65</v>
      </c>
      <c r="J539" t="s">
        <v>66</v>
      </c>
      <c r="K539" t="s">
        <v>67</v>
      </c>
      <c r="L539" t="s">
        <v>81</v>
      </c>
      <c r="M539" t="s">
        <v>82</v>
      </c>
      <c r="N539" t="s">
        <v>83</v>
      </c>
      <c r="O539" t="s">
        <v>69</v>
      </c>
      <c r="P539" t="str">
        <f>"2170736289                    "</f>
        <v xml:space="preserve">2170736289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15.69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G539">
        <v>0</v>
      </c>
      <c r="BH539">
        <v>1</v>
      </c>
      <c r="BI539">
        <v>7.1</v>
      </c>
      <c r="BJ539">
        <v>4.9000000000000004</v>
      </c>
      <c r="BK539">
        <v>7.5</v>
      </c>
      <c r="BL539">
        <v>172.62</v>
      </c>
      <c r="BM539">
        <v>25.89</v>
      </c>
      <c r="BN539">
        <v>198.51</v>
      </c>
      <c r="BO539">
        <v>198.51</v>
      </c>
      <c r="BQ539" t="s">
        <v>78</v>
      </c>
      <c r="BR539" t="s">
        <v>71</v>
      </c>
      <c r="BS539" s="1">
        <v>43943</v>
      </c>
      <c r="BT539" s="2">
        <v>0.43402777777777773</v>
      </c>
      <c r="BU539" t="s">
        <v>84</v>
      </c>
      <c r="BV539" t="s">
        <v>74</v>
      </c>
      <c r="BW539" t="s">
        <v>85</v>
      </c>
      <c r="BX539" t="s">
        <v>86</v>
      </c>
      <c r="BY539">
        <v>24284.16</v>
      </c>
      <c r="CC539" t="s">
        <v>82</v>
      </c>
      <c r="CD539">
        <v>9300</v>
      </c>
      <c r="CE539" t="s">
        <v>91</v>
      </c>
      <c r="CF539" s="1">
        <v>43944</v>
      </c>
      <c r="CI539">
        <v>1</v>
      </c>
      <c r="CJ539">
        <v>2</v>
      </c>
      <c r="CK539">
        <v>21</v>
      </c>
      <c r="CL539" t="s">
        <v>74</v>
      </c>
    </row>
    <row r="540" spans="1:90" x14ac:dyDescent="0.25">
      <c r="A540" t="s">
        <v>61</v>
      </c>
      <c r="B540" t="s">
        <v>62</v>
      </c>
      <c r="C540" t="s">
        <v>63</v>
      </c>
      <c r="E540" t="str">
        <f>"FES1162745047"</f>
        <v>FES1162745047</v>
      </c>
      <c r="F540" s="1">
        <v>43941</v>
      </c>
      <c r="G540">
        <v>202010</v>
      </c>
      <c r="H540" t="s">
        <v>64</v>
      </c>
      <c r="I540" t="s">
        <v>65</v>
      </c>
      <c r="J540" t="s">
        <v>66</v>
      </c>
      <c r="K540" t="s">
        <v>67</v>
      </c>
      <c r="L540" t="s">
        <v>262</v>
      </c>
      <c r="M540" t="s">
        <v>262</v>
      </c>
      <c r="N540" t="s">
        <v>776</v>
      </c>
      <c r="O540" t="s">
        <v>69</v>
      </c>
      <c r="P540" t="str">
        <f>"2170736224                    "</f>
        <v xml:space="preserve">2170736224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8.11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G540">
        <v>0</v>
      </c>
      <c r="BH540">
        <v>1</v>
      </c>
      <c r="BI540">
        <v>0.2</v>
      </c>
      <c r="BJ540">
        <v>1</v>
      </c>
      <c r="BK540">
        <v>1</v>
      </c>
      <c r="BL540">
        <v>89.23</v>
      </c>
      <c r="BM540">
        <v>13.38</v>
      </c>
      <c r="BN540">
        <v>102.61</v>
      </c>
      <c r="BO540">
        <v>102.61</v>
      </c>
      <c r="BQ540" t="s">
        <v>70</v>
      </c>
      <c r="BR540" t="s">
        <v>71</v>
      </c>
      <c r="BS540" s="1">
        <v>43943</v>
      </c>
      <c r="BT540" s="2">
        <v>0.4694444444444445</v>
      </c>
      <c r="BU540" t="s">
        <v>777</v>
      </c>
      <c r="BV540" t="s">
        <v>74</v>
      </c>
      <c r="BW540" t="s">
        <v>265</v>
      </c>
      <c r="BX540" t="s">
        <v>547</v>
      </c>
      <c r="BY540">
        <v>4824.6000000000004</v>
      </c>
      <c r="CA540" t="s">
        <v>266</v>
      </c>
      <c r="CC540" t="s">
        <v>262</v>
      </c>
      <c r="CD540">
        <v>7646</v>
      </c>
      <c r="CE540" t="s">
        <v>91</v>
      </c>
      <c r="CF540" s="1">
        <v>43944</v>
      </c>
      <c r="CI540">
        <v>1</v>
      </c>
      <c r="CJ540">
        <v>2</v>
      </c>
      <c r="CK540">
        <v>23</v>
      </c>
      <c r="CL540" t="s">
        <v>74</v>
      </c>
    </row>
    <row r="541" spans="1:90" x14ac:dyDescent="0.25">
      <c r="A541" t="s">
        <v>61</v>
      </c>
      <c r="B541" t="s">
        <v>62</v>
      </c>
      <c r="C541" t="s">
        <v>63</v>
      </c>
      <c r="E541" t="str">
        <f>"FES1162745034"</f>
        <v>FES1162745034</v>
      </c>
      <c r="F541" s="1">
        <v>43941</v>
      </c>
      <c r="G541">
        <v>202010</v>
      </c>
      <c r="H541" t="s">
        <v>64</v>
      </c>
      <c r="I541" t="s">
        <v>65</v>
      </c>
      <c r="J541" t="s">
        <v>66</v>
      </c>
      <c r="K541" t="s">
        <v>67</v>
      </c>
      <c r="L541" t="s">
        <v>270</v>
      </c>
      <c r="M541" t="s">
        <v>271</v>
      </c>
      <c r="N541" t="s">
        <v>778</v>
      </c>
      <c r="O541" t="s">
        <v>69</v>
      </c>
      <c r="P541" t="str">
        <f>"2170734940                    "</f>
        <v xml:space="preserve">2170734940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3.27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G541">
        <v>0</v>
      </c>
      <c r="BH541">
        <v>1</v>
      </c>
      <c r="BI541">
        <v>1</v>
      </c>
      <c r="BJ541">
        <v>0.2</v>
      </c>
      <c r="BK541">
        <v>1</v>
      </c>
      <c r="BL541">
        <v>35.979999999999997</v>
      </c>
      <c r="BM541">
        <v>5.4</v>
      </c>
      <c r="BN541">
        <v>41.38</v>
      </c>
      <c r="BO541">
        <v>41.38</v>
      </c>
      <c r="BQ541" t="s">
        <v>78</v>
      </c>
      <c r="BR541" t="s">
        <v>71</v>
      </c>
      <c r="BS541" s="1">
        <v>43942</v>
      </c>
      <c r="BT541" s="2">
        <v>0.4513888888888889</v>
      </c>
      <c r="BU541" t="s">
        <v>779</v>
      </c>
      <c r="BV541" t="s">
        <v>74</v>
      </c>
      <c r="BW541" t="s">
        <v>85</v>
      </c>
      <c r="BX541" t="s">
        <v>606</v>
      </c>
      <c r="BY541">
        <v>1200</v>
      </c>
      <c r="CA541" t="s">
        <v>486</v>
      </c>
      <c r="CC541" t="s">
        <v>271</v>
      </c>
      <c r="CD541">
        <v>2110</v>
      </c>
      <c r="CE541" t="s">
        <v>73</v>
      </c>
      <c r="CI541">
        <v>1</v>
      </c>
      <c r="CJ541">
        <v>1</v>
      </c>
      <c r="CK541">
        <v>22</v>
      </c>
      <c r="CL541" t="s">
        <v>74</v>
      </c>
    </row>
    <row r="542" spans="1:90" x14ac:dyDescent="0.25">
      <c r="A542" t="s">
        <v>61</v>
      </c>
      <c r="B542" t="s">
        <v>62</v>
      </c>
      <c r="C542" t="s">
        <v>63</v>
      </c>
      <c r="E542" t="str">
        <f>"FES1162744856"</f>
        <v>FES1162744856</v>
      </c>
      <c r="F542" s="1">
        <v>43937</v>
      </c>
      <c r="G542">
        <v>202010</v>
      </c>
      <c r="H542" t="s">
        <v>64</v>
      </c>
      <c r="I542" t="s">
        <v>65</v>
      </c>
      <c r="J542" t="s">
        <v>66</v>
      </c>
      <c r="K542" t="s">
        <v>67</v>
      </c>
      <c r="L542" t="s">
        <v>120</v>
      </c>
      <c r="M542" t="s">
        <v>121</v>
      </c>
      <c r="N542" t="s">
        <v>780</v>
      </c>
      <c r="O542" t="s">
        <v>69</v>
      </c>
      <c r="P542" t="str">
        <f>"2170736086                    "</f>
        <v xml:space="preserve">2170736086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4.1900000000000004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G542">
        <v>0</v>
      </c>
      <c r="BH542">
        <v>1</v>
      </c>
      <c r="BI542">
        <v>1</v>
      </c>
      <c r="BJ542">
        <v>0.2</v>
      </c>
      <c r="BK542">
        <v>1</v>
      </c>
      <c r="BL542">
        <v>46.06</v>
      </c>
      <c r="BM542">
        <v>6.91</v>
      </c>
      <c r="BN542">
        <v>52.97</v>
      </c>
      <c r="BO542">
        <v>52.97</v>
      </c>
      <c r="BQ542" t="s">
        <v>78</v>
      </c>
      <c r="BR542" t="s">
        <v>71</v>
      </c>
      <c r="BS542" s="1">
        <v>43938</v>
      </c>
      <c r="BT542" s="2">
        <v>0.43263888888888885</v>
      </c>
      <c r="BU542" t="s">
        <v>781</v>
      </c>
      <c r="BV542" t="s">
        <v>80</v>
      </c>
      <c r="BY542">
        <v>1200</v>
      </c>
      <c r="CA542" t="s">
        <v>592</v>
      </c>
      <c r="CC542" t="s">
        <v>121</v>
      </c>
      <c r="CD542">
        <v>4091</v>
      </c>
      <c r="CE542" t="s">
        <v>73</v>
      </c>
      <c r="CF542" s="1">
        <v>43941</v>
      </c>
      <c r="CI542">
        <v>1</v>
      </c>
      <c r="CJ542">
        <v>1</v>
      </c>
      <c r="CK542">
        <v>21</v>
      </c>
      <c r="CL542" t="s">
        <v>74</v>
      </c>
    </row>
    <row r="543" spans="1:90" x14ac:dyDescent="0.25">
      <c r="A543" t="s">
        <v>61</v>
      </c>
      <c r="B543" t="s">
        <v>62</v>
      </c>
      <c r="C543" t="s">
        <v>63</v>
      </c>
      <c r="E543" t="str">
        <f>"FES1162745005"</f>
        <v>FES1162745005</v>
      </c>
      <c r="F543" s="1">
        <v>43943</v>
      </c>
      <c r="G543">
        <v>202010</v>
      </c>
      <c r="H543" t="s">
        <v>64</v>
      </c>
      <c r="I543" t="s">
        <v>65</v>
      </c>
      <c r="J543" t="s">
        <v>66</v>
      </c>
      <c r="K543" t="s">
        <v>67</v>
      </c>
      <c r="L543" t="s">
        <v>120</v>
      </c>
      <c r="M543" t="s">
        <v>121</v>
      </c>
      <c r="N543" t="s">
        <v>278</v>
      </c>
      <c r="O543" t="s">
        <v>69</v>
      </c>
      <c r="P543" t="str">
        <f>"2170736200                    "</f>
        <v xml:space="preserve">2170736200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4.1900000000000004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G543">
        <v>0</v>
      </c>
      <c r="BH543">
        <v>1</v>
      </c>
      <c r="BI543">
        <v>1</v>
      </c>
      <c r="BJ543">
        <v>0.2</v>
      </c>
      <c r="BK543">
        <v>1</v>
      </c>
      <c r="BL543">
        <v>46.06</v>
      </c>
      <c r="BM543">
        <v>6.91</v>
      </c>
      <c r="BN543">
        <v>52.97</v>
      </c>
      <c r="BO543">
        <v>52.97</v>
      </c>
      <c r="BQ543" t="s">
        <v>70</v>
      </c>
      <c r="BR543" t="s">
        <v>71</v>
      </c>
      <c r="BS543" s="1">
        <v>43944</v>
      </c>
      <c r="BT543" s="2">
        <v>0.53819444444444442</v>
      </c>
      <c r="BU543" t="s">
        <v>755</v>
      </c>
      <c r="BV543" t="s">
        <v>74</v>
      </c>
      <c r="BW543" t="s">
        <v>85</v>
      </c>
      <c r="BX543" t="s">
        <v>735</v>
      </c>
      <c r="BY543">
        <v>1200</v>
      </c>
      <c r="CA543" t="s">
        <v>627</v>
      </c>
      <c r="CC543" t="s">
        <v>121</v>
      </c>
      <c r="CD543">
        <v>4001</v>
      </c>
      <c r="CE543" t="s">
        <v>73</v>
      </c>
      <c r="CF543" s="1">
        <v>43945</v>
      </c>
      <c r="CI543">
        <v>1</v>
      </c>
      <c r="CJ543">
        <v>1</v>
      </c>
      <c r="CK543">
        <v>21</v>
      </c>
      <c r="CL543" t="s">
        <v>74</v>
      </c>
    </row>
    <row r="544" spans="1:90" x14ac:dyDescent="0.25">
      <c r="A544" t="s">
        <v>61</v>
      </c>
      <c r="B544" t="s">
        <v>62</v>
      </c>
      <c r="C544" t="s">
        <v>63</v>
      </c>
      <c r="E544" t="str">
        <f>"FES1162745712"</f>
        <v>FES1162745712</v>
      </c>
      <c r="F544" s="1">
        <v>43951</v>
      </c>
      <c r="G544">
        <v>202010</v>
      </c>
      <c r="H544" t="s">
        <v>64</v>
      </c>
      <c r="I544" t="s">
        <v>65</v>
      </c>
      <c r="J544" t="s">
        <v>66</v>
      </c>
      <c r="K544" t="s">
        <v>67</v>
      </c>
      <c r="L544" t="s">
        <v>64</v>
      </c>
      <c r="M544" t="s">
        <v>65</v>
      </c>
      <c r="N544" t="s">
        <v>782</v>
      </c>
      <c r="O544" t="s">
        <v>69</v>
      </c>
      <c r="P544" t="str">
        <f>"2170735720                    "</f>
        <v xml:space="preserve">2170735720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3.27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G544">
        <v>0</v>
      </c>
      <c r="BH544">
        <v>1</v>
      </c>
      <c r="BI544">
        <v>1</v>
      </c>
      <c r="BJ544">
        <v>0.2</v>
      </c>
      <c r="BK544">
        <v>1</v>
      </c>
      <c r="BL544">
        <v>35.979999999999997</v>
      </c>
      <c r="BM544">
        <v>5.4</v>
      </c>
      <c r="BN544">
        <v>41.38</v>
      </c>
      <c r="BO544">
        <v>41.38</v>
      </c>
      <c r="BQ544" t="s">
        <v>783</v>
      </c>
      <c r="BR544" t="s">
        <v>71</v>
      </c>
      <c r="BS544" t="s">
        <v>72</v>
      </c>
      <c r="BY544">
        <v>1200</v>
      </c>
      <c r="CC544" t="s">
        <v>65</v>
      </c>
      <c r="CD544">
        <v>1601</v>
      </c>
      <c r="CE544" t="s">
        <v>73</v>
      </c>
      <c r="CI544">
        <v>1</v>
      </c>
      <c r="CJ544" t="s">
        <v>72</v>
      </c>
      <c r="CK544">
        <v>22</v>
      </c>
      <c r="CL544" t="s">
        <v>74</v>
      </c>
    </row>
    <row r="545" spans="1:90" x14ac:dyDescent="0.25">
      <c r="A545" t="s">
        <v>61</v>
      </c>
      <c r="B545" t="s">
        <v>62</v>
      </c>
      <c r="C545" t="s">
        <v>63</v>
      </c>
      <c r="E545" t="str">
        <f>"RFES1162743949"</f>
        <v>RFES1162743949</v>
      </c>
      <c r="F545" s="1">
        <v>43938</v>
      </c>
      <c r="G545">
        <v>202010</v>
      </c>
      <c r="H545" t="s">
        <v>92</v>
      </c>
      <c r="I545" t="s">
        <v>93</v>
      </c>
      <c r="J545" t="s">
        <v>784</v>
      </c>
      <c r="K545" t="s">
        <v>67</v>
      </c>
      <c r="L545" t="s">
        <v>64</v>
      </c>
      <c r="M545" t="s">
        <v>65</v>
      </c>
      <c r="N545" t="s">
        <v>66</v>
      </c>
      <c r="O545" t="s">
        <v>69</v>
      </c>
      <c r="P545" t="str">
        <f>"2170735113                    "</f>
        <v xml:space="preserve">2170735113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6.28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G545">
        <v>0</v>
      </c>
      <c r="BH545">
        <v>1</v>
      </c>
      <c r="BI545">
        <v>2.7</v>
      </c>
      <c r="BJ545">
        <v>1.3</v>
      </c>
      <c r="BK545">
        <v>3</v>
      </c>
      <c r="BL545">
        <v>69.069999999999993</v>
      </c>
      <c r="BM545">
        <v>10.36</v>
      </c>
      <c r="BN545">
        <v>79.430000000000007</v>
      </c>
      <c r="BO545">
        <v>79.430000000000007</v>
      </c>
      <c r="BQ545" t="s">
        <v>71</v>
      </c>
      <c r="BR545" t="s">
        <v>268</v>
      </c>
      <c r="BS545" s="1">
        <v>43941</v>
      </c>
      <c r="BT545" s="2">
        <v>0.34027777777777773</v>
      </c>
      <c r="BU545" t="s">
        <v>785</v>
      </c>
      <c r="BV545" t="s">
        <v>80</v>
      </c>
      <c r="BY545">
        <v>6674</v>
      </c>
      <c r="CC545" t="s">
        <v>65</v>
      </c>
      <c r="CD545">
        <v>1601</v>
      </c>
      <c r="CE545" t="s">
        <v>91</v>
      </c>
      <c r="CF545" s="1">
        <v>43942</v>
      </c>
      <c r="CI545">
        <v>1</v>
      </c>
      <c r="CJ545">
        <v>1</v>
      </c>
      <c r="CK545">
        <v>21</v>
      </c>
      <c r="CL545" t="s">
        <v>74</v>
      </c>
    </row>
    <row r="546" spans="1:90" x14ac:dyDescent="0.25">
      <c r="A546" t="s">
        <v>61</v>
      </c>
      <c r="B546" t="s">
        <v>62</v>
      </c>
      <c r="C546" t="s">
        <v>63</v>
      </c>
      <c r="E546" t="str">
        <f>"FES1162744124"</f>
        <v>FES1162744124</v>
      </c>
      <c r="F546" s="1">
        <v>43937</v>
      </c>
      <c r="G546">
        <v>202010</v>
      </c>
      <c r="H546" t="s">
        <v>64</v>
      </c>
      <c r="I546" t="s">
        <v>65</v>
      </c>
      <c r="J546" t="s">
        <v>66</v>
      </c>
      <c r="K546" t="s">
        <v>67</v>
      </c>
      <c r="L546" t="s">
        <v>254</v>
      </c>
      <c r="M546" t="s">
        <v>255</v>
      </c>
      <c r="N546" t="s">
        <v>726</v>
      </c>
      <c r="O546" t="s">
        <v>69</v>
      </c>
      <c r="P546" t="str">
        <f>"2170732481                    "</f>
        <v xml:space="preserve">2170732481   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4.1900000000000004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G546">
        <v>0</v>
      </c>
      <c r="BH546">
        <v>1</v>
      </c>
      <c r="BI546">
        <v>1</v>
      </c>
      <c r="BJ546">
        <v>0.2</v>
      </c>
      <c r="BK546">
        <v>1</v>
      </c>
      <c r="BL546">
        <v>46.06</v>
      </c>
      <c r="BM546">
        <v>6.91</v>
      </c>
      <c r="BN546">
        <v>52.97</v>
      </c>
      <c r="BO546">
        <v>52.97</v>
      </c>
      <c r="BQ546" t="s">
        <v>268</v>
      </c>
      <c r="BR546" t="s">
        <v>71</v>
      </c>
      <c r="BS546" s="1">
        <v>43941</v>
      </c>
      <c r="BT546" s="2">
        <v>0.46180555555555558</v>
      </c>
      <c r="BU546" t="s">
        <v>786</v>
      </c>
      <c r="BV546" t="s">
        <v>74</v>
      </c>
      <c r="BW546" t="s">
        <v>258</v>
      </c>
      <c r="BX546" t="s">
        <v>259</v>
      </c>
      <c r="BY546">
        <v>1200</v>
      </c>
      <c r="CA546" t="s">
        <v>183</v>
      </c>
      <c r="CC546" t="s">
        <v>255</v>
      </c>
      <c r="CD546">
        <v>186</v>
      </c>
      <c r="CE546" t="s">
        <v>73</v>
      </c>
      <c r="CF546" s="1">
        <v>43942</v>
      </c>
      <c r="CI546">
        <v>1</v>
      </c>
      <c r="CJ546">
        <v>2</v>
      </c>
      <c r="CK546">
        <v>21</v>
      </c>
      <c r="CL546" t="s">
        <v>74</v>
      </c>
    </row>
    <row r="547" spans="1:90" x14ac:dyDescent="0.25">
      <c r="A547" t="s">
        <v>61</v>
      </c>
      <c r="B547" t="s">
        <v>62</v>
      </c>
      <c r="C547" t="s">
        <v>63</v>
      </c>
      <c r="E547" t="str">
        <f>"FES1162744864"</f>
        <v>FES1162744864</v>
      </c>
      <c r="F547" s="1">
        <v>43937</v>
      </c>
      <c r="G547">
        <v>202010</v>
      </c>
      <c r="H547" t="s">
        <v>64</v>
      </c>
      <c r="I547" t="s">
        <v>65</v>
      </c>
      <c r="J547" t="s">
        <v>66</v>
      </c>
      <c r="K547" t="s">
        <v>67</v>
      </c>
      <c r="L547" t="s">
        <v>99</v>
      </c>
      <c r="M547" t="s">
        <v>100</v>
      </c>
      <c r="N547" t="s">
        <v>512</v>
      </c>
      <c r="O547" t="s">
        <v>69</v>
      </c>
      <c r="P547" t="str">
        <f>"2170736100                    "</f>
        <v xml:space="preserve">2170736100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8.11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G547">
        <v>0</v>
      </c>
      <c r="BH547">
        <v>1</v>
      </c>
      <c r="BI547">
        <v>1</v>
      </c>
      <c r="BJ547">
        <v>0.2</v>
      </c>
      <c r="BK547">
        <v>1</v>
      </c>
      <c r="BL547">
        <v>89.23</v>
      </c>
      <c r="BM547">
        <v>13.38</v>
      </c>
      <c r="BN547">
        <v>102.61</v>
      </c>
      <c r="BO547">
        <v>102.61</v>
      </c>
      <c r="BQ547" t="s">
        <v>268</v>
      </c>
      <c r="BR547" t="s">
        <v>71</v>
      </c>
      <c r="BS547" s="1">
        <v>43941</v>
      </c>
      <c r="BT547" s="2">
        <v>0.50069444444444444</v>
      </c>
      <c r="BU547" t="s">
        <v>513</v>
      </c>
      <c r="BV547" t="s">
        <v>80</v>
      </c>
      <c r="BY547">
        <v>1200</v>
      </c>
      <c r="CA547" t="s">
        <v>103</v>
      </c>
      <c r="CC547" t="s">
        <v>100</v>
      </c>
      <c r="CD547">
        <v>6850</v>
      </c>
      <c r="CE547" t="s">
        <v>73</v>
      </c>
      <c r="CF547" s="1">
        <v>43944</v>
      </c>
      <c r="CI547">
        <v>3</v>
      </c>
      <c r="CJ547">
        <v>2</v>
      </c>
      <c r="CK547">
        <v>23</v>
      </c>
      <c r="CL547" t="s">
        <v>74</v>
      </c>
    </row>
    <row r="548" spans="1:90" x14ac:dyDescent="0.25">
      <c r="A548" t="s">
        <v>61</v>
      </c>
      <c r="B548" t="s">
        <v>62</v>
      </c>
      <c r="C548" t="s">
        <v>63</v>
      </c>
      <c r="E548" t="str">
        <f>"FES1162745013"</f>
        <v>FES1162745013</v>
      </c>
      <c r="F548" s="1">
        <v>43941</v>
      </c>
      <c r="G548">
        <v>202010</v>
      </c>
      <c r="H548" t="s">
        <v>64</v>
      </c>
      <c r="I548" t="s">
        <v>65</v>
      </c>
      <c r="J548" t="s">
        <v>66</v>
      </c>
      <c r="K548" t="s">
        <v>67</v>
      </c>
      <c r="L548" t="s">
        <v>92</v>
      </c>
      <c r="M548" t="s">
        <v>93</v>
      </c>
      <c r="N548" t="s">
        <v>329</v>
      </c>
      <c r="O548" t="s">
        <v>69</v>
      </c>
      <c r="P548" t="str">
        <f>"2170736215                    "</f>
        <v xml:space="preserve">2170736215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5.23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G548">
        <v>0</v>
      </c>
      <c r="BH548">
        <v>1</v>
      </c>
      <c r="BI548">
        <v>2.5</v>
      </c>
      <c r="BJ548">
        <v>1.4</v>
      </c>
      <c r="BK548">
        <v>2.5</v>
      </c>
      <c r="BL548">
        <v>57.56</v>
      </c>
      <c r="BM548">
        <v>8.6300000000000008</v>
      </c>
      <c r="BN548">
        <v>66.19</v>
      </c>
      <c r="BO548">
        <v>66.19</v>
      </c>
      <c r="BQ548" t="s">
        <v>70</v>
      </c>
      <c r="BR548" t="s">
        <v>71</v>
      </c>
      <c r="BS548" s="1">
        <v>43942</v>
      </c>
      <c r="BT548" s="2">
        <v>0.37222222222222223</v>
      </c>
      <c r="BU548" t="s">
        <v>787</v>
      </c>
      <c r="BV548" t="s">
        <v>80</v>
      </c>
      <c r="BY548">
        <v>6920.76</v>
      </c>
      <c r="CA548" t="s">
        <v>544</v>
      </c>
      <c r="CC548" t="s">
        <v>93</v>
      </c>
      <c r="CD548">
        <v>7441</v>
      </c>
      <c r="CE548" t="s">
        <v>91</v>
      </c>
      <c r="CF548" s="1">
        <v>43943</v>
      </c>
      <c r="CI548">
        <v>1</v>
      </c>
      <c r="CJ548">
        <v>1</v>
      </c>
      <c r="CK548">
        <v>21</v>
      </c>
      <c r="CL548" t="s">
        <v>74</v>
      </c>
    </row>
    <row r="549" spans="1:90" x14ac:dyDescent="0.25">
      <c r="A549" t="s">
        <v>61</v>
      </c>
      <c r="B549" t="s">
        <v>62</v>
      </c>
      <c r="C549" t="s">
        <v>63</v>
      </c>
      <c r="E549" t="str">
        <f>"FES1162745124"</f>
        <v>FES1162745124</v>
      </c>
      <c r="F549" s="1">
        <v>43942</v>
      </c>
      <c r="G549">
        <v>202010</v>
      </c>
      <c r="H549" t="s">
        <v>64</v>
      </c>
      <c r="I549" t="s">
        <v>65</v>
      </c>
      <c r="J549" t="s">
        <v>66</v>
      </c>
      <c r="K549" t="s">
        <v>67</v>
      </c>
      <c r="L549" t="s">
        <v>92</v>
      </c>
      <c r="M549" t="s">
        <v>93</v>
      </c>
      <c r="N549" t="s">
        <v>788</v>
      </c>
      <c r="O549" t="s">
        <v>69</v>
      </c>
      <c r="P549" t="str">
        <f>"2170736258                    "</f>
        <v xml:space="preserve">2170736258       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5.23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G549">
        <v>0</v>
      </c>
      <c r="BH549">
        <v>1</v>
      </c>
      <c r="BI549">
        <v>0.5</v>
      </c>
      <c r="BJ549">
        <v>2.1</v>
      </c>
      <c r="BK549">
        <v>2.5</v>
      </c>
      <c r="BL549">
        <v>57.56</v>
      </c>
      <c r="BM549">
        <v>8.6300000000000008</v>
      </c>
      <c r="BN549">
        <v>66.19</v>
      </c>
      <c r="BO549">
        <v>66.19</v>
      </c>
      <c r="BQ549" t="s">
        <v>70</v>
      </c>
      <c r="BR549" t="s">
        <v>71</v>
      </c>
      <c r="BS549" s="1">
        <v>43943</v>
      </c>
      <c r="BT549" s="2">
        <v>0.60347222222222219</v>
      </c>
      <c r="BU549" t="s">
        <v>789</v>
      </c>
      <c r="BV549" t="s">
        <v>74</v>
      </c>
      <c r="BW549" t="s">
        <v>96</v>
      </c>
      <c r="BX549" t="s">
        <v>547</v>
      </c>
      <c r="BY549">
        <v>10619.13</v>
      </c>
      <c r="CA549" t="s">
        <v>98</v>
      </c>
      <c r="CC549" t="s">
        <v>93</v>
      </c>
      <c r="CD549">
        <v>7925</v>
      </c>
      <c r="CE549" t="s">
        <v>73</v>
      </c>
      <c r="CF549" s="1">
        <v>43944</v>
      </c>
      <c r="CI549">
        <v>1</v>
      </c>
      <c r="CJ549">
        <v>1</v>
      </c>
      <c r="CK549">
        <v>21</v>
      </c>
      <c r="CL549" t="s">
        <v>74</v>
      </c>
    </row>
    <row r="550" spans="1:90" x14ac:dyDescent="0.25">
      <c r="A550" t="s">
        <v>61</v>
      </c>
      <c r="B550" t="s">
        <v>62</v>
      </c>
      <c r="C550" t="s">
        <v>63</v>
      </c>
      <c r="E550" t="str">
        <f>"FES1162744887"</f>
        <v>FES1162744887</v>
      </c>
      <c r="F550" s="1">
        <v>43937</v>
      </c>
      <c r="G550">
        <v>202010</v>
      </c>
      <c r="H550" t="s">
        <v>64</v>
      </c>
      <c r="I550" t="s">
        <v>65</v>
      </c>
      <c r="J550" t="s">
        <v>66</v>
      </c>
      <c r="K550" t="s">
        <v>67</v>
      </c>
      <c r="L550" t="s">
        <v>92</v>
      </c>
      <c r="M550" t="s">
        <v>93</v>
      </c>
      <c r="N550" t="s">
        <v>671</v>
      </c>
      <c r="O550" t="s">
        <v>69</v>
      </c>
      <c r="P550" t="str">
        <f>"2170735483                    "</f>
        <v xml:space="preserve">2170735483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4.1900000000000004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G550">
        <v>0</v>
      </c>
      <c r="BH550">
        <v>1</v>
      </c>
      <c r="BI550">
        <v>1</v>
      </c>
      <c r="BJ550">
        <v>0.2</v>
      </c>
      <c r="BK550">
        <v>1</v>
      </c>
      <c r="BL550">
        <v>46.06</v>
      </c>
      <c r="BM550">
        <v>6.91</v>
      </c>
      <c r="BN550">
        <v>52.97</v>
      </c>
      <c r="BO550">
        <v>52.97</v>
      </c>
      <c r="BQ550" t="s">
        <v>78</v>
      </c>
      <c r="BR550" t="s">
        <v>71</v>
      </c>
      <c r="BS550" s="1">
        <v>43938</v>
      </c>
      <c r="BT550" s="2">
        <v>0.54305555555555551</v>
      </c>
      <c r="BU550" t="s">
        <v>672</v>
      </c>
      <c r="BV550" t="s">
        <v>74</v>
      </c>
      <c r="BW550" t="s">
        <v>96</v>
      </c>
      <c r="BX550" t="s">
        <v>97</v>
      </c>
      <c r="BY550">
        <v>1200</v>
      </c>
      <c r="CA550" t="s">
        <v>164</v>
      </c>
      <c r="CC550" t="s">
        <v>93</v>
      </c>
      <c r="CD550">
        <v>7405</v>
      </c>
      <c r="CE550" t="s">
        <v>73</v>
      </c>
      <c r="CF550" s="1">
        <v>43941</v>
      </c>
      <c r="CI550">
        <v>1</v>
      </c>
      <c r="CJ550">
        <v>1</v>
      </c>
      <c r="CK550">
        <v>21</v>
      </c>
      <c r="CL550" t="s">
        <v>74</v>
      </c>
    </row>
    <row r="551" spans="1:90" x14ac:dyDescent="0.25">
      <c r="A551" t="s">
        <v>61</v>
      </c>
      <c r="B551" t="s">
        <v>62</v>
      </c>
      <c r="C551" t="s">
        <v>63</v>
      </c>
      <c r="E551" t="str">
        <f>"FES1162744862"</f>
        <v>FES1162744862</v>
      </c>
      <c r="F551" s="1">
        <v>43937</v>
      </c>
      <c r="G551">
        <v>202010</v>
      </c>
      <c r="H551" t="s">
        <v>64</v>
      </c>
      <c r="I551" t="s">
        <v>65</v>
      </c>
      <c r="J551" t="s">
        <v>66</v>
      </c>
      <c r="K551" t="s">
        <v>67</v>
      </c>
      <c r="L551" t="s">
        <v>199</v>
      </c>
      <c r="M551" t="s">
        <v>200</v>
      </c>
      <c r="N551" t="s">
        <v>488</v>
      </c>
      <c r="O551" t="s">
        <v>69</v>
      </c>
      <c r="P551" t="str">
        <f>"2170736031                    "</f>
        <v xml:space="preserve">2170736031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3.66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G551">
        <v>0</v>
      </c>
      <c r="BH551">
        <v>1</v>
      </c>
      <c r="BI551">
        <v>0.8</v>
      </c>
      <c r="BJ551">
        <v>2.5</v>
      </c>
      <c r="BK551">
        <v>2.5</v>
      </c>
      <c r="BL551">
        <v>40.29</v>
      </c>
      <c r="BM551">
        <v>6.04</v>
      </c>
      <c r="BN551">
        <v>46.33</v>
      </c>
      <c r="BO551">
        <v>46.33</v>
      </c>
      <c r="BQ551" t="s">
        <v>78</v>
      </c>
      <c r="BR551" t="s">
        <v>71</v>
      </c>
      <c r="BS551" s="1">
        <v>43938</v>
      </c>
      <c r="BT551" s="2">
        <v>0.41666666666666669</v>
      </c>
      <c r="BU551" t="s">
        <v>790</v>
      </c>
      <c r="BV551" t="s">
        <v>80</v>
      </c>
      <c r="BY551">
        <v>12677.28</v>
      </c>
      <c r="CA551" t="s">
        <v>437</v>
      </c>
      <c r="CC551" t="s">
        <v>200</v>
      </c>
      <c r="CD551">
        <v>1559</v>
      </c>
      <c r="CE551" t="s">
        <v>73</v>
      </c>
      <c r="CF551" s="1">
        <v>43941</v>
      </c>
      <c r="CI551">
        <v>1</v>
      </c>
      <c r="CJ551">
        <v>1</v>
      </c>
      <c r="CK551">
        <v>22</v>
      </c>
      <c r="CL551" t="s">
        <v>74</v>
      </c>
    </row>
    <row r="552" spans="1:90" x14ac:dyDescent="0.25">
      <c r="A552" t="s">
        <v>61</v>
      </c>
      <c r="B552" t="s">
        <v>62</v>
      </c>
      <c r="C552" t="s">
        <v>63</v>
      </c>
      <c r="E552" t="str">
        <f>"FES1162744897"</f>
        <v>FES1162744897</v>
      </c>
      <c r="F552" s="1">
        <v>43937</v>
      </c>
      <c r="G552">
        <v>202010</v>
      </c>
      <c r="H552" t="s">
        <v>64</v>
      </c>
      <c r="I552" t="s">
        <v>65</v>
      </c>
      <c r="J552" t="s">
        <v>66</v>
      </c>
      <c r="K552" t="s">
        <v>67</v>
      </c>
      <c r="L552" t="s">
        <v>791</v>
      </c>
      <c r="M552" t="s">
        <v>792</v>
      </c>
      <c r="N552" t="s">
        <v>793</v>
      </c>
      <c r="O552" t="s">
        <v>230</v>
      </c>
      <c r="P552" t="str">
        <f>"2170736106                    "</f>
        <v xml:space="preserve">2170736106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27.66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G552">
        <v>0</v>
      </c>
      <c r="BH552">
        <v>2</v>
      </c>
      <c r="BI552">
        <v>43.5</v>
      </c>
      <c r="BJ552">
        <v>20.6</v>
      </c>
      <c r="BK552">
        <v>44</v>
      </c>
      <c r="BL552">
        <v>309.3</v>
      </c>
      <c r="BM552">
        <v>46.4</v>
      </c>
      <c r="BN552">
        <v>355.7</v>
      </c>
      <c r="BO552">
        <v>355.7</v>
      </c>
      <c r="BP552" t="s">
        <v>657</v>
      </c>
      <c r="BQ552" t="s">
        <v>78</v>
      </c>
      <c r="BR552" t="s">
        <v>71</v>
      </c>
      <c r="BS552" s="1">
        <v>43942</v>
      </c>
      <c r="BT552" s="2">
        <v>0.45</v>
      </c>
      <c r="BU552" t="s">
        <v>794</v>
      </c>
      <c r="BV552" t="s">
        <v>80</v>
      </c>
      <c r="BY552">
        <v>102873.44</v>
      </c>
      <c r="CA552" t="s">
        <v>795</v>
      </c>
      <c r="CC552" t="s">
        <v>792</v>
      </c>
      <c r="CD552">
        <v>7160</v>
      </c>
      <c r="CE552" t="s">
        <v>381</v>
      </c>
      <c r="CF552" s="1">
        <v>43944</v>
      </c>
      <c r="CI552">
        <v>3</v>
      </c>
      <c r="CJ552">
        <v>3</v>
      </c>
      <c r="CK552" t="s">
        <v>796</v>
      </c>
      <c r="CL552" t="s">
        <v>74</v>
      </c>
    </row>
    <row r="553" spans="1:90" x14ac:dyDescent="0.25">
      <c r="A553" t="s">
        <v>61</v>
      </c>
      <c r="B553" t="s">
        <v>62</v>
      </c>
      <c r="C553" t="s">
        <v>63</v>
      </c>
      <c r="E553" t="str">
        <f>"FES1162744931"</f>
        <v>FES1162744931</v>
      </c>
      <c r="F553" s="1">
        <v>43941</v>
      </c>
      <c r="G553">
        <v>202010</v>
      </c>
      <c r="H553" t="s">
        <v>64</v>
      </c>
      <c r="I553" t="s">
        <v>65</v>
      </c>
      <c r="J553" t="s">
        <v>66</v>
      </c>
      <c r="K553" t="s">
        <v>67</v>
      </c>
      <c r="L553" t="s">
        <v>450</v>
      </c>
      <c r="M553" t="s">
        <v>451</v>
      </c>
      <c r="N553" t="s">
        <v>452</v>
      </c>
      <c r="O553" t="s">
        <v>69</v>
      </c>
      <c r="P553" t="str">
        <f>"2170736169                    "</f>
        <v xml:space="preserve">2170736169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4.1900000000000004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G553">
        <v>0</v>
      </c>
      <c r="BH553">
        <v>1</v>
      </c>
      <c r="BI553">
        <v>1</v>
      </c>
      <c r="BJ553">
        <v>0.2</v>
      </c>
      <c r="BK553">
        <v>1</v>
      </c>
      <c r="BL553">
        <v>46.06</v>
      </c>
      <c r="BM553">
        <v>6.91</v>
      </c>
      <c r="BN553">
        <v>52.97</v>
      </c>
      <c r="BO553">
        <v>52.97</v>
      </c>
      <c r="BQ553" t="s">
        <v>78</v>
      </c>
      <c r="BR553" t="s">
        <v>71</v>
      </c>
      <c r="BS553" s="1">
        <v>43943</v>
      </c>
      <c r="BT553" s="2">
        <v>0.42083333333333334</v>
      </c>
      <c r="BU553" t="s">
        <v>797</v>
      </c>
      <c r="BV553" t="s">
        <v>74</v>
      </c>
      <c r="BY553">
        <v>1200</v>
      </c>
      <c r="CA553" t="s">
        <v>798</v>
      </c>
      <c r="CC553" t="s">
        <v>451</v>
      </c>
      <c r="CD553">
        <v>1240</v>
      </c>
      <c r="CE553" t="s">
        <v>73</v>
      </c>
      <c r="CF553" s="1">
        <v>43945</v>
      </c>
      <c r="CI553">
        <v>1</v>
      </c>
      <c r="CJ553">
        <v>2</v>
      </c>
      <c r="CK553">
        <v>21</v>
      </c>
      <c r="CL553" t="s">
        <v>74</v>
      </c>
    </row>
    <row r="554" spans="1:90" x14ac:dyDescent="0.25">
      <c r="A554" t="s">
        <v>61</v>
      </c>
      <c r="B554" t="s">
        <v>62</v>
      </c>
      <c r="C554" t="s">
        <v>63</v>
      </c>
      <c r="E554" t="str">
        <f>"FES1162744926"</f>
        <v>FES1162744926</v>
      </c>
      <c r="F554" s="1">
        <v>43941</v>
      </c>
      <c r="G554">
        <v>202010</v>
      </c>
      <c r="H554" t="s">
        <v>64</v>
      </c>
      <c r="I554" t="s">
        <v>65</v>
      </c>
      <c r="J554" t="s">
        <v>66</v>
      </c>
      <c r="K554" t="s">
        <v>67</v>
      </c>
      <c r="L554" t="s">
        <v>450</v>
      </c>
      <c r="M554" t="s">
        <v>451</v>
      </c>
      <c r="N554" t="s">
        <v>452</v>
      </c>
      <c r="O554" t="s">
        <v>69</v>
      </c>
      <c r="P554" t="str">
        <f>"2170736159                    "</f>
        <v xml:space="preserve">2170736159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6.28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G554">
        <v>0</v>
      </c>
      <c r="BH554">
        <v>1</v>
      </c>
      <c r="BI554">
        <v>1.6</v>
      </c>
      <c r="BJ554">
        <v>2.6</v>
      </c>
      <c r="BK554">
        <v>3</v>
      </c>
      <c r="BL554">
        <v>69.069999999999993</v>
      </c>
      <c r="BM554">
        <v>10.36</v>
      </c>
      <c r="BN554">
        <v>79.430000000000007</v>
      </c>
      <c r="BO554">
        <v>79.430000000000007</v>
      </c>
      <c r="BQ554" t="s">
        <v>78</v>
      </c>
      <c r="BR554" t="s">
        <v>71</v>
      </c>
      <c r="BS554" s="1">
        <v>43943</v>
      </c>
      <c r="BT554" s="2">
        <v>0.42083333333333334</v>
      </c>
      <c r="BU554" t="s">
        <v>797</v>
      </c>
      <c r="BV554" t="s">
        <v>74</v>
      </c>
      <c r="BY554">
        <v>12996.41</v>
      </c>
      <c r="CA554" t="s">
        <v>798</v>
      </c>
      <c r="CC554" t="s">
        <v>451</v>
      </c>
      <c r="CD554">
        <v>1240</v>
      </c>
      <c r="CE554" t="s">
        <v>73</v>
      </c>
      <c r="CF554" s="1">
        <v>43945</v>
      </c>
      <c r="CI554">
        <v>1</v>
      </c>
      <c r="CJ554">
        <v>2</v>
      </c>
      <c r="CK554">
        <v>21</v>
      </c>
      <c r="CL554" t="s">
        <v>74</v>
      </c>
    </row>
    <row r="555" spans="1:90" x14ac:dyDescent="0.25">
      <c r="A555" t="s">
        <v>61</v>
      </c>
      <c r="B555" t="s">
        <v>62</v>
      </c>
      <c r="C555" t="s">
        <v>63</v>
      </c>
      <c r="E555" t="str">
        <f>"FES1162745204"</f>
        <v>FES1162745204</v>
      </c>
      <c r="F555" s="1">
        <v>43943</v>
      </c>
      <c r="G555">
        <v>202010</v>
      </c>
      <c r="H555" t="s">
        <v>64</v>
      </c>
      <c r="I555" t="s">
        <v>65</v>
      </c>
      <c r="J555" t="s">
        <v>66</v>
      </c>
      <c r="K555" t="s">
        <v>67</v>
      </c>
      <c r="L555" t="s">
        <v>120</v>
      </c>
      <c r="M555" t="s">
        <v>121</v>
      </c>
      <c r="N555" t="s">
        <v>278</v>
      </c>
      <c r="O555" t="s">
        <v>69</v>
      </c>
      <c r="P555" t="str">
        <f>"2170736443                    "</f>
        <v xml:space="preserve">2170736443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4.1900000000000004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G555">
        <v>0</v>
      </c>
      <c r="BH555">
        <v>1</v>
      </c>
      <c r="BI555">
        <v>1</v>
      </c>
      <c r="BJ555">
        <v>0.2</v>
      </c>
      <c r="BK555">
        <v>1</v>
      </c>
      <c r="BL555">
        <v>46.06</v>
      </c>
      <c r="BM555">
        <v>6.91</v>
      </c>
      <c r="BN555">
        <v>52.97</v>
      </c>
      <c r="BO555">
        <v>52.97</v>
      </c>
      <c r="BQ555" t="s">
        <v>70</v>
      </c>
      <c r="BR555" t="s">
        <v>71</v>
      </c>
      <c r="BS555" s="1">
        <v>43944</v>
      </c>
      <c r="BT555" s="2">
        <v>0.53888888888888886</v>
      </c>
      <c r="BU555" t="s">
        <v>755</v>
      </c>
      <c r="BV555" t="s">
        <v>74</v>
      </c>
      <c r="BW555" t="s">
        <v>85</v>
      </c>
      <c r="BX555" t="s">
        <v>735</v>
      </c>
      <c r="BY555">
        <v>1200</v>
      </c>
      <c r="CA555" t="s">
        <v>627</v>
      </c>
      <c r="CC555" t="s">
        <v>121</v>
      </c>
      <c r="CD555">
        <v>4001</v>
      </c>
      <c r="CE555" t="s">
        <v>73</v>
      </c>
      <c r="CF555" s="1">
        <v>43945</v>
      </c>
      <c r="CI555">
        <v>1</v>
      </c>
      <c r="CJ555">
        <v>1</v>
      </c>
      <c r="CK555">
        <v>21</v>
      </c>
      <c r="CL555" t="s">
        <v>74</v>
      </c>
    </row>
    <row r="556" spans="1:90" x14ac:dyDescent="0.25">
      <c r="A556" t="s">
        <v>61</v>
      </c>
      <c r="B556" t="s">
        <v>62</v>
      </c>
      <c r="C556" t="s">
        <v>63</v>
      </c>
      <c r="E556" t="str">
        <f>"009940068716"</f>
        <v>009940068716</v>
      </c>
      <c r="F556" s="1">
        <v>43937</v>
      </c>
      <c r="G556">
        <v>202010</v>
      </c>
      <c r="H556" t="s">
        <v>104</v>
      </c>
      <c r="I556" t="s">
        <v>105</v>
      </c>
      <c r="J556" t="s">
        <v>799</v>
      </c>
      <c r="K556" t="s">
        <v>67</v>
      </c>
      <c r="L556" t="s">
        <v>64</v>
      </c>
      <c r="M556" t="s">
        <v>65</v>
      </c>
      <c r="N556" t="s">
        <v>581</v>
      </c>
      <c r="O556" t="s">
        <v>230</v>
      </c>
      <c r="P556" t="str">
        <f>"NA                            "</f>
        <v xml:space="preserve">NA             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5.89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G556">
        <v>0</v>
      </c>
      <c r="BH556">
        <v>1</v>
      </c>
      <c r="BI556">
        <v>2.9</v>
      </c>
      <c r="BJ556">
        <v>3.3</v>
      </c>
      <c r="BK556">
        <v>4</v>
      </c>
      <c r="BL556">
        <v>69.77</v>
      </c>
      <c r="BM556">
        <v>10.47</v>
      </c>
      <c r="BN556">
        <v>80.239999999999995</v>
      </c>
      <c r="BO556">
        <v>80.239999999999995</v>
      </c>
      <c r="BQ556" t="s">
        <v>800</v>
      </c>
      <c r="BR556" t="s">
        <v>801</v>
      </c>
      <c r="BS556" s="1">
        <v>43938</v>
      </c>
      <c r="BT556" s="2">
        <v>0.34375</v>
      </c>
      <c r="BU556" t="s">
        <v>802</v>
      </c>
      <c r="BV556" t="s">
        <v>80</v>
      </c>
      <c r="BY556">
        <v>16468.36</v>
      </c>
      <c r="CC556" t="s">
        <v>65</v>
      </c>
      <c r="CD556">
        <v>1600</v>
      </c>
      <c r="CE556" t="s">
        <v>91</v>
      </c>
      <c r="CF556" s="1">
        <v>43941</v>
      </c>
      <c r="CI556">
        <v>1</v>
      </c>
      <c r="CJ556">
        <v>1</v>
      </c>
      <c r="CK556" t="s">
        <v>584</v>
      </c>
      <c r="CL556" t="s">
        <v>74</v>
      </c>
    </row>
    <row r="557" spans="1:90" x14ac:dyDescent="0.25">
      <c r="A557" t="s">
        <v>61</v>
      </c>
      <c r="B557" t="s">
        <v>62</v>
      </c>
      <c r="C557" t="s">
        <v>63</v>
      </c>
      <c r="E557" t="str">
        <f>"FES1162745721"</f>
        <v>FES1162745721</v>
      </c>
      <c r="F557" s="1">
        <v>43951</v>
      </c>
      <c r="G557">
        <v>202010</v>
      </c>
      <c r="H557" t="s">
        <v>64</v>
      </c>
      <c r="I557" t="s">
        <v>65</v>
      </c>
      <c r="J557" t="s">
        <v>66</v>
      </c>
      <c r="K557" t="s">
        <v>67</v>
      </c>
      <c r="L557" t="s">
        <v>385</v>
      </c>
      <c r="M557" t="s">
        <v>386</v>
      </c>
      <c r="N557" t="s">
        <v>387</v>
      </c>
      <c r="O557" t="s">
        <v>69</v>
      </c>
      <c r="P557" t="str">
        <f>"2170736811                    "</f>
        <v xml:space="preserve">2170736811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5.89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G557">
        <v>0</v>
      </c>
      <c r="BH557">
        <v>1</v>
      </c>
      <c r="BI557">
        <v>1</v>
      </c>
      <c r="BJ557">
        <v>0.2</v>
      </c>
      <c r="BK557">
        <v>1</v>
      </c>
      <c r="BL557">
        <v>64.77</v>
      </c>
      <c r="BM557">
        <v>9.7200000000000006</v>
      </c>
      <c r="BN557">
        <v>74.489999999999995</v>
      </c>
      <c r="BO557">
        <v>74.489999999999995</v>
      </c>
      <c r="BQ557" t="s">
        <v>109</v>
      </c>
      <c r="BR557" t="s">
        <v>71</v>
      </c>
      <c r="BS557" t="s">
        <v>72</v>
      </c>
      <c r="BY557">
        <v>1200</v>
      </c>
      <c r="CC557" t="s">
        <v>386</v>
      </c>
      <c r="CD557">
        <v>1871</v>
      </c>
      <c r="CE557" t="s">
        <v>73</v>
      </c>
      <c r="CI557">
        <v>1</v>
      </c>
      <c r="CJ557" t="s">
        <v>72</v>
      </c>
      <c r="CK557">
        <v>24</v>
      </c>
      <c r="CL557" t="s">
        <v>74</v>
      </c>
    </row>
    <row r="558" spans="1:90" x14ac:dyDescent="0.25">
      <c r="A558" t="s">
        <v>61</v>
      </c>
      <c r="B558" t="s">
        <v>62</v>
      </c>
      <c r="C558" t="s">
        <v>63</v>
      </c>
      <c r="E558" t="str">
        <f>"FES1162745126"</f>
        <v>FES1162745126</v>
      </c>
      <c r="F558" s="1">
        <v>43942</v>
      </c>
      <c r="G558">
        <v>202010</v>
      </c>
      <c r="H558" t="s">
        <v>64</v>
      </c>
      <c r="I558" t="s">
        <v>65</v>
      </c>
      <c r="J558" t="s">
        <v>66</v>
      </c>
      <c r="K558" t="s">
        <v>67</v>
      </c>
      <c r="L558" t="s">
        <v>92</v>
      </c>
      <c r="M558" t="s">
        <v>93</v>
      </c>
      <c r="N558" t="s">
        <v>165</v>
      </c>
      <c r="O558" t="s">
        <v>69</v>
      </c>
      <c r="P558" t="str">
        <f>"2170736355                    "</f>
        <v xml:space="preserve">2170736355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5.23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G558">
        <v>0</v>
      </c>
      <c r="BH558">
        <v>1</v>
      </c>
      <c r="BI558">
        <v>1.4</v>
      </c>
      <c r="BJ558">
        <v>2.1</v>
      </c>
      <c r="BK558">
        <v>2.5</v>
      </c>
      <c r="BL558">
        <v>57.56</v>
      </c>
      <c r="BM558">
        <v>8.6300000000000008</v>
      </c>
      <c r="BN558">
        <v>66.19</v>
      </c>
      <c r="BO558">
        <v>66.19</v>
      </c>
      <c r="BQ558" t="s">
        <v>70</v>
      </c>
      <c r="BR558" t="s">
        <v>71</v>
      </c>
      <c r="BS558" s="1">
        <v>43943</v>
      </c>
      <c r="BT558" s="2">
        <v>0.40277777777777773</v>
      </c>
      <c r="BU558" t="s">
        <v>803</v>
      </c>
      <c r="BV558" t="s">
        <v>80</v>
      </c>
      <c r="BY558">
        <v>10716.69</v>
      </c>
      <c r="CA558" t="s">
        <v>804</v>
      </c>
      <c r="CC558" t="s">
        <v>93</v>
      </c>
      <c r="CD558">
        <v>7530</v>
      </c>
      <c r="CE558" t="s">
        <v>73</v>
      </c>
      <c r="CF558" s="1">
        <v>43944</v>
      </c>
      <c r="CI558">
        <v>1</v>
      </c>
      <c r="CJ558">
        <v>1</v>
      </c>
      <c r="CK558">
        <v>21</v>
      </c>
      <c r="CL558" t="s">
        <v>74</v>
      </c>
    </row>
    <row r="559" spans="1:90" x14ac:dyDescent="0.25">
      <c r="A559" t="s">
        <v>61</v>
      </c>
      <c r="B559" t="s">
        <v>62</v>
      </c>
      <c r="C559" t="s">
        <v>63</v>
      </c>
      <c r="E559" t="str">
        <f>"FES1162744835"</f>
        <v>FES1162744835</v>
      </c>
      <c r="F559" s="1">
        <v>43944</v>
      </c>
      <c r="G559">
        <v>202010</v>
      </c>
      <c r="H559" t="s">
        <v>64</v>
      </c>
      <c r="I559" t="s">
        <v>65</v>
      </c>
      <c r="J559" t="s">
        <v>66</v>
      </c>
      <c r="K559" t="s">
        <v>67</v>
      </c>
      <c r="L559" t="s">
        <v>262</v>
      </c>
      <c r="M559" t="s">
        <v>262</v>
      </c>
      <c r="N559" t="s">
        <v>805</v>
      </c>
      <c r="O559" t="s">
        <v>69</v>
      </c>
      <c r="P559" t="str">
        <f>"2170736068                    "</f>
        <v xml:space="preserve">2170736068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8.11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G559">
        <v>0</v>
      </c>
      <c r="BH559">
        <v>1</v>
      </c>
      <c r="BI559">
        <v>0.5</v>
      </c>
      <c r="BJ559">
        <v>1.5</v>
      </c>
      <c r="BK559">
        <v>1.5</v>
      </c>
      <c r="BL559">
        <v>89.23</v>
      </c>
      <c r="BM559">
        <v>13.38</v>
      </c>
      <c r="BN559">
        <v>102.61</v>
      </c>
      <c r="BO559">
        <v>102.61</v>
      </c>
      <c r="BQ559" t="s">
        <v>78</v>
      </c>
      <c r="BR559" t="s">
        <v>71</v>
      </c>
      <c r="BS559" s="1">
        <v>43945</v>
      </c>
      <c r="BT559" s="2">
        <v>0.50555555555555554</v>
      </c>
      <c r="BU559" t="s">
        <v>806</v>
      </c>
      <c r="BV559" t="s">
        <v>80</v>
      </c>
      <c r="BY559">
        <v>7595.42</v>
      </c>
      <c r="CA559" t="s">
        <v>266</v>
      </c>
      <c r="CC559" t="s">
        <v>262</v>
      </c>
      <c r="CD559">
        <v>7654</v>
      </c>
      <c r="CE559" t="s">
        <v>73</v>
      </c>
      <c r="CF559" s="1">
        <v>43949</v>
      </c>
      <c r="CI559">
        <v>1</v>
      </c>
      <c r="CJ559">
        <v>1</v>
      </c>
      <c r="CK559">
        <v>23</v>
      </c>
      <c r="CL559" t="s">
        <v>74</v>
      </c>
    </row>
    <row r="560" spans="1:90" x14ac:dyDescent="0.25">
      <c r="A560" t="s">
        <v>61</v>
      </c>
      <c r="B560" t="s">
        <v>62</v>
      </c>
      <c r="C560" t="s">
        <v>63</v>
      </c>
      <c r="E560" t="str">
        <f>"FES1162745228"</f>
        <v>FES1162745228</v>
      </c>
      <c r="F560" s="1">
        <v>43944</v>
      </c>
      <c r="G560">
        <v>202010</v>
      </c>
      <c r="H560" t="s">
        <v>64</v>
      </c>
      <c r="I560" t="s">
        <v>65</v>
      </c>
      <c r="J560" t="s">
        <v>66</v>
      </c>
      <c r="K560" t="s">
        <v>67</v>
      </c>
      <c r="L560" t="s">
        <v>133</v>
      </c>
      <c r="M560" t="s">
        <v>134</v>
      </c>
      <c r="N560" t="s">
        <v>135</v>
      </c>
      <c r="O560" t="s">
        <v>69</v>
      </c>
      <c r="P560" t="str">
        <f>"2170736022                    "</f>
        <v xml:space="preserve">2170736022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8.11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G560">
        <v>0</v>
      </c>
      <c r="BH560">
        <v>1</v>
      </c>
      <c r="BI560">
        <v>1</v>
      </c>
      <c r="BJ560">
        <v>0.2</v>
      </c>
      <c r="BK560">
        <v>1</v>
      </c>
      <c r="BL560">
        <v>89.23</v>
      </c>
      <c r="BM560">
        <v>13.38</v>
      </c>
      <c r="BN560">
        <v>102.61</v>
      </c>
      <c r="BO560">
        <v>102.61</v>
      </c>
      <c r="BQ560" t="s">
        <v>70</v>
      </c>
      <c r="BR560" t="s">
        <v>71</v>
      </c>
      <c r="BS560" s="1">
        <v>43945</v>
      </c>
      <c r="BT560" s="2">
        <v>0.51250000000000007</v>
      </c>
      <c r="BU560" t="s">
        <v>807</v>
      </c>
      <c r="BV560" t="s">
        <v>80</v>
      </c>
      <c r="BY560">
        <v>1200</v>
      </c>
      <c r="CA560" t="s">
        <v>574</v>
      </c>
      <c r="CC560" t="s">
        <v>134</v>
      </c>
      <c r="CD560">
        <v>4450</v>
      </c>
      <c r="CE560" t="s">
        <v>73</v>
      </c>
      <c r="CF560" s="1">
        <v>43949</v>
      </c>
      <c r="CI560">
        <v>1</v>
      </c>
      <c r="CJ560">
        <v>1</v>
      </c>
      <c r="CK560">
        <v>23</v>
      </c>
      <c r="CL560" t="s">
        <v>74</v>
      </c>
    </row>
    <row r="561" spans="1:90" x14ac:dyDescent="0.25">
      <c r="A561" t="s">
        <v>61</v>
      </c>
      <c r="B561" t="s">
        <v>62</v>
      </c>
      <c r="C561" t="s">
        <v>63</v>
      </c>
      <c r="E561" t="str">
        <f>"FES1162745292"</f>
        <v>FES1162745292</v>
      </c>
      <c r="F561" s="1">
        <v>43944</v>
      </c>
      <c r="G561">
        <v>202010</v>
      </c>
      <c r="H561" t="s">
        <v>64</v>
      </c>
      <c r="I561" t="s">
        <v>65</v>
      </c>
      <c r="J561" t="s">
        <v>66</v>
      </c>
      <c r="K561" t="s">
        <v>67</v>
      </c>
      <c r="L561" t="s">
        <v>368</v>
      </c>
      <c r="M561" t="s">
        <v>369</v>
      </c>
      <c r="N561" t="s">
        <v>808</v>
      </c>
      <c r="O561" t="s">
        <v>69</v>
      </c>
      <c r="P561" t="str">
        <f>"2170736487                    "</f>
        <v xml:space="preserve">2170736487       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4.45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G561">
        <v>0</v>
      </c>
      <c r="BH561">
        <v>1</v>
      </c>
      <c r="BI561">
        <v>2.5</v>
      </c>
      <c r="BJ561">
        <v>3.2</v>
      </c>
      <c r="BK561">
        <v>3.5</v>
      </c>
      <c r="BL561">
        <v>48.92</v>
      </c>
      <c r="BM561">
        <v>7.34</v>
      </c>
      <c r="BN561">
        <v>56.26</v>
      </c>
      <c r="BO561">
        <v>56.26</v>
      </c>
      <c r="BQ561" t="s">
        <v>78</v>
      </c>
      <c r="BR561" t="s">
        <v>71</v>
      </c>
      <c r="BS561" s="1">
        <v>43945</v>
      </c>
      <c r="BT561" s="2">
        <v>0.33333333333333331</v>
      </c>
      <c r="BU561" t="s">
        <v>809</v>
      </c>
      <c r="BV561" t="s">
        <v>80</v>
      </c>
      <c r="BY561">
        <v>16088.16</v>
      </c>
      <c r="CC561" t="s">
        <v>369</v>
      </c>
      <c r="CD561">
        <v>1401</v>
      </c>
      <c r="CE561" t="s">
        <v>91</v>
      </c>
      <c r="CF561" s="1">
        <v>43949</v>
      </c>
      <c r="CI561">
        <v>1</v>
      </c>
      <c r="CJ561">
        <v>1</v>
      </c>
      <c r="CK561">
        <v>22</v>
      </c>
      <c r="CL561" t="s">
        <v>74</v>
      </c>
    </row>
    <row r="562" spans="1:90" x14ac:dyDescent="0.25">
      <c r="A562" t="s">
        <v>61</v>
      </c>
      <c r="B562" t="s">
        <v>62</v>
      </c>
      <c r="C562" t="s">
        <v>63</v>
      </c>
      <c r="E562" t="str">
        <f>"FES1162745298"</f>
        <v>FES1162745298</v>
      </c>
      <c r="F562" s="1">
        <v>43944</v>
      </c>
      <c r="G562">
        <v>202010</v>
      </c>
      <c r="H562" t="s">
        <v>64</v>
      </c>
      <c r="I562" t="s">
        <v>65</v>
      </c>
      <c r="J562" t="s">
        <v>66</v>
      </c>
      <c r="K562" t="s">
        <v>67</v>
      </c>
      <c r="L562" t="s">
        <v>120</v>
      </c>
      <c r="M562" t="s">
        <v>121</v>
      </c>
      <c r="N562" t="s">
        <v>206</v>
      </c>
      <c r="O562" t="s">
        <v>69</v>
      </c>
      <c r="P562" t="str">
        <f>"2170736439                    "</f>
        <v xml:space="preserve">2170736439         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4.1900000000000004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G562">
        <v>0</v>
      </c>
      <c r="BH562">
        <v>1</v>
      </c>
      <c r="BI562">
        <v>1.4</v>
      </c>
      <c r="BJ562">
        <v>0.9</v>
      </c>
      <c r="BK562">
        <v>1.5</v>
      </c>
      <c r="BL562">
        <v>46.06</v>
      </c>
      <c r="BM562">
        <v>6.91</v>
      </c>
      <c r="BN562">
        <v>52.97</v>
      </c>
      <c r="BO562">
        <v>52.97</v>
      </c>
      <c r="BQ562" t="s">
        <v>78</v>
      </c>
      <c r="BR562" t="s">
        <v>71</v>
      </c>
      <c r="BS562" s="1">
        <v>43945</v>
      </c>
      <c r="BT562" s="2">
        <v>0.4861111111111111</v>
      </c>
      <c r="BU562" t="s">
        <v>810</v>
      </c>
      <c r="BV562" t="s">
        <v>74</v>
      </c>
      <c r="BW562" t="s">
        <v>85</v>
      </c>
      <c r="BX562" t="s">
        <v>128</v>
      </c>
      <c r="BY562">
        <v>4657.01</v>
      </c>
      <c r="CA562" t="s">
        <v>811</v>
      </c>
      <c r="CC562" t="s">
        <v>121</v>
      </c>
      <c r="CD562">
        <v>4052</v>
      </c>
      <c r="CE562" t="s">
        <v>91</v>
      </c>
      <c r="CF562" s="1">
        <v>43949</v>
      </c>
      <c r="CI562">
        <v>1</v>
      </c>
      <c r="CJ562">
        <v>1</v>
      </c>
      <c r="CK562">
        <v>21</v>
      </c>
      <c r="CL562" t="s">
        <v>74</v>
      </c>
    </row>
    <row r="563" spans="1:90" x14ac:dyDescent="0.25">
      <c r="A563" t="s">
        <v>61</v>
      </c>
      <c r="B563" t="s">
        <v>62</v>
      </c>
      <c r="C563" t="s">
        <v>63</v>
      </c>
      <c r="E563" t="str">
        <f>"FES1162744997"</f>
        <v>FES1162744997</v>
      </c>
      <c r="F563" s="1">
        <v>43942</v>
      </c>
      <c r="G563">
        <v>202010</v>
      </c>
      <c r="H563" t="s">
        <v>64</v>
      </c>
      <c r="I563" t="s">
        <v>65</v>
      </c>
      <c r="J563" t="s">
        <v>66</v>
      </c>
      <c r="K563" t="s">
        <v>67</v>
      </c>
      <c r="L563" t="s">
        <v>87</v>
      </c>
      <c r="M563" t="s">
        <v>88</v>
      </c>
      <c r="N563" t="s">
        <v>89</v>
      </c>
      <c r="O563" t="s">
        <v>69</v>
      </c>
      <c r="P563" t="str">
        <f>"2170735696                    "</f>
        <v xml:space="preserve">2170735696         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15.44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G563">
        <v>0</v>
      </c>
      <c r="BH563">
        <v>1</v>
      </c>
      <c r="BI563">
        <v>3.7</v>
      </c>
      <c r="BJ563">
        <v>1.5</v>
      </c>
      <c r="BK563">
        <v>4</v>
      </c>
      <c r="BL563">
        <v>169.84</v>
      </c>
      <c r="BM563">
        <v>25.48</v>
      </c>
      <c r="BN563">
        <v>195.32</v>
      </c>
      <c r="BO563">
        <v>195.32</v>
      </c>
      <c r="BQ563" t="s">
        <v>70</v>
      </c>
      <c r="BR563" t="s">
        <v>71</v>
      </c>
      <c r="BS563" s="1">
        <v>43944</v>
      </c>
      <c r="BT563" s="2">
        <v>0.41666666666666669</v>
      </c>
      <c r="BU563" t="s">
        <v>455</v>
      </c>
      <c r="BV563" t="s">
        <v>80</v>
      </c>
      <c r="BY563">
        <v>7725.34</v>
      </c>
      <c r="CC563" t="s">
        <v>88</v>
      </c>
      <c r="CD563">
        <v>5099</v>
      </c>
      <c r="CE563" t="s">
        <v>91</v>
      </c>
      <c r="CI563">
        <v>3</v>
      </c>
      <c r="CJ563">
        <v>2</v>
      </c>
      <c r="CK563">
        <v>23</v>
      </c>
      <c r="CL563" t="s">
        <v>74</v>
      </c>
    </row>
    <row r="564" spans="1:90" x14ac:dyDescent="0.25">
      <c r="A564" t="s">
        <v>61</v>
      </c>
      <c r="B564" t="s">
        <v>62</v>
      </c>
      <c r="C564" t="s">
        <v>63</v>
      </c>
      <c r="E564" t="str">
        <f>"FES1162745340"</f>
        <v>FES1162745340</v>
      </c>
      <c r="F564" s="1">
        <v>43950</v>
      </c>
      <c r="G564">
        <v>202010</v>
      </c>
      <c r="H564" t="s">
        <v>64</v>
      </c>
      <c r="I564" t="s">
        <v>65</v>
      </c>
      <c r="J564" t="s">
        <v>66</v>
      </c>
      <c r="K564" t="s">
        <v>67</v>
      </c>
      <c r="L564" t="s">
        <v>254</v>
      </c>
      <c r="M564" t="s">
        <v>255</v>
      </c>
      <c r="N564" t="s">
        <v>620</v>
      </c>
      <c r="O564" t="s">
        <v>69</v>
      </c>
      <c r="P564" t="str">
        <f>"2170735507                    "</f>
        <v xml:space="preserve">2170735507         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4.1900000000000004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G564">
        <v>0</v>
      </c>
      <c r="BH564">
        <v>1</v>
      </c>
      <c r="BI564">
        <v>1</v>
      </c>
      <c r="BJ564">
        <v>0.2</v>
      </c>
      <c r="BK564">
        <v>1</v>
      </c>
      <c r="BL564">
        <v>46.06</v>
      </c>
      <c r="BM564">
        <v>6.91</v>
      </c>
      <c r="BN564">
        <v>52.97</v>
      </c>
      <c r="BO564">
        <v>52.97</v>
      </c>
      <c r="BQ564" t="s">
        <v>78</v>
      </c>
      <c r="BR564" t="s">
        <v>71</v>
      </c>
      <c r="BS564" s="1">
        <v>43951</v>
      </c>
      <c r="BT564" s="2">
        <v>0.43055555555555558</v>
      </c>
      <c r="BU564" t="s">
        <v>622</v>
      </c>
      <c r="BV564" t="s">
        <v>80</v>
      </c>
      <c r="BY564">
        <v>1200</v>
      </c>
      <c r="CC564" t="s">
        <v>255</v>
      </c>
      <c r="CD564">
        <v>184</v>
      </c>
      <c r="CE564" t="s">
        <v>73</v>
      </c>
      <c r="CF564" s="1">
        <v>43952</v>
      </c>
      <c r="CI564">
        <v>1</v>
      </c>
      <c r="CJ564">
        <v>1</v>
      </c>
      <c r="CK564">
        <v>21</v>
      </c>
      <c r="CL564" t="s">
        <v>74</v>
      </c>
    </row>
    <row r="565" spans="1:90" x14ac:dyDescent="0.25">
      <c r="A565" t="s">
        <v>61</v>
      </c>
      <c r="B565" t="s">
        <v>62</v>
      </c>
      <c r="C565" t="s">
        <v>63</v>
      </c>
      <c r="E565" t="str">
        <f>"FES1162745396"</f>
        <v>FES1162745396</v>
      </c>
      <c r="F565" s="1">
        <v>43944</v>
      </c>
      <c r="G565">
        <v>202010</v>
      </c>
      <c r="H565" t="s">
        <v>64</v>
      </c>
      <c r="I565" t="s">
        <v>65</v>
      </c>
      <c r="J565" t="s">
        <v>66</v>
      </c>
      <c r="K565" t="s">
        <v>67</v>
      </c>
      <c r="L565" t="s">
        <v>64</v>
      </c>
      <c r="M565" t="s">
        <v>65</v>
      </c>
      <c r="N565" t="s">
        <v>812</v>
      </c>
      <c r="O565" t="s">
        <v>69</v>
      </c>
      <c r="P565" t="str">
        <f>"2170733791                    "</f>
        <v xml:space="preserve">2170733791           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3.27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G565">
        <v>0</v>
      </c>
      <c r="BH565">
        <v>1</v>
      </c>
      <c r="BI565">
        <v>0.6</v>
      </c>
      <c r="BJ565">
        <v>1.8</v>
      </c>
      <c r="BK565">
        <v>2</v>
      </c>
      <c r="BL565">
        <v>35.979999999999997</v>
      </c>
      <c r="BM565">
        <v>5.4</v>
      </c>
      <c r="BN565">
        <v>41.38</v>
      </c>
      <c r="BO565">
        <v>41.38</v>
      </c>
      <c r="BQ565" t="s">
        <v>70</v>
      </c>
      <c r="BR565" t="s">
        <v>71</v>
      </c>
      <c r="BS565" s="1">
        <v>43945</v>
      </c>
      <c r="BT565" s="2">
        <v>0.41666666666666669</v>
      </c>
      <c r="BU565" t="s">
        <v>813</v>
      </c>
      <c r="BV565" t="s">
        <v>80</v>
      </c>
      <c r="BY565">
        <v>8980.49</v>
      </c>
      <c r="CC565" t="s">
        <v>65</v>
      </c>
      <c r="CD565">
        <v>1609</v>
      </c>
      <c r="CE565" t="s">
        <v>73</v>
      </c>
      <c r="CF565" s="1">
        <v>43949</v>
      </c>
      <c r="CI565">
        <v>1</v>
      </c>
      <c r="CJ565">
        <v>1</v>
      </c>
      <c r="CK565">
        <v>22</v>
      </c>
      <c r="CL565" t="s">
        <v>74</v>
      </c>
    </row>
    <row r="566" spans="1:90" x14ac:dyDescent="0.25">
      <c r="A566" t="s">
        <v>61</v>
      </c>
      <c r="B566" t="s">
        <v>62</v>
      </c>
      <c r="C566" t="s">
        <v>63</v>
      </c>
      <c r="E566" t="str">
        <f>"FES1162745033"</f>
        <v>FES1162745033</v>
      </c>
      <c r="F566" s="1">
        <v>43941</v>
      </c>
      <c r="G566">
        <v>202010</v>
      </c>
      <c r="H566" t="s">
        <v>64</v>
      </c>
      <c r="I566" t="s">
        <v>65</v>
      </c>
      <c r="J566" t="s">
        <v>66</v>
      </c>
      <c r="K566" t="s">
        <v>67</v>
      </c>
      <c r="L566" t="s">
        <v>104</v>
      </c>
      <c r="M566" t="s">
        <v>105</v>
      </c>
      <c r="N566" t="s">
        <v>251</v>
      </c>
      <c r="O566" t="s">
        <v>69</v>
      </c>
      <c r="P566" t="str">
        <f>"2170736229                    "</f>
        <v xml:space="preserve">2170736229         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5.89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G566">
        <v>0</v>
      </c>
      <c r="BH566">
        <v>1</v>
      </c>
      <c r="BI566">
        <v>1</v>
      </c>
      <c r="BJ566">
        <v>0.2</v>
      </c>
      <c r="BK566">
        <v>1</v>
      </c>
      <c r="BL566">
        <v>64.77</v>
      </c>
      <c r="BM566">
        <v>9.7200000000000006</v>
      </c>
      <c r="BN566">
        <v>74.489999999999995</v>
      </c>
      <c r="BO566">
        <v>74.489999999999995</v>
      </c>
      <c r="BQ566" t="s">
        <v>70</v>
      </c>
      <c r="BR566" t="s">
        <v>71</v>
      </c>
      <c r="BS566" s="1">
        <v>43942</v>
      </c>
      <c r="BT566" s="2">
        <v>0.45833333333333331</v>
      </c>
      <c r="BU566" t="s">
        <v>252</v>
      </c>
      <c r="BV566" t="s">
        <v>80</v>
      </c>
      <c r="BY566">
        <v>1200</v>
      </c>
      <c r="CC566" t="s">
        <v>105</v>
      </c>
      <c r="CD566">
        <v>1759</v>
      </c>
      <c r="CE566" t="s">
        <v>73</v>
      </c>
      <c r="CF566" s="1">
        <v>43943</v>
      </c>
      <c r="CI566">
        <v>1</v>
      </c>
      <c r="CJ566">
        <v>1</v>
      </c>
      <c r="CK566">
        <v>24</v>
      </c>
      <c r="CL566" t="s">
        <v>74</v>
      </c>
    </row>
    <row r="567" spans="1:90" x14ac:dyDescent="0.25">
      <c r="A567" t="s">
        <v>61</v>
      </c>
      <c r="B567" t="s">
        <v>62</v>
      </c>
      <c r="C567" t="s">
        <v>63</v>
      </c>
      <c r="E567" t="str">
        <f>"FES1162745066"</f>
        <v>FES1162745066</v>
      </c>
      <c r="F567" s="1">
        <v>43941</v>
      </c>
      <c r="G567">
        <v>202010</v>
      </c>
      <c r="H567" t="s">
        <v>64</v>
      </c>
      <c r="I567" t="s">
        <v>65</v>
      </c>
      <c r="J567" t="s">
        <v>66</v>
      </c>
      <c r="K567" t="s">
        <v>67</v>
      </c>
      <c r="L567" t="s">
        <v>92</v>
      </c>
      <c r="M567" t="s">
        <v>93</v>
      </c>
      <c r="N567" t="s">
        <v>165</v>
      </c>
      <c r="O567" t="s">
        <v>69</v>
      </c>
      <c r="P567" t="str">
        <f>"2170736279                    "</f>
        <v xml:space="preserve">2170736279         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4.1900000000000004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G567">
        <v>0</v>
      </c>
      <c r="BH567">
        <v>1</v>
      </c>
      <c r="BI567">
        <v>1</v>
      </c>
      <c r="BJ567">
        <v>0.2</v>
      </c>
      <c r="BK567">
        <v>1</v>
      </c>
      <c r="BL567">
        <v>46.06</v>
      </c>
      <c r="BM567">
        <v>6.91</v>
      </c>
      <c r="BN567">
        <v>52.97</v>
      </c>
      <c r="BO567">
        <v>52.97</v>
      </c>
      <c r="BQ567" t="s">
        <v>70</v>
      </c>
      <c r="BR567" t="s">
        <v>71</v>
      </c>
      <c r="BS567" s="1">
        <v>43942</v>
      </c>
      <c r="BT567" s="2">
        <v>0.375</v>
      </c>
      <c r="BU567" t="s">
        <v>636</v>
      </c>
      <c r="BV567" t="s">
        <v>80</v>
      </c>
      <c r="BY567">
        <v>1200</v>
      </c>
      <c r="CA567" t="s">
        <v>167</v>
      </c>
      <c r="CC567" t="s">
        <v>93</v>
      </c>
      <c r="CD567">
        <v>7530</v>
      </c>
      <c r="CE567" t="s">
        <v>73</v>
      </c>
      <c r="CF567" s="1">
        <v>43943</v>
      </c>
      <c r="CI567">
        <v>1</v>
      </c>
      <c r="CJ567">
        <v>1</v>
      </c>
      <c r="CK567">
        <v>21</v>
      </c>
      <c r="CL567" t="s">
        <v>74</v>
      </c>
    </row>
    <row r="568" spans="1:90" x14ac:dyDescent="0.25">
      <c r="A568" t="s">
        <v>61</v>
      </c>
      <c r="B568" t="s">
        <v>62</v>
      </c>
      <c r="C568" t="s">
        <v>63</v>
      </c>
      <c r="E568" t="str">
        <f>"FES1162744965"</f>
        <v>FES1162744965</v>
      </c>
      <c r="F568" s="1">
        <v>43941</v>
      </c>
      <c r="G568">
        <v>202010</v>
      </c>
      <c r="H568" t="s">
        <v>64</v>
      </c>
      <c r="I568" t="s">
        <v>65</v>
      </c>
      <c r="J568" t="s">
        <v>66</v>
      </c>
      <c r="K568" t="s">
        <v>67</v>
      </c>
      <c r="L568" t="s">
        <v>92</v>
      </c>
      <c r="M568" t="s">
        <v>93</v>
      </c>
      <c r="N568" t="s">
        <v>94</v>
      </c>
      <c r="O568" t="s">
        <v>69</v>
      </c>
      <c r="P568" t="str">
        <f>"2170734643                    "</f>
        <v xml:space="preserve">2170734643         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4.1900000000000004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G568">
        <v>0</v>
      </c>
      <c r="BH568">
        <v>1</v>
      </c>
      <c r="BI568">
        <v>1</v>
      </c>
      <c r="BJ568">
        <v>0.2</v>
      </c>
      <c r="BK568">
        <v>1</v>
      </c>
      <c r="BL568">
        <v>46.06</v>
      </c>
      <c r="BM568">
        <v>6.91</v>
      </c>
      <c r="BN568">
        <v>52.97</v>
      </c>
      <c r="BO568">
        <v>52.97</v>
      </c>
      <c r="BQ568" t="s">
        <v>70</v>
      </c>
      <c r="BR568" t="s">
        <v>71</v>
      </c>
      <c r="BS568" s="1">
        <v>43942</v>
      </c>
      <c r="BT568" s="2">
        <v>0.3659722222222222</v>
      </c>
      <c r="BU568" t="s">
        <v>543</v>
      </c>
      <c r="BV568" t="s">
        <v>80</v>
      </c>
      <c r="BY568">
        <v>1200</v>
      </c>
      <c r="CA568" t="s">
        <v>544</v>
      </c>
      <c r="CC568" t="s">
        <v>93</v>
      </c>
      <c r="CD568">
        <v>7441</v>
      </c>
      <c r="CE568" t="s">
        <v>73</v>
      </c>
      <c r="CF568" s="1">
        <v>43943</v>
      </c>
      <c r="CI568">
        <v>1</v>
      </c>
      <c r="CJ568">
        <v>1</v>
      </c>
      <c r="CK568">
        <v>21</v>
      </c>
      <c r="CL568" t="s">
        <v>74</v>
      </c>
    </row>
    <row r="569" spans="1:90" x14ac:dyDescent="0.25">
      <c r="A569" t="s">
        <v>61</v>
      </c>
      <c r="B569" t="s">
        <v>62</v>
      </c>
      <c r="C569" t="s">
        <v>63</v>
      </c>
      <c r="E569" t="str">
        <f>"FES1162744994"</f>
        <v>FES1162744994</v>
      </c>
      <c r="F569" s="1">
        <v>43941</v>
      </c>
      <c r="G569">
        <v>202010</v>
      </c>
      <c r="H569" t="s">
        <v>64</v>
      </c>
      <c r="I569" t="s">
        <v>65</v>
      </c>
      <c r="J569" t="s">
        <v>66</v>
      </c>
      <c r="K569" t="s">
        <v>67</v>
      </c>
      <c r="L569" t="s">
        <v>92</v>
      </c>
      <c r="M569" t="s">
        <v>93</v>
      </c>
      <c r="N569" t="s">
        <v>94</v>
      </c>
      <c r="O569" t="s">
        <v>69</v>
      </c>
      <c r="P569" t="str">
        <f>"2170735431                    "</f>
        <v xml:space="preserve">2170735431           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4.1900000000000004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G569">
        <v>0</v>
      </c>
      <c r="BH569">
        <v>1</v>
      </c>
      <c r="BI569">
        <v>1</v>
      </c>
      <c r="BJ569">
        <v>0.2</v>
      </c>
      <c r="BK569">
        <v>1</v>
      </c>
      <c r="BL569">
        <v>46.06</v>
      </c>
      <c r="BM569">
        <v>6.91</v>
      </c>
      <c r="BN569">
        <v>52.97</v>
      </c>
      <c r="BO569">
        <v>52.97</v>
      </c>
      <c r="BQ569" t="s">
        <v>70</v>
      </c>
      <c r="BR569" t="s">
        <v>71</v>
      </c>
      <c r="BS569" s="1">
        <v>43942</v>
      </c>
      <c r="BT569" s="2">
        <v>0.3659722222222222</v>
      </c>
      <c r="BU569" t="s">
        <v>814</v>
      </c>
      <c r="BV569" t="s">
        <v>80</v>
      </c>
      <c r="BY569">
        <v>1200</v>
      </c>
      <c r="CA569" t="s">
        <v>544</v>
      </c>
      <c r="CC569" t="s">
        <v>93</v>
      </c>
      <c r="CD569">
        <v>7441</v>
      </c>
      <c r="CE569" t="s">
        <v>73</v>
      </c>
      <c r="CF569" s="1">
        <v>43943</v>
      </c>
      <c r="CI569">
        <v>1</v>
      </c>
      <c r="CJ569">
        <v>1</v>
      </c>
      <c r="CK569">
        <v>21</v>
      </c>
      <c r="CL569" t="s">
        <v>74</v>
      </c>
    </row>
    <row r="570" spans="1:90" x14ac:dyDescent="0.25">
      <c r="A570" t="s">
        <v>61</v>
      </c>
      <c r="B570" t="s">
        <v>62</v>
      </c>
      <c r="C570" t="s">
        <v>63</v>
      </c>
      <c r="E570" t="str">
        <f>"FES1162745056"</f>
        <v>FES1162745056</v>
      </c>
      <c r="F570" s="1">
        <v>43941</v>
      </c>
      <c r="G570">
        <v>202010</v>
      </c>
      <c r="H570" t="s">
        <v>64</v>
      </c>
      <c r="I570" t="s">
        <v>65</v>
      </c>
      <c r="J570" t="s">
        <v>66</v>
      </c>
      <c r="K570" t="s">
        <v>67</v>
      </c>
      <c r="L570" t="s">
        <v>368</v>
      </c>
      <c r="M570" t="s">
        <v>369</v>
      </c>
      <c r="N570" t="s">
        <v>815</v>
      </c>
      <c r="O570" t="s">
        <v>69</v>
      </c>
      <c r="P570" t="str">
        <f>"2170733861                    "</f>
        <v xml:space="preserve">2170733861         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3.66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G570">
        <v>0</v>
      </c>
      <c r="BH570">
        <v>1</v>
      </c>
      <c r="BI570">
        <v>1.2</v>
      </c>
      <c r="BJ570">
        <v>2.5</v>
      </c>
      <c r="BK570">
        <v>2.5</v>
      </c>
      <c r="BL570">
        <v>40.29</v>
      </c>
      <c r="BM570">
        <v>6.04</v>
      </c>
      <c r="BN570">
        <v>46.33</v>
      </c>
      <c r="BO570">
        <v>46.33</v>
      </c>
      <c r="BQ570" t="s">
        <v>70</v>
      </c>
      <c r="BR570" t="s">
        <v>71</v>
      </c>
      <c r="BS570" s="1">
        <v>43946</v>
      </c>
      <c r="BT570" s="2">
        <v>0.41666666666666669</v>
      </c>
      <c r="BU570" t="s">
        <v>816</v>
      </c>
      <c r="BV570" t="s">
        <v>74</v>
      </c>
      <c r="BW570" t="s">
        <v>817</v>
      </c>
      <c r="BX570" t="s">
        <v>606</v>
      </c>
      <c r="BY570">
        <v>12740</v>
      </c>
      <c r="CA570" t="s">
        <v>310</v>
      </c>
      <c r="CC570" t="s">
        <v>369</v>
      </c>
      <c r="CD570">
        <v>1428</v>
      </c>
      <c r="CE570" t="s">
        <v>73</v>
      </c>
      <c r="CF570" s="1">
        <v>43951</v>
      </c>
      <c r="CI570">
        <v>1</v>
      </c>
      <c r="CJ570">
        <v>4</v>
      </c>
      <c r="CK570">
        <v>22</v>
      </c>
      <c r="CL570" t="s">
        <v>74</v>
      </c>
    </row>
    <row r="571" spans="1:90" x14ac:dyDescent="0.25">
      <c r="A571" t="s">
        <v>61</v>
      </c>
      <c r="B571" t="s">
        <v>62</v>
      </c>
      <c r="C571" t="s">
        <v>63</v>
      </c>
      <c r="E571" t="str">
        <f>"FES1162745003"</f>
        <v>FES1162745003</v>
      </c>
      <c r="F571" s="1">
        <v>43941</v>
      </c>
      <c r="G571">
        <v>202010</v>
      </c>
      <c r="H571" t="s">
        <v>64</v>
      </c>
      <c r="I571" t="s">
        <v>65</v>
      </c>
      <c r="J571" t="s">
        <v>66</v>
      </c>
      <c r="K571" t="s">
        <v>67</v>
      </c>
      <c r="L571" t="s">
        <v>238</v>
      </c>
      <c r="M571" t="s">
        <v>239</v>
      </c>
      <c r="N571" t="s">
        <v>289</v>
      </c>
      <c r="O571" t="s">
        <v>69</v>
      </c>
      <c r="P571" t="str">
        <f>"2170736187                    "</f>
        <v xml:space="preserve">2170736187         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4.1900000000000004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G571">
        <v>0</v>
      </c>
      <c r="BH571">
        <v>1</v>
      </c>
      <c r="BI571">
        <v>1</v>
      </c>
      <c r="BJ571">
        <v>0.2</v>
      </c>
      <c r="BK571">
        <v>1</v>
      </c>
      <c r="BL571">
        <v>46.06</v>
      </c>
      <c r="BM571">
        <v>6.91</v>
      </c>
      <c r="BN571">
        <v>52.97</v>
      </c>
      <c r="BO571">
        <v>52.97</v>
      </c>
      <c r="BQ571" t="s">
        <v>70</v>
      </c>
      <c r="BR571" t="s">
        <v>71</v>
      </c>
      <c r="BS571" s="1">
        <v>43942</v>
      </c>
      <c r="BT571" s="2">
        <v>0.57986111111111105</v>
      </c>
      <c r="BU571" t="s">
        <v>818</v>
      </c>
      <c r="BV571" t="s">
        <v>74</v>
      </c>
      <c r="BW571" t="s">
        <v>96</v>
      </c>
      <c r="BX571" t="s">
        <v>819</v>
      </c>
      <c r="BY571">
        <v>1200</v>
      </c>
      <c r="CA571" t="s">
        <v>242</v>
      </c>
      <c r="CC571" t="s">
        <v>239</v>
      </c>
      <c r="CD571">
        <v>5201</v>
      </c>
      <c r="CE571" t="s">
        <v>73</v>
      </c>
      <c r="CF571" s="1">
        <v>43950</v>
      </c>
      <c r="CI571">
        <v>1</v>
      </c>
      <c r="CJ571">
        <v>1</v>
      </c>
      <c r="CK571">
        <v>21</v>
      </c>
      <c r="CL571" t="s">
        <v>74</v>
      </c>
    </row>
    <row r="572" spans="1:90" x14ac:dyDescent="0.25">
      <c r="A572" t="s">
        <v>61</v>
      </c>
      <c r="B572" t="s">
        <v>62</v>
      </c>
      <c r="C572" t="s">
        <v>63</v>
      </c>
      <c r="E572" t="str">
        <f>"FES1162744943"</f>
        <v>FES1162744943</v>
      </c>
      <c r="F572" s="1">
        <v>43941</v>
      </c>
      <c r="G572">
        <v>202010</v>
      </c>
      <c r="H572" t="s">
        <v>64</v>
      </c>
      <c r="I572" t="s">
        <v>65</v>
      </c>
      <c r="J572" t="s">
        <v>66</v>
      </c>
      <c r="K572" t="s">
        <v>67</v>
      </c>
      <c r="L572" t="s">
        <v>238</v>
      </c>
      <c r="M572" t="s">
        <v>239</v>
      </c>
      <c r="N572" t="s">
        <v>289</v>
      </c>
      <c r="O572" t="s">
        <v>69</v>
      </c>
      <c r="P572" t="str">
        <f>"2170736187                    "</f>
        <v xml:space="preserve">2170736187         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6.28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G572">
        <v>0</v>
      </c>
      <c r="BH572">
        <v>1</v>
      </c>
      <c r="BI572">
        <v>2.7</v>
      </c>
      <c r="BJ572">
        <v>0.8</v>
      </c>
      <c r="BK572">
        <v>3</v>
      </c>
      <c r="BL572">
        <v>69.069999999999993</v>
      </c>
      <c r="BM572">
        <v>10.36</v>
      </c>
      <c r="BN572">
        <v>79.430000000000007</v>
      </c>
      <c r="BO572">
        <v>79.430000000000007</v>
      </c>
      <c r="BQ572" t="s">
        <v>70</v>
      </c>
      <c r="BR572" t="s">
        <v>71</v>
      </c>
      <c r="BS572" s="1">
        <v>43942</v>
      </c>
      <c r="BT572" s="2">
        <v>0.57916666666666672</v>
      </c>
      <c r="BU572" t="s">
        <v>818</v>
      </c>
      <c r="BV572" t="s">
        <v>74</v>
      </c>
      <c r="BW572" t="s">
        <v>96</v>
      </c>
      <c r="BX572" t="s">
        <v>819</v>
      </c>
      <c r="BY572">
        <v>3866.42</v>
      </c>
      <c r="CA572" t="s">
        <v>242</v>
      </c>
      <c r="CC572" t="s">
        <v>239</v>
      </c>
      <c r="CD572">
        <v>5201</v>
      </c>
      <c r="CE572" t="s">
        <v>91</v>
      </c>
      <c r="CF572" s="1">
        <v>43950</v>
      </c>
      <c r="CI572">
        <v>1</v>
      </c>
      <c r="CJ572">
        <v>1</v>
      </c>
      <c r="CK572">
        <v>21</v>
      </c>
      <c r="CL572" t="s">
        <v>74</v>
      </c>
    </row>
    <row r="573" spans="1:90" x14ac:dyDescent="0.25">
      <c r="A573" t="s">
        <v>61</v>
      </c>
      <c r="B573" t="s">
        <v>62</v>
      </c>
      <c r="C573" t="s">
        <v>63</v>
      </c>
      <c r="E573" t="str">
        <f>"FES1162745016"</f>
        <v>FES1162745016</v>
      </c>
      <c r="F573" s="1">
        <v>43941</v>
      </c>
      <c r="G573">
        <v>202010</v>
      </c>
      <c r="H573" t="s">
        <v>64</v>
      </c>
      <c r="I573" t="s">
        <v>65</v>
      </c>
      <c r="J573" t="s">
        <v>66</v>
      </c>
      <c r="K573" t="s">
        <v>67</v>
      </c>
      <c r="L573" t="s">
        <v>64</v>
      </c>
      <c r="M573" t="s">
        <v>65</v>
      </c>
      <c r="N573" t="s">
        <v>820</v>
      </c>
      <c r="O573" t="s">
        <v>69</v>
      </c>
      <c r="P573" t="str">
        <f>"2170736222                    "</f>
        <v xml:space="preserve">2170736222           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4.84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G573">
        <v>0</v>
      </c>
      <c r="BH573">
        <v>1</v>
      </c>
      <c r="BI573">
        <v>2.7</v>
      </c>
      <c r="BJ573">
        <v>3.6</v>
      </c>
      <c r="BK573">
        <v>4</v>
      </c>
      <c r="BL573">
        <v>53.23</v>
      </c>
      <c r="BM573">
        <v>7.98</v>
      </c>
      <c r="BN573">
        <v>61.21</v>
      </c>
      <c r="BO573">
        <v>61.21</v>
      </c>
      <c r="BQ573" t="s">
        <v>70</v>
      </c>
      <c r="BR573" t="s">
        <v>71</v>
      </c>
      <c r="BS573" s="1">
        <v>43942</v>
      </c>
      <c r="BT573" s="2">
        <v>0.41319444444444442</v>
      </c>
      <c r="BU573" t="s">
        <v>821</v>
      </c>
      <c r="BV573" t="s">
        <v>80</v>
      </c>
      <c r="BY573">
        <v>17883.7</v>
      </c>
      <c r="CC573" t="s">
        <v>65</v>
      </c>
      <c r="CD573">
        <v>1619</v>
      </c>
      <c r="CE573" t="s">
        <v>91</v>
      </c>
      <c r="CF573" s="1">
        <v>43943</v>
      </c>
      <c r="CI573">
        <v>1</v>
      </c>
      <c r="CJ573">
        <v>1</v>
      </c>
      <c r="CK573">
        <v>22</v>
      </c>
      <c r="CL573" t="s">
        <v>74</v>
      </c>
    </row>
    <row r="574" spans="1:90" x14ac:dyDescent="0.25">
      <c r="A574" t="s">
        <v>61</v>
      </c>
      <c r="B574" t="s">
        <v>62</v>
      </c>
      <c r="C574" t="s">
        <v>63</v>
      </c>
      <c r="E574" t="str">
        <f>"FES1162744011"</f>
        <v>FES1162744011</v>
      </c>
      <c r="F574" s="1">
        <v>43941</v>
      </c>
      <c r="G574">
        <v>202010</v>
      </c>
      <c r="H574" t="s">
        <v>64</v>
      </c>
      <c r="I574" t="s">
        <v>65</v>
      </c>
      <c r="J574" t="s">
        <v>66</v>
      </c>
      <c r="K574" t="s">
        <v>67</v>
      </c>
      <c r="L574" t="s">
        <v>64</v>
      </c>
      <c r="M574" t="s">
        <v>65</v>
      </c>
      <c r="N574" t="s">
        <v>812</v>
      </c>
      <c r="O574" t="s">
        <v>69</v>
      </c>
      <c r="P574" t="str">
        <f>"2170735395                    "</f>
        <v xml:space="preserve">2170735395           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3.66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G574">
        <v>0</v>
      </c>
      <c r="BH574">
        <v>1</v>
      </c>
      <c r="BI574">
        <v>2.2000000000000002</v>
      </c>
      <c r="BJ574">
        <v>0.9</v>
      </c>
      <c r="BK574">
        <v>2.5</v>
      </c>
      <c r="BL574">
        <v>40.29</v>
      </c>
      <c r="BM574">
        <v>6.04</v>
      </c>
      <c r="BN574">
        <v>46.33</v>
      </c>
      <c r="BO574">
        <v>46.33</v>
      </c>
      <c r="BQ574" t="s">
        <v>70</v>
      </c>
      <c r="BR574" t="s">
        <v>71</v>
      </c>
      <c r="BS574" s="1">
        <v>43942</v>
      </c>
      <c r="BT574" s="2">
        <v>0.5</v>
      </c>
      <c r="BU574" t="s">
        <v>822</v>
      </c>
      <c r="BV574" t="s">
        <v>74</v>
      </c>
      <c r="BW574" t="s">
        <v>85</v>
      </c>
      <c r="BX574" t="s">
        <v>606</v>
      </c>
      <c r="BY574">
        <v>4749.12</v>
      </c>
      <c r="CC574" t="s">
        <v>65</v>
      </c>
      <c r="CD574">
        <v>1609</v>
      </c>
      <c r="CE574" t="s">
        <v>91</v>
      </c>
      <c r="CF574" s="1">
        <v>43943</v>
      </c>
      <c r="CI574">
        <v>1</v>
      </c>
      <c r="CJ574">
        <v>1</v>
      </c>
      <c r="CK574">
        <v>22</v>
      </c>
      <c r="CL574" t="s">
        <v>74</v>
      </c>
    </row>
    <row r="575" spans="1:90" x14ac:dyDescent="0.25">
      <c r="A575" t="s">
        <v>61</v>
      </c>
      <c r="B575" t="s">
        <v>62</v>
      </c>
      <c r="C575" t="s">
        <v>63</v>
      </c>
      <c r="E575" t="str">
        <f>"FES1162744246"</f>
        <v>FES1162744246</v>
      </c>
      <c r="F575" s="1">
        <v>43941</v>
      </c>
      <c r="G575">
        <v>202010</v>
      </c>
      <c r="H575" t="s">
        <v>64</v>
      </c>
      <c r="I575" t="s">
        <v>65</v>
      </c>
      <c r="J575" t="s">
        <v>66</v>
      </c>
      <c r="K575" t="s">
        <v>67</v>
      </c>
      <c r="L575" t="s">
        <v>64</v>
      </c>
      <c r="M575" t="s">
        <v>65</v>
      </c>
      <c r="N575" t="s">
        <v>812</v>
      </c>
      <c r="O575" t="s">
        <v>69</v>
      </c>
      <c r="P575" t="str">
        <f>"2170735415                    "</f>
        <v xml:space="preserve">2170735415         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3.27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G575">
        <v>0</v>
      </c>
      <c r="BH575">
        <v>1</v>
      </c>
      <c r="BI575">
        <v>0.8</v>
      </c>
      <c r="BJ575">
        <v>1</v>
      </c>
      <c r="BK575">
        <v>1</v>
      </c>
      <c r="BL575">
        <v>35.979999999999997</v>
      </c>
      <c r="BM575">
        <v>5.4</v>
      </c>
      <c r="BN575">
        <v>41.38</v>
      </c>
      <c r="BO575">
        <v>41.38</v>
      </c>
      <c r="BQ575" t="s">
        <v>70</v>
      </c>
      <c r="BR575" t="s">
        <v>71</v>
      </c>
      <c r="BS575" s="1">
        <v>43951</v>
      </c>
      <c r="BT575" s="2">
        <v>0.64444444444444449</v>
      </c>
      <c r="BU575" t="s">
        <v>816</v>
      </c>
      <c r="BV575" t="s">
        <v>74</v>
      </c>
      <c r="BY575">
        <v>4802.63</v>
      </c>
      <c r="CA575" t="s">
        <v>310</v>
      </c>
      <c r="CC575" t="s">
        <v>65</v>
      </c>
      <c r="CD575">
        <v>1609</v>
      </c>
      <c r="CE575" t="s">
        <v>91</v>
      </c>
      <c r="CI575">
        <v>1</v>
      </c>
      <c r="CJ575">
        <v>8</v>
      </c>
      <c r="CK575">
        <v>22</v>
      </c>
      <c r="CL575" t="s">
        <v>74</v>
      </c>
    </row>
    <row r="576" spans="1:90" x14ac:dyDescent="0.25">
      <c r="A576" t="s">
        <v>61</v>
      </c>
      <c r="B576" t="s">
        <v>62</v>
      </c>
      <c r="C576" t="s">
        <v>63</v>
      </c>
      <c r="E576" t="str">
        <f>"FES1162745089"</f>
        <v>FES1162745089</v>
      </c>
      <c r="F576" s="1">
        <v>43943</v>
      </c>
      <c r="G576">
        <v>202010</v>
      </c>
      <c r="H576" t="s">
        <v>64</v>
      </c>
      <c r="I576" t="s">
        <v>65</v>
      </c>
      <c r="J576" t="s">
        <v>66</v>
      </c>
      <c r="K576" t="s">
        <v>67</v>
      </c>
      <c r="L576" t="s">
        <v>151</v>
      </c>
      <c r="M576" t="s">
        <v>152</v>
      </c>
      <c r="N576" t="s">
        <v>823</v>
      </c>
      <c r="O576" t="s">
        <v>69</v>
      </c>
      <c r="P576" t="str">
        <f>"2170736248                    "</f>
        <v xml:space="preserve">2170736248           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4.1900000000000004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G576">
        <v>0</v>
      </c>
      <c r="BH576">
        <v>1</v>
      </c>
      <c r="BI576">
        <v>1</v>
      </c>
      <c r="BJ576">
        <v>0.2</v>
      </c>
      <c r="BK576">
        <v>1</v>
      </c>
      <c r="BL576">
        <v>46.06</v>
      </c>
      <c r="BM576">
        <v>6.91</v>
      </c>
      <c r="BN576">
        <v>52.97</v>
      </c>
      <c r="BO576">
        <v>52.97</v>
      </c>
      <c r="BQ576" t="s">
        <v>78</v>
      </c>
      <c r="BR576" t="s">
        <v>71</v>
      </c>
      <c r="BS576" s="1">
        <v>43944</v>
      </c>
      <c r="BT576" s="2">
        <v>0.41666666666666669</v>
      </c>
      <c r="BU576" t="s">
        <v>824</v>
      </c>
      <c r="BV576" t="s">
        <v>80</v>
      </c>
      <c r="BY576">
        <v>1200</v>
      </c>
      <c r="CC576" t="s">
        <v>152</v>
      </c>
      <c r="CD576">
        <v>3201</v>
      </c>
      <c r="CE576" t="s">
        <v>73</v>
      </c>
      <c r="CF576" s="1">
        <v>43945</v>
      </c>
      <c r="CI576">
        <v>1</v>
      </c>
      <c r="CJ576">
        <v>1</v>
      </c>
      <c r="CK576">
        <v>21</v>
      </c>
      <c r="CL576" t="s">
        <v>74</v>
      </c>
    </row>
    <row r="577" spans="1:90" x14ac:dyDescent="0.25">
      <c r="A577" t="s">
        <v>61</v>
      </c>
      <c r="B577" t="s">
        <v>62</v>
      </c>
      <c r="C577" t="s">
        <v>63</v>
      </c>
      <c r="E577" t="str">
        <f>"FES1162745060"</f>
        <v>FES1162745060</v>
      </c>
      <c r="F577" s="1">
        <v>43941</v>
      </c>
      <c r="G577">
        <v>202010</v>
      </c>
      <c r="H577" t="s">
        <v>64</v>
      </c>
      <c r="I577" t="s">
        <v>65</v>
      </c>
      <c r="J577" t="s">
        <v>66</v>
      </c>
      <c r="K577" t="s">
        <v>67</v>
      </c>
      <c r="L577" t="s">
        <v>254</v>
      </c>
      <c r="M577" t="s">
        <v>255</v>
      </c>
      <c r="N577" t="s">
        <v>503</v>
      </c>
      <c r="O577" t="s">
        <v>69</v>
      </c>
      <c r="P577" t="str">
        <f>"2170736270                    "</f>
        <v xml:space="preserve">2170736270           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34.520000000000003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G577">
        <v>0</v>
      </c>
      <c r="BH577">
        <v>1</v>
      </c>
      <c r="BI577">
        <v>11.7</v>
      </c>
      <c r="BJ577">
        <v>16.2</v>
      </c>
      <c r="BK577">
        <v>16.5</v>
      </c>
      <c r="BL577">
        <v>379.73</v>
      </c>
      <c r="BM577">
        <v>56.96</v>
      </c>
      <c r="BN577">
        <v>436.69</v>
      </c>
      <c r="BO577">
        <v>436.69</v>
      </c>
      <c r="BQ577" t="s">
        <v>78</v>
      </c>
      <c r="BR577" t="s">
        <v>71</v>
      </c>
      <c r="BS577" s="1">
        <v>43942</v>
      </c>
      <c r="BT577" s="2">
        <v>0.4236111111111111</v>
      </c>
      <c r="BU577" t="s">
        <v>541</v>
      </c>
      <c r="BV577" t="s">
        <v>80</v>
      </c>
      <c r="BY577">
        <v>81032.639999999999</v>
      </c>
      <c r="CA577" t="s">
        <v>542</v>
      </c>
      <c r="CC577" t="s">
        <v>255</v>
      </c>
      <c r="CD577">
        <v>183</v>
      </c>
      <c r="CE577" t="s">
        <v>91</v>
      </c>
      <c r="CF577" s="1">
        <v>43943</v>
      </c>
      <c r="CI577">
        <v>1</v>
      </c>
      <c r="CJ577">
        <v>1</v>
      </c>
      <c r="CK577">
        <v>21</v>
      </c>
      <c r="CL577" t="s">
        <v>74</v>
      </c>
    </row>
    <row r="578" spans="1:90" x14ac:dyDescent="0.25">
      <c r="A578" t="s">
        <v>61</v>
      </c>
      <c r="B578" t="s">
        <v>62</v>
      </c>
      <c r="C578" t="s">
        <v>63</v>
      </c>
      <c r="E578" t="str">
        <f>"FES1162745050"</f>
        <v>FES1162745050</v>
      </c>
      <c r="F578" s="1">
        <v>43941</v>
      </c>
      <c r="G578">
        <v>202010</v>
      </c>
      <c r="H578" t="s">
        <v>64</v>
      </c>
      <c r="I578" t="s">
        <v>65</v>
      </c>
      <c r="J578" t="s">
        <v>66</v>
      </c>
      <c r="K578" t="s">
        <v>67</v>
      </c>
      <c r="L578" t="s">
        <v>120</v>
      </c>
      <c r="M578" t="s">
        <v>121</v>
      </c>
      <c r="N578" t="s">
        <v>267</v>
      </c>
      <c r="O578" t="s">
        <v>69</v>
      </c>
      <c r="P578" t="str">
        <f>"2170736255                    "</f>
        <v xml:space="preserve">2170736255           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4.1900000000000004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G578">
        <v>0</v>
      </c>
      <c r="BH578">
        <v>1</v>
      </c>
      <c r="BI578">
        <v>1</v>
      </c>
      <c r="BJ578">
        <v>0.2</v>
      </c>
      <c r="BK578">
        <v>1</v>
      </c>
      <c r="BL578">
        <v>46.06</v>
      </c>
      <c r="BM578">
        <v>6.91</v>
      </c>
      <c r="BN578">
        <v>52.97</v>
      </c>
      <c r="BO578">
        <v>52.97</v>
      </c>
      <c r="BQ578" t="s">
        <v>268</v>
      </c>
      <c r="BR578" t="s">
        <v>71</v>
      </c>
      <c r="BS578" s="1">
        <v>43942</v>
      </c>
      <c r="BT578" s="2">
        <v>0.59791666666666665</v>
      </c>
      <c r="BU578" t="s">
        <v>825</v>
      </c>
      <c r="BV578" t="s">
        <v>74</v>
      </c>
      <c r="BW578" t="s">
        <v>85</v>
      </c>
      <c r="BX578" t="s">
        <v>735</v>
      </c>
      <c r="BY578">
        <v>1200</v>
      </c>
      <c r="CA578" t="s">
        <v>172</v>
      </c>
      <c r="CC578" t="s">
        <v>121</v>
      </c>
      <c r="CD578">
        <v>4064</v>
      </c>
      <c r="CE578" t="s">
        <v>73</v>
      </c>
      <c r="CF578" s="1">
        <v>43943</v>
      </c>
      <c r="CI578">
        <v>1</v>
      </c>
      <c r="CJ578">
        <v>1</v>
      </c>
      <c r="CK578">
        <v>21</v>
      </c>
      <c r="CL578" t="s">
        <v>74</v>
      </c>
    </row>
    <row r="579" spans="1:90" x14ac:dyDescent="0.25">
      <c r="A579" t="s">
        <v>61</v>
      </c>
      <c r="B579" t="s">
        <v>62</v>
      </c>
      <c r="C579" t="s">
        <v>63</v>
      </c>
      <c r="E579" t="str">
        <f>"FES1162744966"</f>
        <v>FES1162744966</v>
      </c>
      <c r="F579" s="1">
        <v>43941</v>
      </c>
      <c r="G579">
        <v>202010</v>
      </c>
      <c r="H579" t="s">
        <v>64</v>
      </c>
      <c r="I579" t="s">
        <v>65</v>
      </c>
      <c r="J579" t="s">
        <v>66</v>
      </c>
      <c r="K579" t="s">
        <v>67</v>
      </c>
      <c r="L579" t="s">
        <v>194</v>
      </c>
      <c r="M579" t="s">
        <v>195</v>
      </c>
      <c r="N579" t="s">
        <v>196</v>
      </c>
      <c r="O579" t="s">
        <v>69</v>
      </c>
      <c r="P579" t="str">
        <f>"2170734658                    "</f>
        <v xml:space="preserve">2170734658         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11.78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G579">
        <v>0</v>
      </c>
      <c r="BH579">
        <v>1</v>
      </c>
      <c r="BI579">
        <v>2.6</v>
      </c>
      <c r="BJ579">
        <v>0.8</v>
      </c>
      <c r="BK579">
        <v>3</v>
      </c>
      <c r="BL579">
        <v>129.54</v>
      </c>
      <c r="BM579">
        <v>19.43</v>
      </c>
      <c r="BN579">
        <v>148.97</v>
      </c>
      <c r="BO579">
        <v>148.97</v>
      </c>
      <c r="BQ579" t="s">
        <v>70</v>
      </c>
      <c r="BR579" t="s">
        <v>71</v>
      </c>
      <c r="BS579" s="1">
        <v>43942</v>
      </c>
      <c r="BT579" s="2">
        <v>0.39583333333333331</v>
      </c>
      <c r="BU579" t="s">
        <v>539</v>
      </c>
      <c r="BV579" t="s">
        <v>80</v>
      </c>
      <c r="BY579">
        <v>4072.99</v>
      </c>
      <c r="CC579" t="s">
        <v>195</v>
      </c>
      <c r="CD579">
        <v>9880</v>
      </c>
      <c r="CE579" t="s">
        <v>91</v>
      </c>
      <c r="CF579" s="1">
        <v>43945</v>
      </c>
      <c r="CI579">
        <v>1</v>
      </c>
      <c r="CJ579">
        <v>1</v>
      </c>
      <c r="CK579">
        <v>23</v>
      </c>
      <c r="CL579" t="s">
        <v>74</v>
      </c>
    </row>
    <row r="580" spans="1:90" x14ac:dyDescent="0.25">
      <c r="A580" t="s">
        <v>61</v>
      </c>
      <c r="B580" t="s">
        <v>62</v>
      </c>
      <c r="C580" t="s">
        <v>63</v>
      </c>
      <c r="E580" t="str">
        <f>"FES1162744128"</f>
        <v>FES1162744128</v>
      </c>
      <c r="F580" s="1">
        <v>43941</v>
      </c>
      <c r="G580">
        <v>202010</v>
      </c>
      <c r="H580" t="s">
        <v>64</v>
      </c>
      <c r="I580" t="s">
        <v>65</v>
      </c>
      <c r="J580" t="s">
        <v>66</v>
      </c>
      <c r="K580" t="s">
        <v>67</v>
      </c>
      <c r="L580" t="s">
        <v>99</v>
      </c>
      <c r="M580" t="s">
        <v>100</v>
      </c>
      <c r="N580" t="s">
        <v>101</v>
      </c>
      <c r="O580" t="s">
        <v>69</v>
      </c>
      <c r="P580" t="str">
        <f>"2170732601                    "</f>
        <v xml:space="preserve">2170732601           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9.94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G580">
        <v>0</v>
      </c>
      <c r="BH580">
        <v>1</v>
      </c>
      <c r="BI580">
        <v>2.5</v>
      </c>
      <c r="BJ580">
        <v>1.5</v>
      </c>
      <c r="BK580">
        <v>2.5</v>
      </c>
      <c r="BL580">
        <v>109.38</v>
      </c>
      <c r="BM580">
        <v>16.41</v>
      </c>
      <c r="BN580">
        <v>125.79</v>
      </c>
      <c r="BO580">
        <v>125.79</v>
      </c>
      <c r="BQ580" t="s">
        <v>78</v>
      </c>
      <c r="BR580" t="s">
        <v>71</v>
      </c>
      <c r="BS580" s="1">
        <v>43943</v>
      </c>
      <c r="BT580" s="2">
        <v>0.79652777777777783</v>
      </c>
      <c r="BU580" t="s">
        <v>102</v>
      </c>
      <c r="BV580" t="s">
        <v>80</v>
      </c>
      <c r="BY580">
        <v>7360.92</v>
      </c>
      <c r="CA580" t="s">
        <v>103</v>
      </c>
      <c r="CC580" t="s">
        <v>100</v>
      </c>
      <c r="CD580">
        <v>6849</v>
      </c>
      <c r="CE580" t="s">
        <v>91</v>
      </c>
      <c r="CF580" s="1">
        <v>43951</v>
      </c>
      <c r="CI580">
        <v>3</v>
      </c>
      <c r="CJ580">
        <v>2</v>
      </c>
      <c r="CK580">
        <v>23</v>
      </c>
      <c r="CL580" t="s">
        <v>74</v>
      </c>
    </row>
    <row r="581" spans="1:90" x14ac:dyDescent="0.25">
      <c r="A581" t="s">
        <v>61</v>
      </c>
      <c r="B581" t="s">
        <v>62</v>
      </c>
      <c r="C581" t="s">
        <v>63</v>
      </c>
      <c r="E581" t="str">
        <f>"FES1162745120"</f>
        <v>FES1162745120</v>
      </c>
      <c r="F581" s="1">
        <v>43942</v>
      </c>
      <c r="G581">
        <v>202010</v>
      </c>
      <c r="H581" t="s">
        <v>64</v>
      </c>
      <c r="I581" t="s">
        <v>65</v>
      </c>
      <c r="J581" t="s">
        <v>66</v>
      </c>
      <c r="K581" t="s">
        <v>67</v>
      </c>
      <c r="L581" t="s">
        <v>146</v>
      </c>
      <c r="M581" t="s">
        <v>147</v>
      </c>
      <c r="N581" t="s">
        <v>173</v>
      </c>
      <c r="O581" t="s">
        <v>69</v>
      </c>
      <c r="P581" t="str">
        <f>"2170735525                    "</f>
        <v xml:space="preserve">2170735525         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6.28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G581">
        <v>0</v>
      </c>
      <c r="BH581">
        <v>1</v>
      </c>
      <c r="BI581">
        <v>2.6</v>
      </c>
      <c r="BJ581">
        <v>0.9</v>
      </c>
      <c r="BK581">
        <v>3</v>
      </c>
      <c r="BL581">
        <v>69.069999999999993</v>
      </c>
      <c r="BM581">
        <v>10.36</v>
      </c>
      <c r="BN581">
        <v>79.430000000000007</v>
      </c>
      <c r="BO581">
        <v>79.430000000000007</v>
      </c>
      <c r="BQ581" t="s">
        <v>70</v>
      </c>
      <c r="BR581" t="s">
        <v>71</v>
      </c>
      <c r="BS581" s="1">
        <v>43944</v>
      </c>
      <c r="BT581" s="2">
        <v>0.39305555555555555</v>
      </c>
      <c r="BU581" t="s">
        <v>826</v>
      </c>
      <c r="BV581" t="s">
        <v>74</v>
      </c>
      <c r="BW581" t="s">
        <v>96</v>
      </c>
      <c r="BX581" t="s">
        <v>339</v>
      </c>
      <c r="BY581">
        <v>4276.16</v>
      </c>
      <c r="CA581" t="s">
        <v>827</v>
      </c>
      <c r="CC581" t="s">
        <v>147</v>
      </c>
      <c r="CD581">
        <v>6001</v>
      </c>
      <c r="CE581" t="s">
        <v>91</v>
      </c>
      <c r="CF581" s="1">
        <v>43945</v>
      </c>
      <c r="CI581">
        <v>1</v>
      </c>
      <c r="CJ581">
        <v>2</v>
      </c>
      <c r="CK581">
        <v>21</v>
      </c>
      <c r="CL581" t="s">
        <v>74</v>
      </c>
    </row>
    <row r="582" spans="1:90" x14ac:dyDescent="0.25">
      <c r="A582" t="s">
        <v>61</v>
      </c>
      <c r="B582" t="s">
        <v>62</v>
      </c>
      <c r="C582" t="s">
        <v>63</v>
      </c>
      <c r="E582" t="str">
        <f>"FES1162744947"</f>
        <v>FES1162744947</v>
      </c>
      <c r="F582" s="1">
        <v>43941</v>
      </c>
      <c r="G582">
        <v>202010</v>
      </c>
      <c r="H582" t="s">
        <v>64</v>
      </c>
      <c r="I582" t="s">
        <v>65</v>
      </c>
      <c r="J582" t="s">
        <v>66</v>
      </c>
      <c r="K582" t="s">
        <v>67</v>
      </c>
      <c r="L582" t="s">
        <v>422</v>
      </c>
      <c r="M582" t="s">
        <v>423</v>
      </c>
      <c r="N582" t="s">
        <v>508</v>
      </c>
      <c r="O582" t="s">
        <v>69</v>
      </c>
      <c r="P582" t="str">
        <f>"2170736191                    "</f>
        <v xml:space="preserve">2170736191         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30.27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G582">
        <v>0</v>
      </c>
      <c r="BH582">
        <v>1</v>
      </c>
      <c r="BI582">
        <v>10.1</v>
      </c>
      <c r="BJ582">
        <v>4.9000000000000004</v>
      </c>
      <c r="BK582">
        <v>10.5</v>
      </c>
      <c r="BL582">
        <v>332.93</v>
      </c>
      <c r="BM582">
        <v>49.94</v>
      </c>
      <c r="BN582">
        <v>382.87</v>
      </c>
      <c r="BO582">
        <v>382.87</v>
      </c>
      <c r="BQ582" t="s">
        <v>78</v>
      </c>
      <c r="BR582" t="s">
        <v>71</v>
      </c>
      <c r="BS582" s="1">
        <v>43942</v>
      </c>
      <c r="BT582" s="2">
        <v>0.39444444444444443</v>
      </c>
      <c r="BU582" t="s">
        <v>828</v>
      </c>
      <c r="BV582" t="s">
        <v>80</v>
      </c>
      <c r="BY582">
        <v>24300</v>
      </c>
      <c r="CC582" t="s">
        <v>423</v>
      </c>
      <c r="CD582">
        <v>1739</v>
      </c>
      <c r="CE582" t="s">
        <v>91</v>
      </c>
      <c r="CI582">
        <v>1</v>
      </c>
      <c r="CJ582">
        <v>1</v>
      </c>
      <c r="CK582">
        <v>24</v>
      </c>
      <c r="CL582" t="s">
        <v>74</v>
      </c>
    </row>
    <row r="583" spans="1:90" x14ac:dyDescent="0.25">
      <c r="A583" t="s">
        <v>61</v>
      </c>
      <c r="B583" t="s">
        <v>62</v>
      </c>
      <c r="C583" t="s">
        <v>63</v>
      </c>
      <c r="E583" t="str">
        <f>"FES1162745024"</f>
        <v>FES1162745024</v>
      </c>
      <c r="F583" s="1">
        <v>43941</v>
      </c>
      <c r="G583">
        <v>202010</v>
      </c>
      <c r="H583" t="s">
        <v>64</v>
      </c>
      <c r="I583" t="s">
        <v>65</v>
      </c>
      <c r="J583" t="s">
        <v>66</v>
      </c>
      <c r="K583" t="s">
        <v>67</v>
      </c>
      <c r="L583" t="s">
        <v>64</v>
      </c>
      <c r="M583" t="s">
        <v>65</v>
      </c>
      <c r="N583" t="s">
        <v>829</v>
      </c>
      <c r="O583" t="s">
        <v>69</v>
      </c>
      <c r="P583" t="str">
        <f>"2170736048                    "</f>
        <v xml:space="preserve">2170736048         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7.58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G583">
        <v>0</v>
      </c>
      <c r="BH583">
        <v>1</v>
      </c>
      <c r="BI583">
        <v>7.3</v>
      </c>
      <c r="BJ583">
        <v>3.3</v>
      </c>
      <c r="BK583">
        <v>7.5</v>
      </c>
      <c r="BL583">
        <v>83.41</v>
      </c>
      <c r="BM583">
        <v>12.51</v>
      </c>
      <c r="BN583">
        <v>95.92</v>
      </c>
      <c r="BO583">
        <v>95.92</v>
      </c>
      <c r="BQ583" t="s">
        <v>78</v>
      </c>
      <c r="BR583" t="s">
        <v>71</v>
      </c>
      <c r="BS583" s="1">
        <v>43942</v>
      </c>
      <c r="BT583" s="2">
        <v>0.41666666666666669</v>
      </c>
      <c r="BU583" t="s">
        <v>533</v>
      </c>
      <c r="BV583" t="s">
        <v>80</v>
      </c>
      <c r="BY583">
        <v>16615.41</v>
      </c>
      <c r="CC583" t="s">
        <v>65</v>
      </c>
      <c r="CD583">
        <v>1619</v>
      </c>
      <c r="CE583" t="s">
        <v>91</v>
      </c>
      <c r="CI583">
        <v>1</v>
      </c>
      <c r="CJ583">
        <v>1</v>
      </c>
      <c r="CK583">
        <v>22</v>
      </c>
      <c r="CL583" t="s">
        <v>74</v>
      </c>
    </row>
    <row r="584" spans="1:90" x14ac:dyDescent="0.25">
      <c r="A584" t="s">
        <v>61</v>
      </c>
      <c r="B584" t="s">
        <v>62</v>
      </c>
      <c r="C584" t="s">
        <v>63</v>
      </c>
      <c r="E584" t="str">
        <f>"FES1162745036"</f>
        <v>FES1162745036</v>
      </c>
      <c r="F584" s="1">
        <v>43941</v>
      </c>
      <c r="G584">
        <v>202010</v>
      </c>
      <c r="H584" t="s">
        <v>64</v>
      </c>
      <c r="I584" t="s">
        <v>65</v>
      </c>
      <c r="J584" t="s">
        <v>66</v>
      </c>
      <c r="K584" t="s">
        <v>67</v>
      </c>
      <c r="L584" t="s">
        <v>133</v>
      </c>
      <c r="M584" t="s">
        <v>134</v>
      </c>
      <c r="N584" t="s">
        <v>135</v>
      </c>
      <c r="O584" t="s">
        <v>69</v>
      </c>
      <c r="P584" t="str">
        <f>"2170735954                    "</f>
        <v xml:space="preserve">2170735954           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64.900000000000006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G584">
        <v>0</v>
      </c>
      <c r="BH584">
        <v>1</v>
      </c>
      <c r="BI584">
        <v>7.1</v>
      </c>
      <c r="BJ584">
        <v>17.2</v>
      </c>
      <c r="BK584">
        <v>17.5</v>
      </c>
      <c r="BL584">
        <v>713.94</v>
      </c>
      <c r="BM584">
        <v>107.09</v>
      </c>
      <c r="BN584">
        <v>821.03</v>
      </c>
      <c r="BO584">
        <v>821.03</v>
      </c>
      <c r="BQ584" t="s">
        <v>70</v>
      </c>
      <c r="BR584" t="s">
        <v>71</v>
      </c>
      <c r="BS584" s="1">
        <v>43942</v>
      </c>
      <c r="BT584" s="2">
        <v>0.57777777777777783</v>
      </c>
      <c r="BU584" t="s">
        <v>530</v>
      </c>
      <c r="BV584" t="s">
        <v>80</v>
      </c>
      <c r="BY584">
        <v>86108.4</v>
      </c>
      <c r="CA584" t="s">
        <v>531</v>
      </c>
      <c r="CC584" t="s">
        <v>134</v>
      </c>
      <c r="CD584">
        <v>4450</v>
      </c>
      <c r="CE584" t="s">
        <v>91</v>
      </c>
      <c r="CF584" s="1">
        <v>43943</v>
      </c>
      <c r="CI584">
        <v>1</v>
      </c>
      <c r="CJ584">
        <v>1</v>
      </c>
      <c r="CK584">
        <v>23</v>
      </c>
      <c r="CL584" t="s">
        <v>74</v>
      </c>
    </row>
    <row r="585" spans="1:90" x14ac:dyDescent="0.25">
      <c r="A585" t="s">
        <v>61</v>
      </c>
      <c r="B585" t="s">
        <v>62</v>
      </c>
      <c r="C585" t="s">
        <v>63</v>
      </c>
      <c r="E585" t="str">
        <f>"FES1162744924"</f>
        <v>FES1162744924</v>
      </c>
      <c r="F585" s="1">
        <v>43941</v>
      </c>
      <c r="G585">
        <v>202010</v>
      </c>
      <c r="H585" t="s">
        <v>64</v>
      </c>
      <c r="I585" t="s">
        <v>65</v>
      </c>
      <c r="J585" t="s">
        <v>66</v>
      </c>
      <c r="K585" t="s">
        <v>67</v>
      </c>
      <c r="L585" t="s">
        <v>693</v>
      </c>
      <c r="M585" t="s">
        <v>694</v>
      </c>
      <c r="N585" t="s">
        <v>695</v>
      </c>
      <c r="O585" t="s">
        <v>69</v>
      </c>
      <c r="P585" t="str">
        <f>"2170735849                    "</f>
        <v xml:space="preserve">2170735849           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8.11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G585">
        <v>0</v>
      </c>
      <c r="BH585">
        <v>1</v>
      </c>
      <c r="BI585">
        <v>1.6</v>
      </c>
      <c r="BJ585">
        <v>1</v>
      </c>
      <c r="BK585">
        <v>2</v>
      </c>
      <c r="BL585">
        <v>89.23</v>
      </c>
      <c r="BM585">
        <v>13.38</v>
      </c>
      <c r="BN585">
        <v>102.61</v>
      </c>
      <c r="BO585">
        <v>102.61</v>
      </c>
      <c r="BQ585" t="s">
        <v>78</v>
      </c>
      <c r="BR585" t="s">
        <v>71</v>
      </c>
      <c r="BS585" s="1">
        <v>43943</v>
      </c>
      <c r="BT585" s="2">
        <v>0.41666666666666669</v>
      </c>
      <c r="BU585" t="s">
        <v>830</v>
      </c>
      <c r="BV585" t="s">
        <v>80</v>
      </c>
      <c r="BY585">
        <v>4985.8</v>
      </c>
      <c r="CC585" t="s">
        <v>694</v>
      </c>
      <c r="CD585">
        <v>3236</v>
      </c>
      <c r="CE585" t="s">
        <v>91</v>
      </c>
      <c r="CF585" s="1">
        <v>43945</v>
      </c>
      <c r="CI585">
        <v>4</v>
      </c>
      <c r="CJ585">
        <v>2</v>
      </c>
      <c r="CK585">
        <v>23</v>
      </c>
      <c r="CL585" t="s">
        <v>74</v>
      </c>
    </row>
    <row r="586" spans="1:90" x14ac:dyDescent="0.25">
      <c r="A586" t="s">
        <v>61</v>
      </c>
      <c r="B586" t="s">
        <v>62</v>
      </c>
      <c r="C586" t="s">
        <v>63</v>
      </c>
      <c r="E586" t="str">
        <f>"FES1162745028"</f>
        <v>FES1162745028</v>
      </c>
      <c r="F586" s="1">
        <v>43941</v>
      </c>
      <c r="G586">
        <v>202010</v>
      </c>
      <c r="H586" t="s">
        <v>64</v>
      </c>
      <c r="I586" t="s">
        <v>65</v>
      </c>
      <c r="J586" t="s">
        <v>66</v>
      </c>
      <c r="K586" t="s">
        <v>67</v>
      </c>
      <c r="L586" t="s">
        <v>184</v>
      </c>
      <c r="M586" t="s">
        <v>185</v>
      </c>
      <c r="N586" t="s">
        <v>186</v>
      </c>
      <c r="O586" t="s">
        <v>69</v>
      </c>
      <c r="P586" t="str">
        <f>"2170735586                    "</f>
        <v xml:space="preserve">2170735586         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50.25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G586">
        <v>0</v>
      </c>
      <c r="BH586">
        <v>1</v>
      </c>
      <c r="BI586">
        <v>13.4</v>
      </c>
      <c r="BJ586">
        <v>4.4000000000000004</v>
      </c>
      <c r="BK586">
        <v>13.5</v>
      </c>
      <c r="BL586">
        <v>552.73</v>
      </c>
      <c r="BM586">
        <v>82.91</v>
      </c>
      <c r="BN586">
        <v>635.64</v>
      </c>
      <c r="BO586">
        <v>635.64</v>
      </c>
      <c r="BQ586" t="s">
        <v>70</v>
      </c>
      <c r="BR586" t="s">
        <v>71</v>
      </c>
      <c r="BS586" s="1">
        <v>43942</v>
      </c>
      <c r="BT586" s="2">
        <v>0.42777777777777781</v>
      </c>
      <c r="BU586" t="s">
        <v>244</v>
      </c>
      <c r="BV586" t="s">
        <v>80</v>
      </c>
      <c r="BY586">
        <v>22153.64</v>
      </c>
      <c r="CA586" t="s">
        <v>245</v>
      </c>
      <c r="CC586" t="s">
        <v>185</v>
      </c>
      <c r="CD586">
        <v>7130</v>
      </c>
      <c r="CE586" t="s">
        <v>91</v>
      </c>
      <c r="CF586" s="1">
        <v>43943</v>
      </c>
      <c r="CI586">
        <v>1</v>
      </c>
      <c r="CJ586">
        <v>1</v>
      </c>
      <c r="CK586">
        <v>23</v>
      </c>
      <c r="CL586" t="s">
        <v>74</v>
      </c>
    </row>
    <row r="587" spans="1:90" x14ac:dyDescent="0.25">
      <c r="A587" t="s">
        <v>61</v>
      </c>
      <c r="B587" t="s">
        <v>62</v>
      </c>
      <c r="C587" t="s">
        <v>63</v>
      </c>
      <c r="E587" t="str">
        <f>"FES1162744962"</f>
        <v>FES1162744962</v>
      </c>
      <c r="F587" s="1">
        <v>43941</v>
      </c>
      <c r="G587">
        <v>202010</v>
      </c>
      <c r="H587" t="s">
        <v>64</v>
      </c>
      <c r="I587" t="s">
        <v>65</v>
      </c>
      <c r="J587" t="s">
        <v>66</v>
      </c>
      <c r="K587" t="s">
        <v>67</v>
      </c>
      <c r="L587" t="s">
        <v>99</v>
      </c>
      <c r="M587" t="s">
        <v>100</v>
      </c>
      <c r="N587" t="s">
        <v>101</v>
      </c>
      <c r="O587" t="s">
        <v>69</v>
      </c>
      <c r="P587" t="str">
        <f>"2170734570                    "</f>
        <v xml:space="preserve">2170734570           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8.11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G587">
        <v>0</v>
      </c>
      <c r="BH587">
        <v>1</v>
      </c>
      <c r="BI587">
        <v>1</v>
      </c>
      <c r="BJ587">
        <v>0.2</v>
      </c>
      <c r="BK587">
        <v>1</v>
      </c>
      <c r="BL587">
        <v>89.23</v>
      </c>
      <c r="BM587">
        <v>13.38</v>
      </c>
      <c r="BN587">
        <v>102.61</v>
      </c>
      <c r="BO587">
        <v>102.61</v>
      </c>
      <c r="BQ587" t="s">
        <v>78</v>
      </c>
      <c r="BR587" t="s">
        <v>71</v>
      </c>
      <c r="BS587" s="1">
        <v>43943</v>
      </c>
      <c r="BT587" s="2">
        <v>0.7909722222222223</v>
      </c>
      <c r="BU587" t="s">
        <v>102</v>
      </c>
      <c r="BV587" t="s">
        <v>80</v>
      </c>
      <c r="BY587">
        <v>1200</v>
      </c>
      <c r="CA587" t="s">
        <v>103</v>
      </c>
      <c r="CC587" t="s">
        <v>100</v>
      </c>
      <c r="CD587">
        <v>6849</v>
      </c>
      <c r="CE587" t="s">
        <v>73</v>
      </c>
      <c r="CF587" s="1">
        <v>43951</v>
      </c>
      <c r="CI587">
        <v>3</v>
      </c>
      <c r="CJ587">
        <v>2</v>
      </c>
      <c r="CK587">
        <v>23</v>
      </c>
      <c r="CL587" t="s">
        <v>74</v>
      </c>
    </row>
    <row r="588" spans="1:90" x14ac:dyDescent="0.25">
      <c r="A588" t="s">
        <v>61</v>
      </c>
      <c r="B588" t="s">
        <v>62</v>
      </c>
      <c r="C588" t="s">
        <v>63</v>
      </c>
      <c r="E588" t="str">
        <f>"FES1162745027"</f>
        <v>FES1162745027</v>
      </c>
      <c r="F588" s="1">
        <v>43941</v>
      </c>
      <c r="G588">
        <v>202010</v>
      </c>
      <c r="H588" t="s">
        <v>64</v>
      </c>
      <c r="I588" t="s">
        <v>65</v>
      </c>
      <c r="J588" t="s">
        <v>66</v>
      </c>
      <c r="K588" t="s">
        <v>67</v>
      </c>
      <c r="L588" t="s">
        <v>184</v>
      </c>
      <c r="M588" t="s">
        <v>185</v>
      </c>
      <c r="N588" t="s">
        <v>186</v>
      </c>
      <c r="O588" t="s">
        <v>69</v>
      </c>
      <c r="P588" t="str">
        <f>"2170735581                    "</f>
        <v xml:space="preserve">2170735581           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46.58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G588">
        <v>0</v>
      </c>
      <c r="BH588">
        <v>1</v>
      </c>
      <c r="BI588">
        <v>12.1</v>
      </c>
      <c r="BJ588">
        <v>4.4000000000000004</v>
      </c>
      <c r="BK588">
        <v>12.5</v>
      </c>
      <c r="BL588">
        <v>512.41999999999996</v>
      </c>
      <c r="BM588">
        <v>76.86</v>
      </c>
      <c r="BN588">
        <v>589.28</v>
      </c>
      <c r="BO588">
        <v>589.28</v>
      </c>
      <c r="BQ588" t="s">
        <v>70</v>
      </c>
      <c r="BR588" t="s">
        <v>71</v>
      </c>
      <c r="BS588" s="1">
        <v>43942</v>
      </c>
      <c r="BT588" s="2">
        <v>0.42708333333333331</v>
      </c>
      <c r="BU588" t="s">
        <v>244</v>
      </c>
      <c r="BV588" t="s">
        <v>80</v>
      </c>
      <c r="BY588">
        <v>21771</v>
      </c>
      <c r="CA588" t="s">
        <v>245</v>
      </c>
      <c r="CC588" t="s">
        <v>185</v>
      </c>
      <c r="CD588">
        <v>7130</v>
      </c>
      <c r="CE588" t="s">
        <v>91</v>
      </c>
      <c r="CF588" s="1">
        <v>43943</v>
      </c>
      <c r="CI588">
        <v>1</v>
      </c>
      <c r="CJ588">
        <v>1</v>
      </c>
      <c r="CK588">
        <v>23</v>
      </c>
      <c r="CL588" t="s">
        <v>74</v>
      </c>
    </row>
    <row r="589" spans="1:90" x14ac:dyDescent="0.25">
      <c r="A589" t="s">
        <v>61</v>
      </c>
      <c r="B589" t="s">
        <v>62</v>
      </c>
      <c r="C589" t="s">
        <v>63</v>
      </c>
      <c r="E589" t="str">
        <f>"FES1162744988"</f>
        <v>FES1162744988</v>
      </c>
      <c r="F589" s="1">
        <v>43941</v>
      </c>
      <c r="G589">
        <v>202010</v>
      </c>
      <c r="H589" t="s">
        <v>64</v>
      </c>
      <c r="I589" t="s">
        <v>65</v>
      </c>
      <c r="J589" t="s">
        <v>66</v>
      </c>
      <c r="K589" t="s">
        <v>67</v>
      </c>
      <c r="L589" t="s">
        <v>81</v>
      </c>
      <c r="M589" t="s">
        <v>82</v>
      </c>
      <c r="N589" t="s">
        <v>83</v>
      </c>
      <c r="O589" t="s">
        <v>69</v>
      </c>
      <c r="P589" t="str">
        <f>"2170734668                    "</f>
        <v xml:space="preserve">2170734668         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4.1900000000000004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G589">
        <v>0</v>
      </c>
      <c r="BH589">
        <v>1</v>
      </c>
      <c r="BI589">
        <v>1</v>
      </c>
      <c r="BJ589">
        <v>0.2</v>
      </c>
      <c r="BK589">
        <v>1</v>
      </c>
      <c r="BL589">
        <v>46.06</v>
      </c>
      <c r="BM589">
        <v>6.91</v>
      </c>
      <c r="BN589">
        <v>52.97</v>
      </c>
      <c r="BO589">
        <v>52.97</v>
      </c>
      <c r="BQ589" t="s">
        <v>78</v>
      </c>
      <c r="BR589" t="s">
        <v>71</v>
      </c>
      <c r="BS589" s="1">
        <v>43943</v>
      </c>
      <c r="BT589" s="2">
        <v>0.43402777777777773</v>
      </c>
      <c r="BU589" t="s">
        <v>84</v>
      </c>
      <c r="BV589" t="s">
        <v>74</v>
      </c>
      <c r="BW589" t="s">
        <v>85</v>
      </c>
      <c r="BX589" t="s">
        <v>86</v>
      </c>
      <c r="BY589">
        <v>1200</v>
      </c>
      <c r="CC589" t="s">
        <v>82</v>
      </c>
      <c r="CD589">
        <v>9300</v>
      </c>
      <c r="CE589" t="s">
        <v>73</v>
      </c>
      <c r="CF589" s="1">
        <v>43944</v>
      </c>
      <c r="CI589">
        <v>1</v>
      </c>
      <c r="CJ589">
        <v>2</v>
      </c>
      <c r="CK589">
        <v>21</v>
      </c>
      <c r="CL589" t="s">
        <v>74</v>
      </c>
    </row>
    <row r="590" spans="1:90" x14ac:dyDescent="0.25">
      <c r="A590" t="s">
        <v>61</v>
      </c>
      <c r="B590" t="s">
        <v>62</v>
      </c>
      <c r="C590" t="s">
        <v>63</v>
      </c>
      <c r="E590" t="str">
        <f>"FES1162744930"</f>
        <v>FES1162744930</v>
      </c>
      <c r="F590" s="1">
        <v>43941</v>
      </c>
      <c r="G590">
        <v>202010</v>
      </c>
      <c r="H590" t="s">
        <v>64</v>
      </c>
      <c r="I590" t="s">
        <v>65</v>
      </c>
      <c r="J590" t="s">
        <v>66</v>
      </c>
      <c r="K590" t="s">
        <v>67</v>
      </c>
      <c r="L590" t="s">
        <v>450</v>
      </c>
      <c r="M590" t="s">
        <v>451</v>
      </c>
      <c r="N590" t="s">
        <v>452</v>
      </c>
      <c r="O590" t="s">
        <v>69</v>
      </c>
      <c r="P590" t="str">
        <f>"2170736168                    "</f>
        <v xml:space="preserve">2170736168         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4.1900000000000004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G590">
        <v>0</v>
      </c>
      <c r="BH590">
        <v>1</v>
      </c>
      <c r="BI590">
        <v>1.7</v>
      </c>
      <c r="BJ590">
        <v>1.9</v>
      </c>
      <c r="BK590">
        <v>2</v>
      </c>
      <c r="BL590">
        <v>46.06</v>
      </c>
      <c r="BM590">
        <v>6.91</v>
      </c>
      <c r="BN590">
        <v>52.97</v>
      </c>
      <c r="BO590">
        <v>52.97</v>
      </c>
      <c r="BQ590" t="s">
        <v>78</v>
      </c>
      <c r="BR590" t="s">
        <v>71</v>
      </c>
      <c r="BS590" s="1">
        <v>43943</v>
      </c>
      <c r="BT590" s="2">
        <v>0.42083333333333334</v>
      </c>
      <c r="BU590" t="s">
        <v>797</v>
      </c>
      <c r="BV590" t="s">
        <v>74</v>
      </c>
      <c r="BY590">
        <v>9358.33</v>
      </c>
      <c r="CA590" t="s">
        <v>798</v>
      </c>
      <c r="CC590" t="s">
        <v>451</v>
      </c>
      <c r="CD590">
        <v>1240</v>
      </c>
      <c r="CE590" t="s">
        <v>73</v>
      </c>
      <c r="CF590" s="1">
        <v>43945</v>
      </c>
      <c r="CI590">
        <v>1</v>
      </c>
      <c r="CJ590">
        <v>2</v>
      </c>
      <c r="CK590">
        <v>21</v>
      </c>
      <c r="CL590" t="s">
        <v>74</v>
      </c>
    </row>
    <row r="591" spans="1:90" x14ac:dyDescent="0.25">
      <c r="A591" t="s">
        <v>61</v>
      </c>
      <c r="B591" t="s">
        <v>62</v>
      </c>
      <c r="C591" t="s">
        <v>63</v>
      </c>
      <c r="E591" t="str">
        <f>"FES1162745121"</f>
        <v>FES1162745121</v>
      </c>
      <c r="F591" s="1">
        <v>43942</v>
      </c>
      <c r="G591">
        <v>202010</v>
      </c>
      <c r="H591" t="s">
        <v>64</v>
      </c>
      <c r="I591" t="s">
        <v>65</v>
      </c>
      <c r="J591" t="s">
        <v>66</v>
      </c>
      <c r="K591" t="s">
        <v>67</v>
      </c>
      <c r="L591" t="s">
        <v>64</v>
      </c>
      <c r="M591" t="s">
        <v>65</v>
      </c>
      <c r="N591" t="s">
        <v>664</v>
      </c>
      <c r="O591" t="s">
        <v>69</v>
      </c>
      <c r="P591" t="str">
        <f>"2170736348                    "</f>
        <v xml:space="preserve">2170736348         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3.27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G591">
        <v>0</v>
      </c>
      <c r="BH591">
        <v>1</v>
      </c>
      <c r="BI591">
        <v>0.6</v>
      </c>
      <c r="BJ591">
        <v>1.7</v>
      </c>
      <c r="BK591">
        <v>2</v>
      </c>
      <c r="BL591">
        <v>35.979999999999997</v>
      </c>
      <c r="BM591">
        <v>5.4</v>
      </c>
      <c r="BN591">
        <v>41.38</v>
      </c>
      <c r="BO591">
        <v>41.38</v>
      </c>
      <c r="BQ591" t="s">
        <v>70</v>
      </c>
      <c r="BR591" t="s">
        <v>71</v>
      </c>
      <c r="BS591" s="1">
        <v>43943</v>
      </c>
      <c r="BT591" s="2">
        <v>0.39583333333333331</v>
      </c>
      <c r="BU591" t="s">
        <v>831</v>
      </c>
      <c r="BV591" t="s">
        <v>80</v>
      </c>
      <c r="BY591">
        <v>8661.6</v>
      </c>
      <c r="CA591" t="s">
        <v>428</v>
      </c>
      <c r="CC591" t="s">
        <v>65</v>
      </c>
      <c r="CD591">
        <v>1665</v>
      </c>
      <c r="CE591" t="s">
        <v>73</v>
      </c>
      <c r="CF591" s="1">
        <v>43944</v>
      </c>
      <c r="CI591">
        <v>1</v>
      </c>
      <c r="CJ591">
        <v>1</v>
      </c>
      <c r="CK591">
        <v>22</v>
      </c>
      <c r="CL591" t="s">
        <v>74</v>
      </c>
    </row>
    <row r="592" spans="1:90" x14ac:dyDescent="0.25">
      <c r="A592" t="s">
        <v>61</v>
      </c>
      <c r="B592" t="s">
        <v>62</v>
      </c>
      <c r="C592" t="s">
        <v>63</v>
      </c>
      <c r="E592" t="str">
        <f>"FES1162745127"</f>
        <v>FES1162745127</v>
      </c>
      <c r="F592" s="1">
        <v>43942</v>
      </c>
      <c r="G592">
        <v>202010</v>
      </c>
      <c r="H592" t="s">
        <v>64</v>
      </c>
      <c r="I592" t="s">
        <v>65</v>
      </c>
      <c r="J592" t="s">
        <v>66</v>
      </c>
      <c r="K592" t="s">
        <v>67</v>
      </c>
      <c r="L592" t="s">
        <v>532</v>
      </c>
      <c r="M592" t="s">
        <v>533</v>
      </c>
      <c r="N592" t="s">
        <v>534</v>
      </c>
      <c r="O592" t="s">
        <v>69</v>
      </c>
      <c r="P592" t="str">
        <f>"2170736134                    "</f>
        <v xml:space="preserve">2170736134         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5.23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G592">
        <v>0</v>
      </c>
      <c r="BH592">
        <v>1</v>
      </c>
      <c r="BI592">
        <v>2.2999999999999998</v>
      </c>
      <c r="BJ592">
        <v>0.9</v>
      </c>
      <c r="BK592">
        <v>2.5</v>
      </c>
      <c r="BL592">
        <v>57.56</v>
      </c>
      <c r="BM592">
        <v>8.6300000000000008</v>
      </c>
      <c r="BN592">
        <v>66.19</v>
      </c>
      <c r="BO592">
        <v>66.19</v>
      </c>
      <c r="BQ592" t="s">
        <v>70</v>
      </c>
      <c r="BR592" t="s">
        <v>71</v>
      </c>
      <c r="BS592" s="1">
        <v>43943</v>
      </c>
      <c r="BT592" s="2">
        <v>0.41666666666666669</v>
      </c>
      <c r="BU592" t="s">
        <v>832</v>
      </c>
      <c r="BV592" t="s">
        <v>80</v>
      </c>
      <c r="BY592">
        <v>4287.3599999999997</v>
      </c>
      <c r="CC592" t="s">
        <v>533</v>
      </c>
      <c r="CD592">
        <v>6536</v>
      </c>
      <c r="CE592" t="s">
        <v>91</v>
      </c>
      <c r="CF592" s="1">
        <v>43945</v>
      </c>
      <c r="CI592">
        <v>1</v>
      </c>
      <c r="CJ592">
        <v>1</v>
      </c>
      <c r="CK592">
        <v>21</v>
      </c>
      <c r="CL592" t="s">
        <v>74</v>
      </c>
    </row>
    <row r="593" spans="1:90" x14ac:dyDescent="0.25">
      <c r="A593" t="s">
        <v>61</v>
      </c>
      <c r="B593" t="s">
        <v>62</v>
      </c>
      <c r="C593" t="s">
        <v>63</v>
      </c>
      <c r="E593" t="str">
        <f>"FES1162745123"</f>
        <v>FES1162745123</v>
      </c>
      <c r="F593" s="1">
        <v>43942</v>
      </c>
      <c r="G593">
        <v>202010</v>
      </c>
      <c r="H593" t="s">
        <v>64</v>
      </c>
      <c r="I593" t="s">
        <v>65</v>
      </c>
      <c r="J593" t="s">
        <v>66</v>
      </c>
      <c r="K593" t="s">
        <v>67</v>
      </c>
      <c r="L593" t="s">
        <v>368</v>
      </c>
      <c r="M593" t="s">
        <v>369</v>
      </c>
      <c r="N593" t="s">
        <v>704</v>
      </c>
      <c r="O593" t="s">
        <v>69</v>
      </c>
      <c r="P593" t="str">
        <f>"2170736351                    "</f>
        <v xml:space="preserve">2170736351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3.27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G593">
        <v>0</v>
      </c>
      <c r="BH593">
        <v>1</v>
      </c>
      <c r="BI593">
        <v>0.2</v>
      </c>
      <c r="BJ593">
        <v>1.9</v>
      </c>
      <c r="BK593">
        <v>2</v>
      </c>
      <c r="BL593">
        <v>35.979999999999997</v>
      </c>
      <c r="BM593">
        <v>5.4</v>
      </c>
      <c r="BN593">
        <v>41.38</v>
      </c>
      <c r="BO593">
        <v>41.38</v>
      </c>
      <c r="BQ593" t="s">
        <v>78</v>
      </c>
      <c r="BR593" t="s">
        <v>71</v>
      </c>
      <c r="BS593" s="1">
        <v>43943</v>
      </c>
      <c r="BT593" s="2">
        <v>0.39583333333333331</v>
      </c>
      <c r="BU593" t="s">
        <v>831</v>
      </c>
      <c r="BV593" t="s">
        <v>80</v>
      </c>
      <c r="BY593">
        <v>9604.4599999999991</v>
      </c>
      <c r="CA593" t="s">
        <v>428</v>
      </c>
      <c r="CC593" t="s">
        <v>369</v>
      </c>
      <c r="CD593">
        <v>1422</v>
      </c>
      <c r="CE593" t="s">
        <v>73</v>
      </c>
      <c r="CF593" s="1">
        <v>43944</v>
      </c>
      <c r="CI593">
        <v>1</v>
      </c>
      <c r="CJ593">
        <v>1</v>
      </c>
      <c r="CK593">
        <v>22</v>
      </c>
      <c r="CL593" t="s">
        <v>74</v>
      </c>
    </row>
    <row r="594" spans="1:90" x14ac:dyDescent="0.25">
      <c r="A594" t="s">
        <v>61</v>
      </c>
      <c r="B594" t="s">
        <v>62</v>
      </c>
      <c r="C594" t="s">
        <v>63</v>
      </c>
      <c r="E594" t="str">
        <f>"FES1162745057"</f>
        <v>FES1162745057</v>
      </c>
      <c r="F594" s="1">
        <v>43941</v>
      </c>
      <c r="G594">
        <v>202010</v>
      </c>
      <c r="H594" t="s">
        <v>64</v>
      </c>
      <c r="I594" t="s">
        <v>65</v>
      </c>
      <c r="J594" t="s">
        <v>66</v>
      </c>
      <c r="K594" t="s">
        <v>67</v>
      </c>
      <c r="L594" t="s">
        <v>120</v>
      </c>
      <c r="M594" t="s">
        <v>121</v>
      </c>
      <c r="N594" t="s">
        <v>833</v>
      </c>
      <c r="O594" t="s">
        <v>230</v>
      </c>
      <c r="P594" t="str">
        <f>"2170736267                    "</f>
        <v xml:space="preserve">2170736267           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9.36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G594">
        <v>0</v>
      </c>
      <c r="BH594">
        <v>1</v>
      </c>
      <c r="BI594">
        <v>29</v>
      </c>
      <c r="BJ594">
        <v>6.2</v>
      </c>
      <c r="BK594">
        <v>29</v>
      </c>
      <c r="BL594">
        <v>107.96</v>
      </c>
      <c r="BM594">
        <v>16.190000000000001</v>
      </c>
      <c r="BN594">
        <v>124.15</v>
      </c>
      <c r="BO594">
        <v>124.15</v>
      </c>
      <c r="BQ594" t="s">
        <v>78</v>
      </c>
      <c r="BR594" t="s">
        <v>71</v>
      </c>
      <c r="BS594" s="1">
        <v>43942</v>
      </c>
      <c r="BT594" s="2">
        <v>0.4993055555555555</v>
      </c>
      <c r="BU594" t="s">
        <v>834</v>
      </c>
      <c r="BV594" t="s">
        <v>80</v>
      </c>
      <c r="BY594">
        <v>30775.439999999999</v>
      </c>
      <c r="CA594" t="s">
        <v>627</v>
      </c>
      <c r="CC594" t="s">
        <v>121</v>
      </c>
      <c r="CD594">
        <v>4001</v>
      </c>
      <c r="CE594" t="s">
        <v>91</v>
      </c>
      <c r="CF594" s="1">
        <v>43943</v>
      </c>
      <c r="CI594">
        <v>1</v>
      </c>
      <c r="CJ594">
        <v>1</v>
      </c>
      <c r="CK594" t="s">
        <v>748</v>
      </c>
      <c r="CL594" t="s">
        <v>74</v>
      </c>
    </row>
    <row r="595" spans="1:90" x14ac:dyDescent="0.25">
      <c r="A595" t="s">
        <v>61</v>
      </c>
      <c r="B595" t="s">
        <v>62</v>
      </c>
      <c r="C595" t="s">
        <v>63</v>
      </c>
      <c r="E595" t="str">
        <f>"FES1162744001"</f>
        <v>FES1162744001</v>
      </c>
      <c r="F595" s="1">
        <v>43941</v>
      </c>
      <c r="G595">
        <v>202010</v>
      </c>
      <c r="H595" t="s">
        <v>64</v>
      </c>
      <c r="I595" t="s">
        <v>65</v>
      </c>
      <c r="J595" t="s">
        <v>66</v>
      </c>
      <c r="K595" t="s">
        <v>67</v>
      </c>
      <c r="L595" t="s">
        <v>64</v>
      </c>
      <c r="M595" t="s">
        <v>65</v>
      </c>
      <c r="N595" t="s">
        <v>812</v>
      </c>
      <c r="O595" t="s">
        <v>230</v>
      </c>
      <c r="P595" t="str">
        <f>"2170735371                    "</f>
        <v xml:space="preserve">2170735371           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10.81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G595">
        <v>0</v>
      </c>
      <c r="BH595">
        <v>1</v>
      </c>
      <c r="BI595">
        <v>21.3</v>
      </c>
      <c r="BJ595">
        <v>40.1</v>
      </c>
      <c r="BK595">
        <v>40</v>
      </c>
      <c r="BL595">
        <v>123.94</v>
      </c>
      <c r="BM595">
        <v>18.59</v>
      </c>
      <c r="BN595">
        <v>142.53</v>
      </c>
      <c r="BO595">
        <v>142.53</v>
      </c>
      <c r="BQ595" t="s">
        <v>70</v>
      </c>
      <c r="BR595" t="s">
        <v>71</v>
      </c>
      <c r="BS595" s="1">
        <v>43942</v>
      </c>
      <c r="BT595" s="2">
        <v>0.41666666666666669</v>
      </c>
      <c r="BU595" t="s">
        <v>835</v>
      </c>
      <c r="BV595" t="s">
        <v>80</v>
      </c>
      <c r="BY595">
        <v>200427.06</v>
      </c>
      <c r="CC595" t="s">
        <v>65</v>
      </c>
      <c r="CD595">
        <v>1609</v>
      </c>
      <c r="CE595" t="s">
        <v>91</v>
      </c>
      <c r="CF595" s="1">
        <v>43943</v>
      </c>
      <c r="CI595">
        <v>1</v>
      </c>
      <c r="CJ595">
        <v>1</v>
      </c>
      <c r="CK595" t="s">
        <v>584</v>
      </c>
      <c r="CL595" t="s">
        <v>74</v>
      </c>
    </row>
    <row r="596" spans="1:90" x14ac:dyDescent="0.25">
      <c r="A596" t="s">
        <v>61</v>
      </c>
      <c r="B596" t="s">
        <v>62</v>
      </c>
      <c r="C596" t="s">
        <v>63</v>
      </c>
      <c r="E596" t="str">
        <f>"FES1162744813"</f>
        <v>FES1162744813</v>
      </c>
      <c r="F596" s="1">
        <v>43941</v>
      </c>
      <c r="G596">
        <v>202010</v>
      </c>
      <c r="H596" t="s">
        <v>64</v>
      </c>
      <c r="I596" t="s">
        <v>65</v>
      </c>
      <c r="J596" t="s">
        <v>66</v>
      </c>
      <c r="K596" t="s">
        <v>67</v>
      </c>
      <c r="L596" t="s">
        <v>532</v>
      </c>
      <c r="M596" t="s">
        <v>533</v>
      </c>
      <c r="N596" t="s">
        <v>534</v>
      </c>
      <c r="O596" t="s">
        <v>230</v>
      </c>
      <c r="P596" t="str">
        <f>"2170735509                    "</f>
        <v xml:space="preserve">2170735509           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16.23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G596">
        <v>0</v>
      </c>
      <c r="BH596">
        <v>1</v>
      </c>
      <c r="BI596">
        <v>24.3</v>
      </c>
      <c r="BJ596">
        <v>8.5</v>
      </c>
      <c r="BK596">
        <v>25</v>
      </c>
      <c r="BL596">
        <v>183.49</v>
      </c>
      <c r="BM596">
        <v>27.52</v>
      </c>
      <c r="BN596">
        <v>211.01</v>
      </c>
      <c r="BO596">
        <v>211.01</v>
      </c>
      <c r="BP596" t="s">
        <v>378</v>
      </c>
      <c r="BQ596" t="s">
        <v>70</v>
      </c>
      <c r="BR596" t="s">
        <v>71</v>
      </c>
      <c r="BS596" s="1">
        <v>43945</v>
      </c>
      <c r="BT596" s="2">
        <v>0.41666666666666669</v>
      </c>
      <c r="BU596" t="s">
        <v>836</v>
      </c>
      <c r="BV596" t="s">
        <v>74</v>
      </c>
      <c r="BW596" t="s">
        <v>96</v>
      </c>
      <c r="BX596" t="s">
        <v>540</v>
      </c>
      <c r="BY596">
        <v>42347.14</v>
      </c>
      <c r="CA596" t="s">
        <v>183</v>
      </c>
      <c r="CC596" t="s">
        <v>533</v>
      </c>
      <c r="CD596">
        <v>6536</v>
      </c>
      <c r="CE596" t="s">
        <v>91</v>
      </c>
      <c r="CF596" s="1">
        <v>43951</v>
      </c>
      <c r="CI596">
        <v>0</v>
      </c>
      <c r="CJ596">
        <v>0</v>
      </c>
      <c r="CK596" t="s">
        <v>796</v>
      </c>
      <c r="CL596" t="s">
        <v>74</v>
      </c>
    </row>
    <row r="597" spans="1:90" x14ac:dyDescent="0.25">
      <c r="A597" t="s">
        <v>61</v>
      </c>
      <c r="B597" t="s">
        <v>62</v>
      </c>
      <c r="C597" t="s">
        <v>63</v>
      </c>
      <c r="E597" t="str">
        <f>"FES1162745029"</f>
        <v>FES1162745029</v>
      </c>
      <c r="F597" s="1">
        <v>43941</v>
      </c>
      <c r="G597">
        <v>202010</v>
      </c>
      <c r="H597" t="s">
        <v>64</v>
      </c>
      <c r="I597" t="s">
        <v>65</v>
      </c>
      <c r="J597" t="s">
        <v>66</v>
      </c>
      <c r="K597" t="s">
        <v>67</v>
      </c>
      <c r="L597" t="s">
        <v>184</v>
      </c>
      <c r="M597" t="s">
        <v>185</v>
      </c>
      <c r="N597" t="s">
        <v>186</v>
      </c>
      <c r="O597" t="s">
        <v>230</v>
      </c>
      <c r="P597" t="str">
        <f>"2170735591                    "</f>
        <v xml:space="preserve">2170735591           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21.05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G597">
        <v>0</v>
      </c>
      <c r="BH597">
        <v>3</v>
      </c>
      <c r="BI597">
        <v>48.9</v>
      </c>
      <c r="BJ597">
        <v>23.6</v>
      </c>
      <c r="BK597">
        <v>49</v>
      </c>
      <c r="BL597">
        <v>236.54</v>
      </c>
      <c r="BM597">
        <v>35.479999999999997</v>
      </c>
      <c r="BN597">
        <v>272.02</v>
      </c>
      <c r="BO597">
        <v>272.02</v>
      </c>
      <c r="BQ597" t="s">
        <v>70</v>
      </c>
      <c r="BR597" t="s">
        <v>71</v>
      </c>
      <c r="BS597" s="1">
        <v>43943</v>
      </c>
      <c r="BT597" s="2">
        <v>0.4381944444444445</v>
      </c>
      <c r="BU597" t="s">
        <v>328</v>
      </c>
      <c r="BV597" t="s">
        <v>80</v>
      </c>
      <c r="BY597">
        <v>117874.96</v>
      </c>
      <c r="CA597" t="s">
        <v>245</v>
      </c>
      <c r="CC597" t="s">
        <v>185</v>
      </c>
      <c r="CD597">
        <v>7130</v>
      </c>
      <c r="CE597" t="s">
        <v>837</v>
      </c>
      <c r="CF597" s="1">
        <v>43944</v>
      </c>
      <c r="CI597">
        <v>2</v>
      </c>
      <c r="CJ597">
        <v>2</v>
      </c>
      <c r="CK597" t="s">
        <v>234</v>
      </c>
      <c r="CL597" t="s">
        <v>74</v>
      </c>
    </row>
    <row r="598" spans="1:90" x14ac:dyDescent="0.25">
      <c r="A598" t="s">
        <v>61</v>
      </c>
      <c r="B598" t="s">
        <v>62</v>
      </c>
      <c r="C598" t="s">
        <v>63</v>
      </c>
      <c r="E598" t="str">
        <f>"FES1162744954"</f>
        <v>FES1162744954</v>
      </c>
      <c r="F598" s="1">
        <v>43943</v>
      </c>
      <c r="G598">
        <v>202010</v>
      </c>
      <c r="H598" t="s">
        <v>64</v>
      </c>
      <c r="I598" t="s">
        <v>65</v>
      </c>
      <c r="J598" t="s">
        <v>66</v>
      </c>
      <c r="K598" t="s">
        <v>67</v>
      </c>
      <c r="L598" t="s">
        <v>120</v>
      </c>
      <c r="M598" t="s">
        <v>121</v>
      </c>
      <c r="N598" t="s">
        <v>247</v>
      </c>
      <c r="O598" t="s">
        <v>69</v>
      </c>
      <c r="P598" t="str">
        <f>"2170734322                    "</f>
        <v xml:space="preserve">2170734322           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7.33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G598">
        <v>0</v>
      </c>
      <c r="BH598">
        <v>1</v>
      </c>
      <c r="BI598">
        <v>1.2</v>
      </c>
      <c r="BJ598">
        <v>3.1</v>
      </c>
      <c r="BK598">
        <v>3.5</v>
      </c>
      <c r="BL598">
        <v>80.58</v>
      </c>
      <c r="BM598">
        <v>12.09</v>
      </c>
      <c r="BN598">
        <v>92.67</v>
      </c>
      <c r="BO598">
        <v>92.67</v>
      </c>
      <c r="BQ598" t="s">
        <v>248</v>
      </c>
      <c r="BR598" t="s">
        <v>71</v>
      </c>
      <c r="BS598" t="s">
        <v>72</v>
      </c>
      <c r="BW598" t="s">
        <v>817</v>
      </c>
      <c r="BX598" t="s">
        <v>838</v>
      </c>
      <c r="BY598">
        <v>15356.71</v>
      </c>
      <c r="CC598" t="s">
        <v>121</v>
      </c>
      <c r="CD598">
        <v>4001</v>
      </c>
      <c r="CE598" t="s">
        <v>91</v>
      </c>
      <c r="CI598">
        <v>1</v>
      </c>
      <c r="CJ598" t="s">
        <v>72</v>
      </c>
      <c r="CK598">
        <v>21</v>
      </c>
      <c r="CL598" t="s">
        <v>74</v>
      </c>
    </row>
    <row r="599" spans="1:90" x14ac:dyDescent="0.25">
      <c r="A599" t="s">
        <v>61</v>
      </c>
      <c r="B599" t="s">
        <v>62</v>
      </c>
      <c r="C599" t="s">
        <v>63</v>
      </c>
      <c r="E599" t="str">
        <f>"FES1162745164"</f>
        <v>FES1162745164</v>
      </c>
      <c r="F599" s="1">
        <v>43944</v>
      </c>
      <c r="G599">
        <v>202010</v>
      </c>
      <c r="H599" t="s">
        <v>64</v>
      </c>
      <c r="I599" t="s">
        <v>65</v>
      </c>
      <c r="J599" t="s">
        <v>66</v>
      </c>
      <c r="K599" t="s">
        <v>67</v>
      </c>
      <c r="L599" t="s">
        <v>64</v>
      </c>
      <c r="M599" t="s">
        <v>65</v>
      </c>
      <c r="N599" t="s">
        <v>812</v>
      </c>
      <c r="O599" t="s">
        <v>69</v>
      </c>
      <c r="P599" t="str">
        <f>"2170735627                    "</f>
        <v xml:space="preserve">2170735627           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3.27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G599">
        <v>0</v>
      </c>
      <c r="BH599">
        <v>1</v>
      </c>
      <c r="BI599">
        <v>1</v>
      </c>
      <c r="BJ599">
        <v>0.2</v>
      </c>
      <c r="BK599">
        <v>1</v>
      </c>
      <c r="BL599">
        <v>35.979999999999997</v>
      </c>
      <c r="BM599">
        <v>5.4</v>
      </c>
      <c r="BN599">
        <v>41.38</v>
      </c>
      <c r="BO599">
        <v>41.38</v>
      </c>
      <c r="BQ599" t="s">
        <v>70</v>
      </c>
      <c r="BR599" t="s">
        <v>71</v>
      </c>
      <c r="BS599" s="1">
        <v>43945</v>
      </c>
      <c r="BT599" s="2">
        <v>0.41666666666666669</v>
      </c>
      <c r="BU599" t="s">
        <v>813</v>
      </c>
      <c r="BV599" t="s">
        <v>80</v>
      </c>
      <c r="BY599">
        <v>1200</v>
      </c>
      <c r="CC599" t="s">
        <v>65</v>
      </c>
      <c r="CD599">
        <v>1609</v>
      </c>
      <c r="CE599" t="s">
        <v>73</v>
      </c>
      <c r="CF599" s="1">
        <v>43949</v>
      </c>
      <c r="CI599">
        <v>1</v>
      </c>
      <c r="CJ599">
        <v>1</v>
      </c>
      <c r="CK599">
        <v>22</v>
      </c>
      <c r="CL599" t="s">
        <v>74</v>
      </c>
    </row>
    <row r="600" spans="1:90" x14ac:dyDescent="0.25">
      <c r="A600" t="s">
        <v>61</v>
      </c>
      <c r="B600" t="s">
        <v>62</v>
      </c>
      <c r="C600" t="s">
        <v>63</v>
      </c>
      <c r="E600" t="str">
        <f>"FES1162745321"</f>
        <v>FES1162745321</v>
      </c>
      <c r="F600" s="1">
        <v>43944</v>
      </c>
      <c r="G600">
        <v>202010</v>
      </c>
      <c r="H600" t="s">
        <v>64</v>
      </c>
      <c r="I600" t="s">
        <v>65</v>
      </c>
      <c r="J600" t="s">
        <v>66</v>
      </c>
      <c r="K600" t="s">
        <v>67</v>
      </c>
      <c r="L600" t="s">
        <v>177</v>
      </c>
      <c r="M600" t="s">
        <v>178</v>
      </c>
      <c r="N600" t="s">
        <v>179</v>
      </c>
      <c r="O600" t="s">
        <v>69</v>
      </c>
      <c r="P600" t="str">
        <f>"2170735406                    "</f>
        <v xml:space="preserve">2170735406           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14.65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G600">
        <v>0</v>
      </c>
      <c r="BH600">
        <v>1</v>
      </c>
      <c r="BI600">
        <v>6.9</v>
      </c>
      <c r="BJ600">
        <v>4.3</v>
      </c>
      <c r="BK600">
        <v>7</v>
      </c>
      <c r="BL600">
        <v>161.12</v>
      </c>
      <c r="BM600">
        <v>24.17</v>
      </c>
      <c r="BN600">
        <v>185.29</v>
      </c>
      <c r="BO600">
        <v>185.29</v>
      </c>
      <c r="BQ600" t="s">
        <v>70</v>
      </c>
      <c r="BR600" t="s">
        <v>71</v>
      </c>
      <c r="BS600" s="1">
        <v>43945</v>
      </c>
      <c r="BT600" s="2">
        <v>0.48125000000000001</v>
      </c>
      <c r="BU600" t="s">
        <v>235</v>
      </c>
      <c r="BV600" t="s">
        <v>80</v>
      </c>
      <c r="BY600">
        <v>21349.38</v>
      </c>
      <c r="CA600" t="s">
        <v>741</v>
      </c>
      <c r="CC600" t="s">
        <v>178</v>
      </c>
      <c r="CD600">
        <v>4302</v>
      </c>
      <c r="CE600" t="s">
        <v>91</v>
      </c>
      <c r="CF600" s="1">
        <v>43949</v>
      </c>
      <c r="CI600">
        <v>1</v>
      </c>
      <c r="CJ600">
        <v>1</v>
      </c>
      <c r="CK600">
        <v>21</v>
      </c>
      <c r="CL600" t="s">
        <v>74</v>
      </c>
    </row>
    <row r="601" spans="1:90" x14ac:dyDescent="0.25">
      <c r="A601" t="s">
        <v>61</v>
      </c>
      <c r="B601" t="s">
        <v>62</v>
      </c>
      <c r="C601" t="s">
        <v>63</v>
      </c>
      <c r="E601" t="str">
        <f>"FES1162745392"</f>
        <v>FES1162745392</v>
      </c>
      <c r="F601" s="1">
        <v>43944</v>
      </c>
      <c r="G601">
        <v>202010</v>
      </c>
      <c r="H601" t="s">
        <v>64</v>
      </c>
      <c r="I601" t="s">
        <v>65</v>
      </c>
      <c r="J601" t="s">
        <v>66</v>
      </c>
      <c r="K601" t="s">
        <v>67</v>
      </c>
      <c r="L601" t="s">
        <v>64</v>
      </c>
      <c r="M601" t="s">
        <v>65</v>
      </c>
      <c r="N601" t="s">
        <v>839</v>
      </c>
      <c r="O601" t="s">
        <v>69</v>
      </c>
      <c r="P601" t="str">
        <f>"2170736543                    "</f>
        <v xml:space="preserve">2170736543           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3.27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G601">
        <v>0</v>
      </c>
      <c r="BH601">
        <v>1</v>
      </c>
      <c r="BI601">
        <v>1</v>
      </c>
      <c r="BJ601">
        <v>0.2</v>
      </c>
      <c r="BK601">
        <v>1</v>
      </c>
      <c r="BL601">
        <v>35.979999999999997</v>
      </c>
      <c r="BM601">
        <v>5.4</v>
      </c>
      <c r="BN601">
        <v>41.38</v>
      </c>
      <c r="BO601">
        <v>41.38</v>
      </c>
      <c r="BQ601" t="s">
        <v>840</v>
      </c>
      <c r="BR601" t="s">
        <v>71</v>
      </c>
      <c r="BS601" s="1">
        <v>43945</v>
      </c>
      <c r="BT601" s="2">
        <v>0.29166666666666669</v>
      </c>
      <c r="BU601" t="s">
        <v>821</v>
      </c>
      <c r="BV601" t="s">
        <v>80</v>
      </c>
      <c r="BY601">
        <v>1200</v>
      </c>
      <c r="CC601" t="s">
        <v>65</v>
      </c>
      <c r="CD601">
        <v>1620</v>
      </c>
      <c r="CE601" t="s">
        <v>73</v>
      </c>
      <c r="CF601" s="1">
        <v>43949</v>
      </c>
      <c r="CI601">
        <v>1</v>
      </c>
      <c r="CJ601">
        <v>1</v>
      </c>
      <c r="CK601">
        <v>22</v>
      </c>
      <c r="CL601" t="s">
        <v>74</v>
      </c>
    </row>
    <row r="602" spans="1:90" x14ac:dyDescent="0.25">
      <c r="A602" t="s">
        <v>61</v>
      </c>
      <c r="B602" t="s">
        <v>62</v>
      </c>
      <c r="C602" t="s">
        <v>63</v>
      </c>
      <c r="E602" t="str">
        <f>"FES1162745279"</f>
        <v>FES1162745279</v>
      </c>
      <c r="F602" s="1">
        <v>43944</v>
      </c>
      <c r="G602">
        <v>202010</v>
      </c>
      <c r="H602" t="s">
        <v>64</v>
      </c>
      <c r="I602" t="s">
        <v>65</v>
      </c>
      <c r="J602" t="s">
        <v>66</v>
      </c>
      <c r="K602" t="s">
        <v>67</v>
      </c>
      <c r="L602" t="s">
        <v>841</v>
      </c>
      <c r="M602" t="s">
        <v>842</v>
      </c>
      <c r="N602" t="s">
        <v>843</v>
      </c>
      <c r="O602" t="s">
        <v>69</v>
      </c>
      <c r="P602" t="str">
        <f>"2170735969                    "</f>
        <v xml:space="preserve">2170735969           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9.94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G602">
        <v>0</v>
      </c>
      <c r="BH602">
        <v>1</v>
      </c>
      <c r="BI602">
        <v>0.7</v>
      </c>
      <c r="BJ602">
        <v>2.1</v>
      </c>
      <c r="BK602">
        <v>2.5</v>
      </c>
      <c r="BL602">
        <v>109.38</v>
      </c>
      <c r="BM602">
        <v>16.41</v>
      </c>
      <c r="BN602">
        <v>125.79</v>
      </c>
      <c r="BO602">
        <v>125.79</v>
      </c>
      <c r="BQ602" t="s">
        <v>70</v>
      </c>
      <c r="BR602" t="s">
        <v>71</v>
      </c>
      <c r="BS602" s="1">
        <v>43949</v>
      </c>
      <c r="BT602" s="2">
        <v>0.375</v>
      </c>
      <c r="BU602" t="s">
        <v>844</v>
      </c>
      <c r="BV602" t="s">
        <v>80</v>
      </c>
      <c r="BY602">
        <v>10529.82</v>
      </c>
      <c r="CC602" t="s">
        <v>842</v>
      </c>
      <c r="CD602">
        <v>6740</v>
      </c>
      <c r="CE602" t="s">
        <v>73</v>
      </c>
      <c r="CI602">
        <v>3</v>
      </c>
      <c r="CJ602">
        <v>3</v>
      </c>
      <c r="CK602">
        <v>23</v>
      </c>
      <c r="CL602" t="s">
        <v>74</v>
      </c>
    </row>
    <row r="603" spans="1:90" x14ac:dyDescent="0.25">
      <c r="A603" t="s">
        <v>61</v>
      </c>
      <c r="B603" t="s">
        <v>62</v>
      </c>
      <c r="C603" t="s">
        <v>63</v>
      </c>
      <c r="E603" t="str">
        <f>"FES1162745083"</f>
        <v>FES1162745083</v>
      </c>
      <c r="F603" s="1">
        <v>43942</v>
      </c>
      <c r="G603">
        <v>202010</v>
      </c>
      <c r="H603" t="s">
        <v>64</v>
      </c>
      <c r="I603" t="s">
        <v>65</v>
      </c>
      <c r="J603" t="s">
        <v>66</v>
      </c>
      <c r="K603" t="s">
        <v>67</v>
      </c>
      <c r="L603" t="s">
        <v>75</v>
      </c>
      <c r="M603" t="s">
        <v>76</v>
      </c>
      <c r="N603" t="s">
        <v>155</v>
      </c>
      <c r="O603" t="s">
        <v>69</v>
      </c>
      <c r="P603" t="str">
        <f>"2170735187                    "</f>
        <v xml:space="preserve">2170735187                    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4.0599999999999996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G603">
        <v>0</v>
      </c>
      <c r="BH603">
        <v>1</v>
      </c>
      <c r="BI603">
        <v>2.7</v>
      </c>
      <c r="BJ603">
        <v>1.7</v>
      </c>
      <c r="BK603">
        <v>3</v>
      </c>
      <c r="BL603">
        <v>44.61</v>
      </c>
      <c r="BM603">
        <v>6.69</v>
      </c>
      <c r="BN603">
        <v>51.3</v>
      </c>
      <c r="BO603">
        <v>51.3</v>
      </c>
      <c r="BQ603" t="s">
        <v>70</v>
      </c>
      <c r="BR603" t="s">
        <v>71</v>
      </c>
      <c r="BS603" s="1">
        <v>43943</v>
      </c>
      <c r="BT603" s="2">
        <v>0.41666666666666669</v>
      </c>
      <c r="BU603" t="s">
        <v>845</v>
      </c>
      <c r="BV603" t="s">
        <v>80</v>
      </c>
      <c r="BY603">
        <v>8338.19</v>
      </c>
      <c r="CA603" t="s">
        <v>157</v>
      </c>
      <c r="CC603" t="s">
        <v>76</v>
      </c>
      <c r="CD603">
        <v>1459</v>
      </c>
      <c r="CE603" t="s">
        <v>91</v>
      </c>
      <c r="CF603" s="1">
        <v>43944</v>
      </c>
      <c r="CI603">
        <v>1</v>
      </c>
      <c r="CJ603">
        <v>1</v>
      </c>
      <c r="CK603">
        <v>22</v>
      </c>
      <c r="CL603" t="s">
        <v>74</v>
      </c>
    </row>
    <row r="604" spans="1:90" x14ac:dyDescent="0.25">
      <c r="A604" t="s">
        <v>61</v>
      </c>
      <c r="B604" t="s">
        <v>62</v>
      </c>
      <c r="C604" t="s">
        <v>63</v>
      </c>
      <c r="E604" t="str">
        <f>"FES1162744003"</f>
        <v>FES1162744003</v>
      </c>
      <c r="F604" s="1">
        <v>43942</v>
      </c>
      <c r="G604">
        <v>202010</v>
      </c>
      <c r="H604" t="s">
        <v>64</v>
      </c>
      <c r="I604" t="s">
        <v>65</v>
      </c>
      <c r="J604" t="s">
        <v>66</v>
      </c>
      <c r="K604" t="s">
        <v>67</v>
      </c>
      <c r="L604" t="s">
        <v>120</v>
      </c>
      <c r="M604" t="s">
        <v>121</v>
      </c>
      <c r="N604" t="s">
        <v>728</v>
      </c>
      <c r="O604" t="s">
        <v>69</v>
      </c>
      <c r="P604" t="str">
        <f>"2170735385                    "</f>
        <v xml:space="preserve">2170735385                    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5.23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G604">
        <v>0</v>
      </c>
      <c r="BH604">
        <v>1</v>
      </c>
      <c r="BI604">
        <v>2.1</v>
      </c>
      <c r="BJ604">
        <v>0.9</v>
      </c>
      <c r="BK604">
        <v>2.5</v>
      </c>
      <c r="BL604">
        <v>57.56</v>
      </c>
      <c r="BM604">
        <v>8.6300000000000008</v>
      </c>
      <c r="BN604">
        <v>66.19</v>
      </c>
      <c r="BO604">
        <v>66.19</v>
      </c>
      <c r="BQ604" t="s">
        <v>109</v>
      </c>
      <c r="BR604" t="s">
        <v>71</v>
      </c>
      <c r="BS604" s="1">
        <v>43943</v>
      </c>
      <c r="BT604" s="2">
        <v>0.4548611111111111</v>
      </c>
      <c r="BU604" t="s">
        <v>846</v>
      </c>
      <c r="BV604" t="s">
        <v>74</v>
      </c>
      <c r="BW604" t="s">
        <v>85</v>
      </c>
      <c r="BX604" t="s">
        <v>128</v>
      </c>
      <c r="BY604">
        <v>4497.3100000000004</v>
      </c>
      <c r="CA604" t="s">
        <v>430</v>
      </c>
      <c r="CC604" t="s">
        <v>121</v>
      </c>
      <c r="CD604">
        <v>4000</v>
      </c>
      <c r="CE604" t="s">
        <v>91</v>
      </c>
      <c r="CF604" s="1">
        <v>43945</v>
      </c>
      <c r="CI604">
        <v>1</v>
      </c>
      <c r="CJ604">
        <v>1</v>
      </c>
      <c r="CK604">
        <v>21</v>
      </c>
      <c r="CL604" t="s">
        <v>74</v>
      </c>
    </row>
    <row r="605" spans="1:90" x14ac:dyDescent="0.25">
      <c r="A605" t="s">
        <v>61</v>
      </c>
      <c r="B605" t="s">
        <v>62</v>
      </c>
      <c r="C605" t="s">
        <v>63</v>
      </c>
      <c r="E605" t="str">
        <f>"FES1162744347"</f>
        <v>FES1162744347</v>
      </c>
      <c r="F605" s="1">
        <v>43942</v>
      </c>
      <c r="G605">
        <v>202010</v>
      </c>
      <c r="H605" t="s">
        <v>64</v>
      </c>
      <c r="I605" t="s">
        <v>65</v>
      </c>
      <c r="J605" t="s">
        <v>66</v>
      </c>
      <c r="K605" t="s">
        <v>67</v>
      </c>
      <c r="L605" t="s">
        <v>120</v>
      </c>
      <c r="M605" t="s">
        <v>121</v>
      </c>
      <c r="N605" t="s">
        <v>728</v>
      </c>
      <c r="O605" t="s">
        <v>69</v>
      </c>
      <c r="P605" t="str">
        <f>"2170735684                    "</f>
        <v xml:space="preserve">2170735684           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6.28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G605">
        <v>0</v>
      </c>
      <c r="BH605">
        <v>1</v>
      </c>
      <c r="BI605">
        <v>2.6</v>
      </c>
      <c r="BJ605">
        <v>2.9</v>
      </c>
      <c r="BK605">
        <v>3</v>
      </c>
      <c r="BL605">
        <v>69.069999999999993</v>
      </c>
      <c r="BM605">
        <v>10.36</v>
      </c>
      <c r="BN605">
        <v>79.430000000000007</v>
      </c>
      <c r="BO605">
        <v>79.430000000000007</v>
      </c>
      <c r="BQ605" t="s">
        <v>109</v>
      </c>
      <c r="BR605" t="s">
        <v>71</v>
      </c>
      <c r="BS605" s="1">
        <v>43943</v>
      </c>
      <c r="BT605" s="2">
        <v>0.4548611111111111</v>
      </c>
      <c r="BU605" t="s">
        <v>846</v>
      </c>
      <c r="BV605" t="s">
        <v>74</v>
      </c>
      <c r="BW605" t="s">
        <v>85</v>
      </c>
      <c r="BX605" t="s">
        <v>128</v>
      </c>
      <c r="BY605">
        <v>14644.9</v>
      </c>
      <c r="CA605" t="s">
        <v>430</v>
      </c>
      <c r="CC605" t="s">
        <v>121</v>
      </c>
      <c r="CD605">
        <v>4000</v>
      </c>
      <c r="CE605" t="s">
        <v>91</v>
      </c>
      <c r="CF605" s="1">
        <v>43945</v>
      </c>
      <c r="CI605">
        <v>1</v>
      </c>
      <c r="CJ605">
        <v>1</v>
      </c>
      <c r="CK605">
        <v>21</v>
      </c>
      <c r="CL605" t="s">
        <v>74</v>
      </c>
    </row>
    <row r="606" spans="1:90" x14ac:dyDescent="0.25">
      <c r="A606" t="s">
        <v>61</v>
      </c>
      <c r="B606" t="s">
        <v>62</v>
      </c>
      <c r="C606" t="s">
        <v>63</v>
      </c>
      <c r="E606" t="str">
        <f>"FES1162744059"</f>
        <v>FES1162744059</v>
      </c>
      <c r="F606" s="1">
        <v>43942</v>
      </c>
      <c r="G606">
        <v>202010</v>
      </c>
      <c r="H606" t="s">
        <v>64</v>
      </c>
      <c r="I606" t="s">
        <v>65</v>
      </c>
      <c r="J606" t="s">
        <v>66</v>
      </c>
      <c r="K606" t="s">
        <v>67</v>
      </c>
      <c r="L606" t="s">
        <v>120</v>
      </c>
      <c r="M606" t="s">
        <v>121</v>
      </c>
      <c r="N606" t="s">
        <v>728</v>
      </c>
      <c r="O606" t="s">
        <v>69</v>
      </c>
      <c r="P606" t="str">
        <f>"2170733715                    "</f>
        <v xml:space="preserve">2170733715           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4.1900000000000004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G606">
        <v>0</v>
      </c>
      <c r="BH606">
        <v>1</v>
      </c>
      <c r="BI606">
        <v>0.2</v>
      </c>
      <c r="BJ606">
        <v>0.9</v>
      </c>
      <c r="BK606">
        <v>1</v>
      </c>
      <c r="BL606">
        <v>46.06</v>
      </c>
      <c r="BM606">
        <v>6.91</v>
      </c>
      <c r="BN606">
        <v>52.97</v>
      </c>
      <c r="BO606">
        <v>52.97</v>
      </c>
      <c r="BQ606" t="s">
        <v>109</v>
      </c>
      <c r="BR606" t="s">
        <v>71</v>
      </c>
      <c r="BS606" s="1">
        <v>43943</v>
      </c>
      <c r="BT606" s="2">
        <v>0.45555555555555555</v>
      </c>
      <c r="BU606" t="s">
        <v>846</v>
      </c>
      <c r="BV606" t="s">
        <v>74</v>
      </c>
      <c r="BW606" t="s">
        <v>85</v>
      </c>
      <c r="BX606" t="s">
        <v>128</v>
      </c>
      <c r="BY606">
        <v>4393.62</v>
      </c>
      <c r="CA606" t="s">
        <v>430</v>
      </c>
      <c r="CC606" t="s">
        <v>121</v>
      </c>
      <c r="CD606">
        <v>4000</v>
      </c>
      <c r="CE606" t="s">
        <v>73</v>
      </c>
      <c r="CF606" s="1">
        <v>43945</v>
      </c>
      <c r="CI606">
        <v>1</v>
      </c>
      <c r="CJ606">
        <v>1</v>
      </c>
      <c r="CK606">
        <v>21</v>
      </c>
      <c r="CL606" t="s">
        <v>74</v>
      </c>
    </row>
    <row r="607" spans="1:90" x14ac:dyDescent="0.25">
      <c r="A607" t="s">
        <v>61</v>
      </c>
      <c r="B607" t="s">
        <v>62</v>
      </c>
      <c r="C607" t="s">
        <v>63</v>
      </c>
      <c r="E607" t="str">
        <f>"FES1162744850"</f>
        <v>FES1162744850</v>
      </c>
      <c r="F607" s="1">
        <v>43942</v>
      </c>
      <c r="G607">
        <v>202010</v>
      </c>
      <c r="H607" t="s">
        <v>64</v>
      </c>
      <c r="I607" t="s">
        <v>65</v>
      </c>
      <c r="J607" t="s">
        <v>66</v>
      </c>
      <c r="K607" t="s">
        <v>67</v>
      </c>
      <c r="L607" t="s">
        <v>120</v>
      </c>
      <c r="M607" t="s">
        <v>121</v>
      </c>
      <c r="N607" t="s">
        <v>728</v>
      </c>
      <c r="O607" t="s">
        <v>69</v>
      </c>
      <c r="P607" t="str">
        <f>"2170735313                    "</f>
        <v xml:space="preserve">2170735313           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4.1900000000000004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G607">
        <v>0</v>
      </c>
      <c r="BH607">
        <v>1</v>
      </c>
      <c r="BI607">
        <v>0.2</v>
      </c>
      <c r="BJ607">
        <v>1</v>
      </c>
      <c r="BK607">
        <v>1</v>
      </c>
      <c r="BL607">
        <v>46.06</v>
      </c>
      <c r="BM607">
        <v>6.91</v>
      </c>
      <c r="BN607">
        <v>52.97</v>
      </c>
      <c r="BO607">
        <v>52.97</v>
      </c>
      <c r="BQ607" t="s">
        <v>109</v>
      </c>
      <c r="BR607" t="s">
        <v>71</v>
      </c>
      <c r="BS607" s="1">
        <v>43943</v>
      </c>
      <c r="BT607" s="2">
        <v>0.45624999999999999</v>
      </c>
      <c r="BU607" t="s">
        <v>846</v>
      </c>
      <c r="BV607" t="s">
        <v>74</v>
      </c>
      <c r="BW607" t="s">
        <v>85</v>
      </c>
      <c r="BX607" t="s">
        <v>128</v>
      </c>
      <c r="BY607">
        <v>5212.12</v>
      </c>
      <c r="CA607" t="s">
        <v>430</v>
      </c>
      <c r="CC607" t="s">
        <v>121</v>
      </c>
      <c r="CD607">
        <v>4000</v>
      </c>
      <c r="CE607" t="s">
        <v>73</v>
      </c>
      <c r="CF607" s="1">
        <v>43945</v>
      </c>
      <c r="CI607">
        <v>1</v>
      </c>
      <c r="CJ607">
        <v>1</v>
      </c>
      <c r="CK607">
        <v>21</v>
      </c>
      <c r="CL607" t="s">
        <v>74</v>
      </c>
    </row>
    <row r="608" spans="1:90" x14ac:dyDescent="0.25">
      <c r="A608" t="s">
        <v>61</v>
      </c>
      <c r="B608" t="s">
        <v>62</v>
      </c>
      <c r="C608" t="s">
        <v>63</v>
      </c>
      <c r="E608" t="str">
        <f>"FES1162744126"</f>
        <v>FES1162744126</v>
      </c>
      <c r="F608" s="1">
        <v>43942</v>
      </c>
      <c r="G608">
        <v>202010</v>
      </c>
      <c r="H608" t="s">
        <v>64</v>
      </c>
      <c r="I608" t="s">
        <v>65</v>
      </c>
      <c r="J608" t="s">
        <v>66</v>
      </c>
      <c r="K608" t="s">
        <v>67</v>
      </c>
      <c r="L608" t="s">
        <v>120</v>
      </c>
      <c r="M608" t="s">
        <v>121</v>
      </c>
      <c r="N608" t="s">
        <v>728</v>
      </c>
      <c r="O608" t="s">
        <v>69</v>
      </c>
      <c r="P608" t="str">
        <f>"2170732565                    "</f>
        <v xml:space="preserve">2170732565           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4.1900000000000004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G608">
        <v>0</v>
      </c>
      <c r="BH608">
        <v>1</v>
      </c>
      <c r="BI608">
        <v>1</v>
      </c>
      <c r="BJ608">
        <v>0.2</v>
      </c>
      <c r="BK608">
        <v>1</v>
      </c>
      <c r="BL608">
        <v>46.06</v>
      </c>
      <c r="BM608">
        <v>6.91</v>
      </c>
      <c r="BN608">
        <v>52.97</v>
      </c>
      <c r="BO608">
        <v>52.97</v>
      </c>
      <c r="BQ608" t="s">
        <v>109</v>
      </c>
      <c r="BR608" t="s">
        <v>71</v>
      </c>
      <c r="BS608" s="1">
        <v>43943</v>
      </c>
      <c r="BT608" s="2">
        <v>0.45624999999999999</v>
      </c>
      <c r="BU608" t="s">
        <v>846</v>
      </c>
      <c r="BV608" t="s">
        <v>74</v>
      </c>
      <c r="BW608" t="s">
        <v>85</v>
      </c>
      <c r="BX608" t="s">
        <v>128</v>
      </c>
      <c r="BY608">
        <v>1200</v>
      </c>
      <c r="CA608" t="s">
        <v>430</v>
      </c>
      <c r="CC608" t="s">
        <v>121</v>
      </c>
      <c r="CD608">
        <v>4000</v>
      </c>
      <c r="CE608" t="s">
        <v>73</v>
      </c>
      <c r="CF608" s="1">
        <v>43945</v>
      </c>
      <c r="CI608">
        <v>1</v>
      </c>
      <c r="CJ608">
        <v>1</v>
      </c>
      <c r="CK608">
        <v>21</v>
      </c>
      <c r="CL608" t="s">
        <v>74</v>
      </c>
    </row>
    <row r="609" spans="1:90" x14ac:dyDescent="0.25">
      <c r="A609" t="s">
        <v>61</v>
      </c>
      <c r="B609" t="s">
        <v>62</v>
      </c>
      <c r="C609" t="s">
        <v>63</v>
      </c>
      <c r="E609" t="str">
        <f>"FES1162745075"</f>
        <v>FES1162745075</v>
      </c>
      <c r="F609" s="1">
        <v>43942</v>
      </c>
      <c r="G609">
        <v>202010</v>
      </c>
      <c r="H609" t="s">
        <v>64</v>
      </c>
      <c r="I609" t="s">
        <v>65</v>
      </c>
      <c r="J609" t="s">
        <v>66</v>
      </c>
      <c r="K609" t="s">
        <v>67</v>
      </c>
      <c r="L609" t="s">
        <v>104</v>
      </c>
      <c r="M609" t="s">
        <v>105</v>
      </c>
      <c r="N609" t="s">
        <v>106</v>
      </c>
      <c r="O609" t="s">
        <v>69</v>
      </c>
      <c r="P609" t="str">
        <f>"2170736295                    "</f>
        <v xml:space="preserve">2170736295         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18.79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G609">
        <v>0</v>
      </c>
      <c r="BH609">
        <v>1</v>
      </c>
      <c r="BI609">
        <v>6.3</v>
      </c>
      <c r="BJ609">
        <v>3.3</v>
      </c>
      <c r="BK609">
        <v>6.5</v>
      </c>
      <c r="BL609">
        <v>206.73</v>
      </c>
      <c r="BM609">
        <v>31.01</v>
      </c>
      <c r="BN609">
        <v>237.74</v>
      </c>
      <c r="BO609">
        <v>237.74</v>
      </c>
      <c r="BQ609" t="s">
        <v>78</v>
      </c>
      <c r="BR609" t="s">
        <v>71</v>
      </c>
      <c r="BS609" s="1">
        <v>43943</v>
      </c>
      <c r="BT609" s="2">
        <v>0.375</v>
      </c>
      <c r="BU609" t="s">
        <v>107</v>
      </c>
      <c r="BV609" t="s">
        <v>80</v>
      </c>
      <c r="BY609">
        <v>16699.78</v>
      </c>
      <c r="CC609" t="s">
        <v>105</v>
      </c>
      <c r="CD609">
        <v>1759</v>
      </c>
      <c r="CE609" t="s">
        <v>91</v>
      </c>
      <c r="CF609" s="1">
        <v>43944</v>
      </c>
      <c r="CI609">
        <v>1</v>
      </c>
      <c r="CJ609">
        <v>1</v>
      </c>
      <c r="CK609">
        <v>24</v>
      </c>
      <c r="CL609" t="s">
        <v>74</v>
      </c>
    </row>
    <row r="610" spans="1:90" x14ac:dyDescent="0.25">
      <c r="A610" t="s">
        <v>61</v>
      </c>
      <c r="B610" t="s">
        <v>62</v>
      </c>
      <c r="C610" t="s">
        <v>63</v>
      </c>
      <c r="E610" t="str">
        <f>"FES1162745017"</f>
        <v>FES1162745017</v>
      </c>
      <c r="F610" s="1">
        <v>43942</v>
      </c>
      <c r="G610">
        <v>202010</v>
      </c>
      <c r="H610" t="s">
        <v>64</v>
      </c>
      <c r="I610" t="s">
        <v>65</v>
      </c>
      <c r="J610" t="s">
        <v>66</v>
      </c>
      <c r="K610" t="s">
        <v>67</v>
      </c>
      <c r="L610" t="s">
        <v>199</v>
      </c>
      <c r="M610" t="s">
        <v>200</v>
      </c>
      <c r="N610" t="s">
        <v>847</v>
      </c>
      <c r="O610" t="s">
        <v>69</v>
      </c>
      <c r="P610" t="str">
        <f>"2170736183                    "</f>
        <v xml:space="preserve">2170736183         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3.27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G610">
        <v>0</v>
      </c>
      <c r="BH610">
        <v>1</v>
      </c>
      <c r="BI610">
        <v>1</v>
      </c>
      <c r="BJ610">
        <v>2</v>
      </c>
      <c r="BK610">
        <v>2</v>
      </c>
      <c r="BL610">
        <v>35.979999999999997</v>
      </c>
      <c r="BM610">
        <v>5.4</v>
      </c>
      <c r="BN610">
        <v>41.38</v>
      </c>
      <c r="BO610">
        <v>41.38</v>
      </c>
      <c r="BQ610" t="s">
        <v>848</v>
      </c>
      <c r="BR610" t="s">
        <v>71</v>
      </c>
      <c r="BS610" s="1">
        <v>43943</v>
      </c>
      <c r="BT610" s="2">
        <v>0.41666666666666669</v>
      </c>
      <c r="BU610" t="s">
        <v>849</v>
      </c>
      <c r="BV610" t="s">
        <v>80</v>
      </c>
      <c r="BY610">
        <v>10043.92</v>
      </c>
      <c r="CA610" t="s">
        <v>437</v>
      </c>
      <c r="CC610" t="s">
        <v>200</v>
      </c>
      <c r="CD610">
        <v>1559</v>
      </c>
      <c r="CE610" t="s">
        <v>73</v>
      </c>
      <c r="CF610" s="1">
        <v>43944</v>
      </c>
      <c r="CI610">
        <v>1</v>
      </c>
      <c r="CJ610">
        <v>1</v>
      </c>
      <c r="CK610">
        <v>22</v>
      </c>
      <c r="CL610" t="s">
        <v>74</v>
      </c>
    </row>
    <row r="611" spans="1:90" x14ac:dyDescent="0.25">
      <c r="A611" t="s">
        <v>61</v>
      </c>
      <c r="B611" t="s">
        <v>62</v>
      </c>
      <c r="C611" t="s">
        <v>63</v>
      </c>
      <c r="E611" t="str">
        <f>"FES1162745062"</f>
        <v>FES1162745062</v>
      </c>
      <c r="F611" s="1">
        <v>43942</v>
      </c>
      <c r="G611">
        <v>202010</v>
      </c>
      <c r="H611" t="s">
        <v>64</v>
      </c>
      <c r="I611" t="s">
        <v>65</v>
      </c>
      <c r="J611" t="s">
        <v>66</v>
      </c>
      <c r="K611" t="s">
        <v>67</v>
      </c>
      <c r="L611" t="s">
        <v>92</v>
      </c>
      <c r="M611" t="s">
        <v>93</v>
      </c>
      <c r="N611" t="s">
        <v>475</v>
      </c>
      <c r="O611" t="s">
        <v>69</v>
      </c>
      <c r="P611" t="str">
        <f>"2170736272                    "</f>
        <v xml:space="preserve">2170736272         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4.1900000000000004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G611">
        <v>0</v>
      </c>
      <c r="BH611">
        <v>1</v>
      </c>
      <c r="BI611">
        <v>0.5</v>
      </c>
      <c r="BJ611">
        <v>1.4</v>
      </c>
      <c r="BK611">
        <v>1.5</v>
      </c>
      <c r="BL611">
        <v>46.06</v>
      </c>
      <c r="BM611">
        <v>6.91</v>
      </c>
      <c r="BN611">
        <v>52.97</v>
      </c>
      <c r="BO611">
        <v>52.97</v>
      </c>
      <c r="BQ611" t="s">
        <v>268</v>
      </c>
      <c r="BR611" t="s">
        <v>71</v>
      </c>
      <c r="BS611" s="1">
        <v>43943</v>
      </c>
      <c r="BT611" s="2">
        <v>0.50694444444444442</v>
      </c>
      <c r="BU611" t="s">
        <v>850</v>
      </c>
      <c r="BV611" t="s">
        <v>74</v>
      </c>
      <c r="BW611" t="s">
        <v>96</v>
      </c>
      <c r="BX611" t="s">
        <v>547</v>
      </c>
      <c r="BY611">
        <v>6811.51</v>
      </c>
      <c r="CA611" t="s">
        <v>331</v>
      </c>
      <c r="CC611" t="s">
        <v>93</v>
      </c>
      <c r="CD611">
        <v>7441</v>
      </c>
      <c r="CE611" t="s">
        <v>73</v>
      </c>
      <c r="CF611" s="1">
        <v>43944</v>
      </c>
      <c r="CI611">
        <v>1</v>
      </c>
      <c r="CJ611">
        <v>1</v>
      </c>
      <c r="CK611">
        <v>21</v>
      </c>
      <c r="CL611" t="s">
        <v>74</v>
      </c>
    </row>
    <row r="612" spans="1:90" x14ac:dyDescent="0.25">
      <c r="A612" t="s">
        <v>61</v>
      </c>
      <c r="B612" t="s">
        <v>62</v>
      </c>
      <c r="C612" t="s">
        <v>63</v>
      </c>
      <c r="E612" t="str">
        <f>"FES1162744978"</f>
        <v>FES1162744978</v>
      </c>
      <c r="F612" s="1">
        <v>43942</v>
      </c>
      <c r="G612">
        <v>202010</v>
      </c>
      <c r="H612" t="s">
        <v>64</v>
      </c>
      <c r="I612" t="s">
        <v>65</v>
      </c>
      <c r="J612" t="s">
        <v>66</v>
      </c>
      <c r="K612" t="s">
        <v>67</v>
      </c>
      <c r="L612" t="s">
        <v>120</v>
      </c>
      <c r="M612" t="s">
        <v>121</v>
      </c>
      <c r="N612" t="s">
        <v>728</v>
      </c>
      <c r="O612" t="s">
        <v>69</v>
      </c>
      <c r="P612" t="str">
        <f>"2170733928                    "</f>
        <v xml:space="preserve">2170733928           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4.1900000000000004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G612">
        <v>0</v>
      </c>
      <c r="BH612">
        <v>1</v>
      </c>
      <c r="BI612">
        <v>1.1000000000000001</v>
      </c>
      <c r="BJ612">
        <v>1.7</v>
      </c>
      <c r="BK612">
        <v>2</v>
      </c>
      <c r="BL612">
        <v>46.06</v>
      </c>
      <c r="BM612">
        <v>6.91</v>
      </c>
      <c r="BN612">
        <v>52.97</v>
      </c>
      <c r="BO612">
        <v>52.97</v>
      </c>
      <c r="BQ612" t="s">
        <v>109</v>
      </c>
      <c r="BR612" t="s">
        <v>71</v>
      </c>
      <c r="BS612" s="1">
        <v>43943</v>
      </c>
      <c r="BT612" s="2">
        <v>0.45555555555555555</v>
      </c>
      <c r="BU612" t="s">
        <v>846</v>
      </c>
      <c r="BV612" t="s">
        <v>74</v>
      </c>
      <c r="BW612" t="s">
        <v>85</v>
      </c>
      <c r="BX612" t="s">
        <v>128</v>
      </c>
      <c r="BY612">
        <v>8444.11</v>
      </c>
      <c r="CA612" t="s">
        <v>430</v>
      </c>
      <c r="CC612" t="s">
        <v>121</v>
      </c>
      <c r="CD612">
        <v>4000</v>
      </c>
      <c r="CE612" t="s">
        <v>73</v>
      </c>
      <c r="CF612" s="1">
        <v>43945</v>
      </c>
      <c r="CI612">
        <v>1</v>
      </c>
      <c r="CJ612">
        <v>1</v>
      </c>
      <c r="CK612">
        <v>21</v>
      </c>
      <c r="CL612" t="s">
        <v>74</v>
      </c>
    </row>
    <row r="613" spans="1:90" x14ac:dyDescent="0.25">
      <c r="A613" t="s">
        <v>61</v>
      </c>
      <c r="B613" t="s">
        <v>62</v>
      </c>
      <c r="C613" t="s">
        <v>63</v>
      </c>
      <c r="E613" t="str">
        <f>"FES1162744920"</f>
        <v>FES1162744920</v>
      </c>
      <c r="F613" s="1">
        <v>43942</v>
      </c>
      <c r="G613">
        <v>202010</v>
      </c>
      <c r="H613" t="s">
        <v>64</v>
      </c>
      <c r="I613" t="s">
        <v>65</v>
      </c>
      <c r="J613" t="s">
        <v>66</v>
      </c>
      <c r="K613" t="s">
        <v>67</v>
      </c>
      <c r="L613" t="s">
        <v>92</v>
      </c>
      <c r="M613" t="s">
        <v>93</v>
      </c>
      <c r="N613" t="s">
        <v>141</v>
      </c>
      <c r="O613" t="s">
        <v>69</v>
      </c>
      <c r="P613" t="str">
        <f>"2170736030                    "</f>
        <v xml:space="preserve">2170736030           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4.1900000000000004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G613">
        <v>0</v>
      </c>
      <c r="BH613">
        <v>1</v>
      </c>
      <c r="BI613">
        <v>1.7</v>
      </c>
      <c r="BJ613">
        <v>0.7</v>
      </c>
      <c r="BK613">
        <v>2</v>
      </c>
      <c r="BL613">
        <v>46.06</v>
      </c>
      <c r="BM613">
        <v>6.91</v>
      </c>
      <c r="BN613">
        <v>52.97</v>
      </c>
      <c r="BO613">
        <v>52.97</v>
      </c>
      <c r="BQ613" t="s">
        <v>78</v>
      </c>
      <c r="BR613" t="s">
        <v>71</v>
      </c>
      <c r="BS613" s="1">
        <v>43943</v>
      </c>
      <c r="BT613" s="2">
        <v>0.32777777777777778</v>
      </c>
      <c r="BU613" t="s">
        <v>851</v>
      </c>
      <c r="BV613" t="s">
        <v>80</v>
      </c>
      <c r="BY613">
        <v>3363.98</v>
      </c>
      <c r="CA613" t="s">
        <v>804</v>
      </c>
      <c r="CC613" t="s">
        <v>93</v>
      </c>
      <c r="CD613">
        <v>7493</v>
      </c>
      <c r="CE613" t="s">
        <v>91</v>
      </c>
      <c r="CF613" s="1">
        <v>43944</v>
      </c>
      <c r="CI613">
        <v>1</v>
      </c>
      <c r="CJ613">
        <v>1</v>
      </c>
      <c r="CK613">
        <v>21</v>
      </c>
      <c r="CL613" t="s">
        <v>74</v>
      </c>
    </row>
    <row r="614" spans="1:90" x14ac:dyDescent="0.25">
      <c r="A614" t="s">
        <v>61</v>
      </c>
      <c r="B614" t="s">
        <v>62</v>
      </c>
      <c r="C614" t="s">
        <v>63</v>
      </c>
      <c r="E614" t="str">
        <f>"FES1162745084"</f>
        <v>FES1162745084</v>
      </c>
      <c r="F614" s="1">
        <v>43942</v>
      </c>
      <c r="G614">
        <v>202010</v>
      </c>
      <c r="H614" t="s">
        <v>64</v>
      </c>
      <c r="I614" t="s">
        <v>65</v>
      </c>
      <c r="J614" t="s">
        <v>66</v>
      </c>
      <c r="K614" t="s">
        <v>67</v>
      </c>
      <c r="L614" t="s">
        <v>92</v>
      </c>
      <c r="M614" t="s">
        <v>93</v>
      </c>
      <c r="N614" t="s">
        <v>402</v>
      </c>
      <c r="O614" t="s">
        <v>69</v>
      </c>
      <c r="P614" t="str">
        <f>"2170735936                    "</f>
        <v xml:space="preserve">2170735936           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5.23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G614">
        <v>0</v>
      </c>
      <c r="BH614">
        <v>1</v>
      </c>
      <c r="BI614">
        <v>2.2999999999999998</v>
      </c>
      <c r="BJ614">
        <v>1.6</v>
      </c>
      <c r="BK614">
        <v>2.5</v>
      </c>
      <c r="BL614">
        <v>57.56</v>
      </c>
      <c r="BM614">
        <v>8.6300000000000008</v>
      </c>
      <c r="BN614">
        <v>66.19</v>
      </c>
      <c r="BO614">
        <v>66.19</v>
      </c>
      <c r="BQ614" t="s">
        <v>109</v>
      </c>
      <c r="BR614" t="s">
        <v>71</v>
      </c>
      <c r="BS614" s="1">
        <v>43943</v>
      </c>
      <c r="BT614" s="2">
        <v>0.35833333333333334</v>
      </c>
      <c r="BU614" t="s">
        <v>852</v>
      </c>
      <c r="BV614" t="s">
        <v>80</v>
      </c>
      <c r="BY614">
        <v>7789.18</v>
      </c>
      <c r="CA614" t="s">
        <v>331</v>
      </c>
      <c r="CC614" t="s">
        <v>93</v>
      </c>
      <c r="CD614">
        <v>7460</v>
      </c>
      <c r="CE614" t="s">
        <v>91</v>
      </c>
      <c r="CF614" s="1">
        <v>43944</v>
      </c>
      <c r="CI614">
        <v>1</v>
      </c>
      <c r="CJ614">
        <v>1</v>
      </c>
      <c r="CK614">
        <v>21</v>
      </c>
      <c r="CL614" t="s">
        <v>74</v>
      </c>
    </row>
    <row r="615" spans="1:90" x14ac:dyDescent="0.25">
      <c r="A615" t="s">
        <v>61</v>
      </c>
      <c r="B615" t="s">
        <v>62</v>
      </c>
      <c r="C615" t="s">
        <v>63</v>
      </c>
      <c r="E615" t="str">
        <f>"FES1162744180"</f>
        <v>FES1162744180</v>
      </c>
      <c r="F615" s="1">
        <v>43942</v>
      </c>
      <c r="G615">
        <v>202010</v>
      </c>
      <c r="H615" t="s">
        <v>64</v>
      </c>
      <c r="I615" t="s">
        <v>65</v>
      </c>
      <c r="J615" t="s">
        <v>66</v>
      </c>
      <c r="K615" t="s">
        <v>67</v>
      </c>
      <c r="L615" t="s">
        <v>120</v>
      </c>
      <c r="M615" t="s">
        <v>121</v>
      </c>
      <c r="N615" t="s">
        <v>728</v>
      </c>
      <c r="O615" t="s">
        <v>69</v>
      </c>
      <c r="P615" t="str">
        <f>"2170732604                    "</f>
        <v xml:space="preserve">2170732604            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11.51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G615">
        <v>0</v>
      </c>
      <c r="BH615">
        <v>1</v>
      </c>
      <c r="BI615">
        <v>5.2</v>
      </c>
      <c r="BJ615">
        <v>3</v>
      </c>
      <c r="BK615">
        <v>5.5</v>
      </c>
      <c r="BL615">
        <v>126.6</v>
      </c>
      <c r="BM615">
        <v>18.989999999999998</v>
      </c>
      <c r="BN615">
        <v>145.59</v>
      </c>
      <c r="BO615">
        <v>145.59</v>
      </c>
      <c r="BQ615" t="s">
        <v>109</v>
      </c>
      <c r="BR615" t="s">
        <v>71</v>
      </c>
      <c r="BS615" s="1">
        <v>43943</v>
      </c>
      <c r="BT615" s="2">
        <v>0.4548611111111111</v>
      </c>
      <c r="BU615" t="s">
        <v>846</v>
      </c>
      <c r="BV615" t="s">
        <v>74</v>
      </c>
      <c r="BW615" t="s">
        <v>85</v>
      </c>
      <c r="BX615" t="s">
        <v>128</v>
      </c>
      <c r="BY615">
        <v>15162</v>
      </c>
      <c r="CA615" t="s">
        <v>430</v>
      </c>
      <c r="CC615" t="s">
        <v>121</v>
      </c>
      <c r="CD615">
        <v>4000</v>
      </c>
      <c r="CE615" t="s">
        <v>91</v>
      </c>
      <c r="CF615" s="1">
        <v>43945</v>
      </c>
      <c r="CI615">
        <v>1</v>
      </c>
      <c r="CJ615">
        <v>1</v>
      </c>
      <c r="CK615">
        <v>21</v>
      </c>
      <c r="CL615" t="s">
        <v>74</v>
      </c>
    </row>
    <row r="616" spans="1:90" x14ac:dyDescent="0.25">
      <c r="A616" t="s">
        <v>61</v>
      </c>
      <c r="B616" t="s">
        <v>62</v>
      </c>
      <c r="C616" t="s">
        <v>63</v>
      </c>
      <c r="E616" t="str">
        <f>"FES1162745141"</f>
        <v>FES1162745141</v>
      </c>
      <c r="F616" s="1">
        <v>43942</v>
      </c>
      <c r="G616">
        <v>202010</v>
      </c>
      <c r="H616" t="s">
        <v>64</v>
      </c>
      <c r="I616" t="s">
        <v>65</v>
      </c>
      <c r="J616" t="s">
        <v>66</v>
      </c>
      <c r="K616" t="s">
        <v>67</v>
      </c>
      <c r="L616" t="s">
        <v>168</v>
      </c>
      <c r="M616" t="s">
        <v>169</v>
      </c>
      <c r="N616" t="s">
        <v>372</v>
      </c>
      <c r="O616" t="s">
        <v>69</v>
      </c>
      <c r="P616" t="str">
        <f>"2170736364                    "</f>
        <v xml:space="preserve">2170736364           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7.33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G616">
        <v>0</v>
      </c>
      <c r="BH616">
        <v>1</v>
      </c>
      <c r="BI616">
        <v>3.4</v>
      </c>
      <c r="BJ616">
        <v>1.6</v>
      </c>
      <c r="BK616">
        <v>3.5</v>
      </c>
      <c r="BL616">
        <v>80.58</v>
      </c>
      <c r="BM616">
        <v>12.09</v>
      </c>
      <c r="BN616">
        <v>92.67</v>
      </c>
      <c r="BO616">
        <v>92.67</v>
      </c>
      <c r="BQ616" t="s">
        <v>78</v>
      </c>
      <c r="BR616" t="s">
        <v>71</v>
      </c>
      <c r="BS616" s="1">
        <v>43943</v>
      </c>
      <c r="BT616" s="2">
        <v>0.49791666666666662</v>
      </c>
      <c r="BU616" t="s">
        <v>853</v>
      </c>
      <c r="BV616" t="s">
        <v>74</v>
      </c>
      <c r="BW616" t="s">
        <v>85</v>
      </c>
      <c r="BX616" t="s">
        <v>128</v>
      </c>
      <c r="BY616">
        <v>7843.92</v>
      </c>
      <c r="CA616" t="s">
        <v>811</v>
      </c>
      <c r="CC616" t="s">
        <v>169</v>
      </c>
      <c r="CD616">
        <v>4026</v>
      </c>
      <c r="CE616" t="s">
        <v>91</v>
      </c>
      <c r="CF616" s="1">
        <v>43945</v>
      </c>
      <c r="CI616">
        <v>1</v>
      </c>
      <c r="CJ616">
        <v>1</v>
      </c>
      <c r="CK616">
        <v>21</v>
      </c>
      <c r="CL616" t="s">
        <v>74</v>
      </c>
    </row>
    <row r="617" spans="1:90" x14ac:dyDescent="0.25">
      <c r="A617" t="s">
        <v>61</v>
      </c>
      <c r="B617" t="s">
        <v>62</v>
      </c>
      <c r="C617" t="s">
        <v>63</v>
      </c>
      <c r="E617" t="str">
        <f>"FES1162745142"</f>
        <v>FES1162745142</v>
      </c>
      <c r="F617" s="1">
        <v>43942</v>
      </c>
      <c r="G617">
        <v>202010</v>
      </c>
      <c r="H617" t="s">
        <v>64</v>
      </c>
      <c r="I617" t="s">
        <v>65</v>
      </c>
      <c r="J617" t="s">
        <v>66</v>
      </c>
      <c r="K617" t="s">
        <v>67</v>
      </c>
      <c r="L617" t="s">
        <v>146</v>
      </c>
      <c r="M617" t="s">
        <v>147</v>
      </c>
      <c r="N617" t="s">
        <v>341</v>
      </c>
      <c r="O617" t="s">
        <v>69</v>
      </c>
      <c r="P617" t="str">
        <f>"2170729985                    "</f>
        <v xml:space="preserve">2170729985           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14.65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G617">
        <v>0</v>
      </c>
      <c r="BH617">
        <v>1</v>
      </c>
      <c r="BI617">
        <v>6.7</v>
      </c>
      <c r="BJ617">
        <v>3.9</v>
      </c>
      <c r="BK617">
        <v>7</v>
      </c>
      <c r="BL617">
        <v>161.12</v>
      </c>
      <c r="BM617">
        <v>24.17</v>
      </c>
      <c r="BN617">
        <v>185.29</v>
      </c>
      <c r="BO617">
        <v>185.29</v>
      </c>
      <c r="BQ617" t="s">
        <v>746</v>
      </c>
      <c r="BR617" t="s">
        <v>71</v>
      </c>
      <c r="BS617" s="1">
        <v>43943</v>
      </c>
      <c r="BT617" s="2">
        <v>0.53472222222222221</v>
      </c>
      <c r="BU617" t="s">
        <v>854</v>
      </c>
      <c r="BV617" t="s">
        <v>74</v>
      </c>
      <c r="BW617" t="s">
        <v>96</v>
      </c>
      <c r="BX617" t="s">
        <v>855</v>
      </c>
      <c r="BY617">
        <v>19510.080000000002</v>
      </c>
      <c r="CA617" t="s">
        <v>856</v>
      </c>
      <c r="CC617" t="s">
        <v>147</v>
      </c>
      <c r="CD617">
        <v>6045</v>
      </c>
      <c r="CE617" t="s">
        <v>91</v>
      </c>
      <c r="CF617" s="1">
        <v>43944</v>
      </c>
      <c r="CI617">
        <v>1</v>
      </c>
      <c r="CJ617">
        <v>1</v>
      </c>
      <c r="CK617">
        <v>21</v>
      </c>
      <c r="CL617" t="s">
        <v>74</v>
      </c>
    </row>
    <row r="618" spans="1:90" x14ac:dyDescent="0.25">
      <c r="A618" t="s">
        <v>61</v>
      </c>
      <c r="B618" t="s">
        <v>62</v>
      </c>
      <c r="C618" t="s">
        <v>63</v>
      </c>
      <c r="E618" t="str">
        <f>"FES1162744987"</f>
        <v>FES1162744987</v>
      </c>
      <c r="F618" s="1">
        <v>43942</v>
      </c>
      <c r="G618">
        <v>202010</v>
      </c>
      <c r="H618" t="s">
        <v>64</v>
      </c>
      <c r="I618" t="s">
        <v>65</v>
      </c>
      <c r="J618" t="s">
        <v>66</v>
      </c>
      <c r="K618" t="s">
        <v>67</v>
      </c>
      <c r="L618" t="s">
        <v>92</v>
      </c>
      <c r="M618" t="s">
        <v>93</v>
      </c>
      <c r="N618" t="s">
        <v>475</v>
      </c>
      <c r="O618" t="s">
        <v>69</v>
      </c>
      <c r="P618" t="str">
        <f>"2170734627                    "</f>
        <v xml:space="preserve">2170734627           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11.51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G618">
        <v>0</v>
      </c>
      <c r="BH618">
        <v>1</v>
      </c>
      <c r="BI618">
        <v>5.5</v>
      </c>
      <c r="BJ618">
        <v>1.7</v>
      </c>
      <c r="BK618">
        <v>5.5</v>
      </c>
      <c r="BL618">
        <v>126.6</v>
      </c>
      <c r="BM618">
        <v>18.989999999999998</v>
      </c>
      <c r="BN618">
        <v>145.59</v>
      </c>
      <c r="BO618">
        <v>145.59</v>
      </c>
      <c r="BQ618" t="s">
        <v>268</v>
      </c>
      <c r="BR618" t="s">
        <v>71</v>
      </c>
      <c r="BS618" s="1">
        <v>43943</v>
      </c>
      <c r="BT618" s="2">
        <v>0.50694444444444442</v>
      </c>
      <c r="BU618" t="s">
        <v>850</v>
      </c>
      <c r="BV618" t="s">
        <v>74</v>
      </c>
      <c r="BW618" t="s">
        <v>96</v>
      </c>
      <c r="BX618" t="s">
        <v>547</v>
      </c>
      <c r="BY618">
        <v>8688.4</v>
      </c>
      <c r="CA618" t="s">
        <v>331</v>
      </c>
      <c r="CC618" t="s">
        <v>93</v>
      </c>
      <c r="CD618">
        <v>7441</v>
      </c>
      <c r="CE618" t="s">
        <v>91</v>
      </c>
      <c r="CF618" s="1">
        <v>43944</v>
      </c>
      <c r="CI618">
        <v>1</v>
      </c>
      <c r="CJ618">
        <v>1</v>
      </c>
      <c r="CK618">
        <v>21</v>
      </c>
      <c r="CL618" t="s">
        <v>74</v>
      </c>
    </row>
    <row r="619" spans="1:90" x14ac:dyDescent="0.25">
      <c r="A619" t="s">
        <v>61</v>
      </c>
      <c r="B619" t="s">
        <v>62</v>
      </c>
      <c r="C619" t="s">
        <v>63</v>
      </c>
      <c r="E619" t="str">
        <f>"FES1162744129"</f>
        <v>FES1162744129</v>
      </c>
      <c r="F619" s="1">
        <v>43942</v>
      </c>
      <c r="G619">
        <v>202010</v>
      </c>
      <c r="H619" t="s">
        <v>64</v>
      </c>
      <c r="I619" t="s">
        <v>65</v>
      </c>
      <c r="J619" t="s">
        <v>66</v>
      </c>
      <c r="K619" t="s">
        <v>67</v>
      </c>
      <c r="L619" t="s">
        <v>120</v>
      </c>
      <c r="M619" t="s">
        <v>121</v>
      </c>
      <c r="N619" t="s">
        <v>728</v>
      </c>
      <c r="O619" t="s">
        <v>69</v>
      </c>
      <c r="P619" t="str">
        <f>"2170732604                    "</f>
        <v xml:space="preserve">2170732604           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4.1900000000000004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G619">
        <v>0</v>
      </c>
      <c r="BH619">
        <v>1</v>
      </c>
      <c r="BI619">
        <v>1.8</v>
      </c>
      <c r="BJ619">
        <v>0.9</v>
      </c>
      <c r="BK619">
        <v>2</v>
      </c>
      <c r="BL619">
        <v>46.06</v>
      </c>
      <c r="BM619">
        <v>6.91</v>
      </c>
      <c r="BN619">
        <v>52.97</v>
      </c>
      <c r="BO619">
        <v>52.97</v>
      </c>
      <c r="BQ619" t="s">
        <v>109</v>
      </c>
      <c r="BR619" t="s">
        <v>71</v>
      </c>
      <c r="BS619" s="1">
        <v>43943</v>
      </c>
      <c r="BT619" s="2">
        <v>0.47916666666666669</v>
      </c>
      <c r="BU619" t="s">
        <v>846</v>
      </c>
      <c r="BV619" t="s">
        <v>74</v>
      </c>
      <c r="BW619" t="s">
        <v>85</v>
      </c>
      <c r="BX619" t="s">
        <v>128</v>
      </c>
      <c r="BY619">
        <v>4562.88</v>
      </c>
      <c r="CC619" t="s">
        <v>121</v>
      </c>
      <c r="CD619">
        <v>4000</v>
      </c>
      <c r="CE619" t="s">
        <v>91</v>
      </c>
      <c r="CF619" s="1">
        <v>43945</v>
      </c>
      <c r="CI619">
        <v>1</v>
      </c>
      <c r="CJ619">
        <v>1</v>
      </c>
      <c r="CK619">
        <v>21</v>
      </c>
      <c r="CL619" t="s">
        <v>74</v>
      </c>
    </row>
    <row r="620" spans="1:90" x14ac:dyDescent="0.25">
      <c r="A620" t="s">
        <v>61</v>
      </c>
      <c r="B620" t="s">
        <v>62</v>
      </c>
      <c r="C620" t="s">
        <v>63</v>
      </c>
      <c r="E620" t="str">
        <f>"FES1162744941"</f>
        <v>FES1162744941</v>
      </c>
      <c r="F620" s="1">
        <v>43942</v>
      </c>
      <c r="G620">
        <v>202010</v>
      </c>
      <c r="H620" t="s">
        <v>64</v>
      </c>
      <c r="I620" t="s">
        <v>65</v>
      </c>
      <c r="J620" t="s">
        <v>66</v>
      </c>
      <c r="K620" t="s">
        <v>67</v>
      </c>
      <c r="L620" t="s">
        <v>92</v>
      </c>
      <c r="M620" t="s">
        <v>93</v>
      </c>
      <c r="N620" t="s">
        <v>857</v>
      </c>
      <c r="O620" t="s">
        <v>69</v>
      </c>
      <c r="P620" t="str">
        <f>"2170735838                    "</f>
        <v xml:space="preserve">2170735838           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9.42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G620">
        <v>0</v>
      </c>
      <c r="BH620">
        <v>1</v>
      </c>
      <c r="BI620">
        <v>2.2000000000000002</v>
      </c>
      <c r="BJ620">
        <v>4.0999999999999996</v>
      </c>
      <c r="BK620">
        <v>4.5</v>
      </c>
      <c r="BL620">
        <v>103.59</v>
      </c>
      <c r="BM620">
        <v>15.54</v>
      </c>
      <c r="BN620">
        <v>119.13</v>
      </c>
      <c r="BO620">
        <v>119.13</v>
      </c>
      <c r="BQ620" t="s">
        <v>70</v>
      </c>
      <c r="BR620" t="s">
        <v>71</v>
      </c>
      <c r="BS620" s="1">
        <v>43943</v>
      </c>
      <c r="BT620" s="2">
        <v>0.41666666666666669</v>
      </c>
      <c r="BU620" t="s">
        <v>858</v>
      </c>
      <c r="BV620" t="s">
        <v>80</v>
      </c>
      <c r="BY620">
        <v>20611.14</v>
      </c>
      <c r="CC620" t="s">
        <v>93</v>
      </c>
      <c r="CD620">
        <v>7530</v>
      </c>
      <c r="CE620" t="s">
        <v>91</v>
      </c>
      <c r="CI620">
        <v>1</v>
      </c>
      <c r="CJ620">
        <v>1</v>
      </c>
      <c r="CK620">
        <v>21</v>
      </c>
      <c r="CL620" t="s">
        <v>74</v>
      </c>
    </row>
    <row r="621" spans="1:90" x14ac:dyDescent="0.25">
      <c r="A621" t="s">
        <v>61</v>
      </c>
      <c r="B621" t="s">
        <v>62</v>
      </c>
      <c r="C621" t="s">
        <v>63</v>
      </c>
      <c r="E621" t="str">
        <f>"FES1162744910"</f>
        <v>FES1162744910</v>
      </c>
      <c r="F621" s="1">
        <v>43942</v>
      </c>
      <c r="G621">
        <v>202010</v>
      </c>
      <c r="H621" t="s">
        <v>64</v>
      </c>
      <c r="I621" t="s">
        <v>65</v>
      </c>
      <c r="J621" t="s">
        <v>66</v>
      </c>
      <c r="K621" t="s">
        <v>67</v>
      </c>
      <c r="L621" t="s">
        <v>146</v>
      </c>
      <c r="M621" t="s">
        <v>147</v>
      </c>
      <c r="N621" t="s">
        <v>173</v>
      </c>
      <c r="O621" t="s">
        <v>69</v>
      </c>
      <c r="P621" t="str">
        <f>"2170736070                    "</f>
        <v xml:space="preserve">2170736070           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6.28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G621">
        <v>0</v>
      </c>
      <c r="BH621">
        <v>1</v>
      </c>
      <c r="BI621">
        <v>2.6</v>
      </c>
      <c r="BJ621">
        <v>1.2</v>
      </c>
      <c r="BK621">
        <v>3</v>
      </c>
      <c r="BL621">
        <v>69.069999999999993</v>
      </c>
      <c r="BM621">
        <v>10.36</v>
      </c>
      <c r="BN621">
        <v>79.430000000000007</v>
      </c>
      <c r="BO621">
        <v>79.430000000000007</v>
      </c>
      <c r="BQ621" t="s">
        <v>70</v>
      </c>
      <c r="BR621" t="s">
        <v>71</v>
      </c>
      <c r="BS621" s="1">
        <v>43944</v>
      </c>
      <c r="BT621" s="2">
        <v>0.3923611111111111</v>
      </c>
      <c r="BU621" t="s">
        <v>826</v>
      </c>
      <c r="BV621" t="s">
        <v>74</v>
      </c>
      <c r="BW621" t="s">
        <v>96</v>
      </c>
      <c r="BX621" t="s">
        <v>339</v>
      </c>
      <c r="BY621">
        <v>6249.74</v>
      </c>
      <c r="CA621" t="s">
        <v>827</v>
      </c>
      <c r="CC621" t="s">
        <v>147</v>
      </c>
      <c r="CD621">
        <v>6001</v>
      </c>
      <c r="CE621" t="s">
        <v>91</v>
      </c>
      <c r="CF621" s="1">
        <v>43945</v>
      </c>
      <c r="CI621">
        <v>1</v>
      </c>
      <c r="CJ621">
        <v>2</v>
      </c>
      <c r="CK621">
        <v>21</v>
      </c>
      <c r="CL621" t="s">
        <v>74</v>
      </c>
    </row>
    <row r="622" spans="1:90" x14ac:dyDescent="0.25">
      <c r="A622" t="s">
        <v>61</v>
      </c>
      <c r="B622" t="s">
        <v>62</v>
      </c>
      <c r="C622" t="s">
        <v>63</v>
      </c>
      <c r="E622" t="str">
        <f>"FES1162744912"</f>
        <v>FES1162744912</v>
      </c>
      <c r="F622" s="1">
        <v>43942</v>
      </c>
      <c r="G622">
        <v>202010</v>
      </c>
      <c r="H622" t="s">
        <v>64</v>
      </c>
      <c r="I622" t="s">
        <v>65</v>
      </c>
      <c r="J622" t="s">
        <v>66</v>
      </c>
      <c r="K622" t="s">
        <v>67</v>
      </c>
      <c r="L622" t="s">
        <v>146</v>
      </c>
      <c r="M622" t="s">
        <v>147</v>
      </c>
      <c r="N622" t="s">
        <v>173</v>
      </c>
      <c r="O622" t="s">
        <v>69</v>
      </c>
      <c r="P622" t="str">
        <f>"2170735525                    "</f>
        <v xml:space="preserve">2170735525           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16.739999999999998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G622">
        <v>0</v>
      </c>
      <c r="BH622">
        <v>1</v>
      </c>
      <c r="BI622">
        <v>5.2</v>
      </c>
      <c r="BJ622">
        <v>7.6</v>
      </c>
      <c r="BK622">
        <v>8</v>
      </c>
      <c r="BL622">
        <v>184.13</v>
      </c>
      <c r="BM622">
        <v>27.62</v>
      </c>
      <c r="BN622">
        <v>211.75</v>
      </c>
      <c r="BO622">
        <v>211.75</v>
      </c>
      <c r="BQ622" t="s">
        <v>70</v>
      </c>
      <c r="BR622" t="s">
        <v>71</v>
      </c>
      <c r="BS622" s="1">
        <v>43944</v>
      </c>
      <c r="BT622" s="2">
        <v>0.39374999999999999</v>
      </c>
      <c r="BU622" t="s">
        <v>826</v>
      </c>
      <c r="BV622" t="s">
        <v>74</v>
      </c>
      <c r="BW622" t="s">
        <v>96</v>
      </c>
      <c r="BX622" t="s">
        <v>339</v>
      </c>
      <c r="BY622">
        <v>38117.949999999997</v>
      </c>
      <c r="CA622" t="s">
        <v>827</v>
      </c>
      <c r="CC622" t="s">
        <v>147</v>
      </c>
      <c r="CD622">
        <v>6001</v>
      </c>
      <c r="CE622" t="s">
        <v>91</v>
      </c>
      <c r="CF622" s="1">
        <v>43945</v>
      </c>
      <c r="CI622">
        <v>1</v>
      </c>
      <c r="CJ622">
        <v>2</v>
      </c>
      <c r="CK622">
        <v>21</v>
      </c>
      <c r="CL622" t="s">
        <v>74</v>
      </c>
    </row>
    <row r="623" spans="1:90" x14ac:dyDescent="0.25">
      <c r="A623" t="s">
        <v>61</v>
      </c>
      <c r="B623" t="s">
        <v>62</v>
      </c>
      <c r="C623" t="s">
        <v>63</v>
      </c>
      <c r="E623" t="str">
        <f>"FES1162745102"</f>
        <v>FES1162745102</v>
      </c>
      <c r="F623" s="1">
        <v>43942</v>
      </c>
      <c r="G623">
        <v>202010</v>
      </c>
      <c r="H623" t="s">
        <v>64</v>
      </c>
      <c r="I623" t="s">
        <v>65</v>
      </c>
      <c r="J623" t="s">
        <v>66</v>
      </c>
      <c r="K623" t="s">
        <v>67</v>
      </c>
      <c r="L623" t="s">
        <v>368</v>
      </c>
      <c r="M623" t="s">
        <v>369</v>
      </c>
      <c r="N623" t="s">
        <v>704</v>
      </c>
      <c r="O623" t="s">
        <v>69</v>
      </c>
      <c r="P623" t="str">
        <f>"2170736322                    "</f>
        <v xml:space="preserve">2170736322                    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4.0599999999999996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G623">
        <v>0</v>
      </c>
      <c r="BH623">
        <v>1</v>
      </c>
      <c r="BI623">
        <v>2.7</v>
      </c>
      <c r="BJ623">
        <v>1.6</v>
      </c>
      <c r="BK623">
        <v>3</v>
      </c>
      <c r="BL623">
        <v>44.61</v>
      </c>
      <c r="BM623">
        <v>6.69</v>
      </c>
      <c r="BN623">
        <v>51.3</v>
      </c>
      <c r="BO623">
        <v>51.3</v>
      </c>
      <c r="BQ623" t="s">
        <v>78</v>
      </c>
      <c r="BR623" t="s">
        <v>71</v>
      </c>
      <c r="BS623" s="1">
        <v>43943</v>
      </c>
      <c r="BT623" s="2">
        <v>0.39583333333333331</v>
      </c>
      <c r="BU623" t="s">
        <v>831</v>
      </c>
      <c r="BV623" t="s">
        <v>80</v>
      </c>
      <c r="BY623">
        <v>8117.93</v>
      </c>
      <c r="CA623" t="s">
        <v>428</v>
      </c>
      <c r="CC623" t="s">
        <v>369</v>
      </c>
      <c r="CD623">
        <v>1422</v>
      </c>
      <c r="CE623" t="s">
        <v>91</v>
      </c>
      <c r="CF623" s="1">
        <v>43944</v>
      </c>
      <c r="CI623">
        <v>1</v>
      </c>
      <c r="CJ623">
        <v>1</v>
      </c>
      <c r="CK623">
        <v>22</v>
      </c>
      <c r="CL623" t="s">
        <v>74</v>
      </c>
    </row>
    <row r="624" spans="1:90" x14ac:dyDescent="0.25">
      <c r="A624" t="s">
        <v>61</v>
      </c>
      <c r="B624" t="s">
        <v>62</v>
      </c>
      <c r="C624" t="s">
        <v>63</v>
      </c>
      <c r="E624" t="str">
        <f>"FES1162744991"</f>
        <v>FES1162744991</v>
      </c>
      <c r="F624" s="1">
        <v>43942</v>
      </c>
      <c r="G624">
        <v>202010</v>
      </c>
      <c r="H624" t="s">
        <v>64</v>
      </c>
      <c r="I624" t="s">
        <v>65</v>
      </c>
      <c r="J624" t="s">
        <v>66</v>
      </c>
      <c r="K624" t="s">
        <v>67</v>
      </c>
      <c r="L624" t="s">
        <v>146</v>
      </c>
      <c r="M624" t="s">
        <v>147</v>
      </c>
      <c r="N624" t="s">
        <v>173</v>
      </c>
      <c r="O624" t="s">
        <v>69</v>
      </c>
      <c r="P624" t="str">
        <f>"2170734966                    "</f>
        <v xml:space="preserve">2170734966           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4.1900000000000004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G624">
        <v>0</v>
      </c>
      <c r="BH624">
        <v>1</v>
      </c>
      <c r="BI624">
        <v>0.5</v>
      </c>
      <c r="BJ624">
        <v>1.7</v>
      </c>
      <c r="BK624">
        <v>2</v>
      </c>
      <c r="BL624">
        <v>46.06</v>
      </c>
      <c r="BM624">
        <v>6.91</v>
      </c>
      <c r="BN624">
        <v>52.97</v>
      </c>
      <c r="BO624">
        <v>52.97</v>
      </c>
      <c r="BQ624" t="s">
        <v>70</v>
      </c>
      <c r="BR624" t="s">
        <v>71</v>
      </c>
      <c r="BS624" s="1">
        <v>43944</v>
      </c>
      <c r="BT624" s="2">
        <v>0.39513888888888887</v>
      </c>
      <c r="BU624" t="s">
        <v>826</v>
      </c>
      <c r="BV624" t="s">
        <v>74</v>
      </c>
      <c r="BW624" t="s">
        <v>96</v>
      </c>
      <c r="BX624" t="s">
        <v>339</v>
      </c>
      <c r="BY624">
        <v>8383.0400000000009</v>
      </c>
      <c r="CA624" t="s">
        <v>827</v>
      </c>
      <c r="CC624" t="s">
        <v>147</v>
      </c>
      <c r="CD624">
        <v>6001</v>
      </c>
      <c r="CE624" t="s">
        <v>73</v>
      </c>
      <c r="CF624" s="1">
        <v>43945</v>
      </c>
      <c r="CI624">
        <v>1</v>
      </c>
      <c r="CJ624">
        <v>2</v>
      </c>
      <c r="CK624">
        <v>21</v>
      </c>
      <c r="CL624" t="s">
        <v>74</v>
      </c>
    </row>
    <row r="625" spans="1:90" x14ac:dyDescent="0.25">
      <c r="A625" t="s">
        <v>61</v>
      </c>
      <c r="B625" t="s">
        <v>62</v>
      </c>
      <c r="C625" t="s">
        <v>63</v>
      </c>
      <c r="E625" t="str">
        <f>"FES1162745104"</f>
        <v>FES1162745104</v>
      </c>
      <c r="F625" s="1">
        <v>43942</v>
      </c>
      <c r="G625">
        <v>202010</v>
      </c>
      <c r="H625" t="s">
        <v>64</v>
      </c>
      <c r="I625" t="s">
        <v>65</v>
      </c>
      <c r="J625" t="s">
        <v>66</v>
      </c>
      <c r="K625" t="s">
        <v>67</v>
      </c>
      <c r="L625" t="s">
        <v>99</v>
      </c>
      <c r="M625" t="s">
        <v>100</v>
      </c>
      <c r="N625" t="s">
        <v>859</v>
      </c>
      <c r="O625" t="s">
        <v>69</v>
      </c>
      <c r="P625" t="str">
        <f>"2170736328                    "</f>
        <v xml:space="preserve">2170736328         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8.11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G625">
        <v>0</v>
      </c>
      <c r="BH625">
        <v>1</v>
      </c>
      <c r="BI625">
        <v>1.3</v>
      </c>
      <c r="BJ625">
        <v>1.9</v>
      </c>
      <c r="BK625">
        <v>2</v>
      </c>
      <c r="BL625">
        <v>89.23</v>
      </c>
      <c r="BM625">
        <v>13.38</v>
      </c>
      <c r="BN625">
        <v>102.61</v>
      </c>
      <c r="BO625">
        <v>102.61</v>
      </c>
      <c r="BQ625" t="s">
        <v>78</v>
      </c>
      <c r="BR625" t="s">
        <v>71</v>
      </c>
      <c r="BS625" s="1">
        <v>43945</v>
      </c>
      <c r="BT625" s="2">
        <v>0.41666666666666669</v>
      </c>
      <c r="BU625" t="s">
        <v>860</v>
      </c>
      <c r="BV625" t="s">
        <v>80</v>
      </c>
      <c r="BY625">
        <v>9394.49</v>
      </c>
      <c r="CC625" t="s">
        <v>100</v>
      </c>
      <c r="CD625">
        <v>6850</v>
      </c>
      <c r="CE625" t="s">
        <v>73</v>
      </c>
      <c r="CF625" s="1">
        <v>43951</v>
      </c>
      <c r="CI625">
        <v>3</v>
      </c>
      <c r="CJ625">
        <v>3</v>
      </c>
      <c r="CK625">
        <v>23</v>
      </c>
      <c r="CL625" t="s">
        <v>74</v>
      </c>
    </row>
    <row r="626" spans="1:90" x14ac:dyDescent="0.25">
      <c r="A626" t="s">
        <v>61</v>
      </c>
      <c r="B626" t="s">
        <v>62</v>
      </c>
      <c r="C626" t="s">
        <v>63</v>
      </c>
      <c r="E626" t="str">
        <f>"FES1162745080"</f>
        <v>FES1162745080</v>
      </c>
      <c r="F626" s="1">
        <v>43942</v>
      </c>
      <c r="G626">
        <v>202010</v>
      </c>
      <c r="H626" t="s">
        <v>64</v>
      </c>
      <c r="I626" t="s">
        <v>65</v>
      </c>
      <c r="J626" t="s">
        <v>66</v>
      </c>
      <c r="K626" t="s">
        <v>67</v>
      </c>
      <c r="L626" t="s">
        <v>861</v>
      </c>
      <c r="M626" t="s">
        <v>862</v>
      </c>
      <c r="N626" t="s">
        <v>863</v>
      </c>
      <c r="O626" t="s">
        <v>69</v>
      </c>
      <c r="P626" t="str">
        <f>"2170736302                    "</f>
        <v xml:space="preserve">2170736302                    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4.1900000000000004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G626">
        <v>0</v>
      </c>
      <c r="BH626">
        <v>1</v>
      </c>
      <c r="BI626">
        <v>0.2</v>
      </c>
      <c r="BJ626">
        <v>1.1000000000000001</v>
      </c>
      <c r="BK626">
        <v>1.5</v>
      </c>
      <c r="BL626">
        <v>46.06</v>
      </c>
      <c r="BM626">
        <v>6.91</v>
      </c>
      <c r="BN626">
        <v>52.97</v>
      </c>
      <c r="BO626">
        <v>52.97</v>
      </c>
      <c r="BQ626" t="s">
        <v>864</v>
      </c>
      <c r="BR626" t="s">
        <v>71</v>
      </c>
      <c r="BS626" t="s">
        <v>72</v>
      </c>
      <c r="BY626">
        <v>5728.8</v>
      </c>
      <c r="CC626" t="s">
        <v>862</v>
      </c>
      <c r="CD626">
        <v>7600</v>
      </c>
      <c r="CE626" t="s">
        <v>73</v>
      </c>
      <c r="CI626">
        <v>1</v>
      </c>
      <c r="CJ626" t="s">
        <v>72</v>
      </c>
      <c r="CK626">
        <v>21</v>
      </c>
      <c r="CL626" t="s">
        <v>74</v>
      </c>
    </row>
    <row r="627" spans="1:90" x14ac:dyDescent="0.25">
      <c r="A627" t="s">
        <v>61</v>
      </c>
      <c r="B627" t="s">
        <v>62</v>
      </c>
      <c r="C627" t="s">
        <v>63</v>
      </c>
      <c r="E627" t="str">
        <f>"FES1162744205"</f>
        <v>FES1162744205</v>
      </c>
      <c r="F627" s="1">
        <v>43942</v>
      </c>
      <c r="G627">
        <v>202010</v>
      </c>
      <c r="H627" t="s">
        <v>64</v>
      </c>
      <c r="I627" t="s">
        <v>65</v>
      </c>
      <c r="J627" t="s">
        <v>66</v>
      </c>
      <c r="K627" t="s">
        <v>67</v>
      </c>
      <c r="L627" t="s">
        <v>120</v>
      </c>
      <c r="M627" t="s">
        <v>121</v>
      </c>
      <c r="N627" t="s">
        <v>728</v>
      </c>
      <c r="O627" t="s">
        <v>69</v>
      </c>
      <c r="P627" t="str">
        <f>"2170733713                    "</f>
        <v xml:space="preserve">2170733713                    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4.1900000000000004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G627">
        <v>0</v>
      </c>
      <c r="BH627">
        <v>1</v>
      </c>
      <c r="BI627">
        <v>0.7</v>
      </c>
      <c r="BJ627">
        <v>1.7</v>
      </c>
      <c r="BK627">
        <v>2</v>
      </c>
      <c r="BL627">
        <v>46.06</v>
      </c>
      <c r="BM627">
        <v>6.91</v>
      </c>
      <c r="BN627">
        <v>52.97</v>
      </c>
      <c r="BO627">
        <v>52.97</v>
      </c>
      <c r="BQ627" t="s">
        <v>109</v>
      </c>
      <c r="BR627" t="s">
        <v>71</v>
      </c>
      <c r="BS627" s="1">
        <v>43943</v>
      </c>
      <c r="BT627" s="2">
        <v>0.45624999999999999</v>
      </c>
      <c r="BU627" t="s">
        <v>846</v>
      </c>
      <c r="BV627" t="s">
        <v>74</v>
      </c>
      <c r="BW627" t="s">
        <v>85</v>
      </c>
      <c r="BX627" t="s">
        <v>128</v>
      </c>
      <c r="BY627">
        <v>8361.14</v>
      </c>
      <c r="CA627" t="s">
        <v>430</v>
      </c>
      <c r="CC627" t="s">
        <v>121</v>
      </c>
      <c r="CD627">
        <v>4000</v>
      </c>
      <c r="CE627" t="s">
        <v>73</v>
      </c>
      <c r="CF627" s="1">
        <v>43945</v>
      </c>
      <c r="CI627">
        <v>1</v>
      </c>
      <c r="CJ627">
        <v>1</v>
      </c>
      <c r="CK627">
        <v>21</v>
      </c>
      <c r="CL627" t="s">
        <v>74</v>
      </c>
    </row>
    <row r="628" spans="1:90" x14ac:dyDescent="0.25">
      <c r="A628" t="s">
        <v>61</v>
      </c>
      <c r="B628" t="s">
        <v>62</v>
      </c>
      <c r="C628" t="s">
        <v>63</v>
      </c>
      <c r="E628" t="str">
        <f>"FES1162744980"</f>
        <v>FES1162744980</v>
      </c>
      <c r="F628" s="1">
        <v>43942</v>
      </c>
      <c r="G628">
        <v>202010</v>
      </c>
      <c r="H628" t="s">
        <v>64</v>
      </c>
      <c r="I628" t="s">
        <v>65</v>
      </c>
      <c r="J628" t="s">
        <v>66</v>
      </c>
      <c r="K628" t="s">
        <v>67</v>
      </c>
      <c r="L628" t="s">
        <v>146</v>
      </c>
      <c r="M628" t="s">
        <v>147</v>
      </c>
      <c r="N628" t="s">
        <v>173</v>
      </c>
      <c r="O628" t="s">
        <v>69</v>
      </c>
      <c r="P628" t="str">
        <f>"2170734288                    "</f>
        <v xml:space="preserve">2170734288                    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4.1900000000000004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0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0</v>
      </c>
      <c r="BB628">
        <v>0</v>
      </c>
      <c r="BG628">
        <v>0</v>
      </c>
      <c r="BH628">
        <v>1</v>
      </c>
      <c r="BI628">
        <v>1.1000000000000001</v>
      </c>
      <c r="BJ628">
        <v>2</v>
      </c>
      <c r="BK628">
        <v>2</v>
      </c>
      <c r="BL628">
        <v>46.06</v>
      </c>
      <c r="BM628">
        <v>6.91</v>
      </c>
      <c r="BN628">
        <v>52.97</v>
      </c>
      <c r="BO628">
        <v>52.97</v>
      </c>
      <c r="BQ628" t="s">
        <v>70</v>
      </c>
      <c r="BR628" t="s">
        <v>71</v>
      </c>
      <c r="BS628" s="1">
        <v>43944</v>
      </c>
      <c r="BT628" s="2">
        <v>0.39305555555555555</v>
      </c>
      <c r="BU628" t="s">
        <v>826</v>
      </c>
      <c r="BV628" t="s">
        <v>74</v>
      </c>
      <c r="BW628" t="s">
        <v>96</v>
      </c>
      <c r="BX628" t="s">
        <v>339</v>
      </c>
      <c r="BY628">
        <v>10003.64</v>
      </c>
      <c r="CA628" t="s">
        <v>827</v>
      </c>
      <c r="CC628" t="s">
        <v>147</v>
      </c>
      <c r="CD628">
        <v>6001</v>
      </c>
      <c r="CE628" t="s">
        <v>73</v>
      </c>
      <c r="CF628" s="1">
        <v>43945</v>
      </c>
      <c r="CI628">
        <v>1</v>
      </c>
      <c r="CJ628">
        <v>2</v>
      </c>
      <c r="CK628">
        <v>21</v>
      </c>
      <c r="CL628" t="s">
        <v>74</v>
      </c>
    </row>
    <row r="629" spans="1:90" x14ac:dyDescent="0.25">
      <c r="A629" t="s">
        <v>61</v>
      </c>
      <c r="B629" t="s">
        <v>62</v>
      </c>
      <c r="C629" t="s">
        <v>63</v>
      </c>
      <c r="E629" t="str">
        <f>"FES1162744192"</f>
        <v>FES1162744192</v>
      </c>
      <c r="F629" s="1">
        <v>43942</v>
      </c>
      <c r="G629">
        <v>202010</v>
      </c>
      <c r="H629" t="s">
        <v>64</v>
      </c>
      <c r="I629" t="s">
        <v>65</v>
      </c>
      <c r="J629" t="s">
        <v>66</v>
      </c>
      <c r="K629" t="s">
        <v>67</v>
      </c>
      <c r="L629" t="s">
        <v>120</v>
      </c>
      <c r="M629" t="s">
        <v>121</v>
      </c>
      <c r="N629" t="s">
        <v>728</v>
      </c>
      <c r="O629" t="s">
        <v>69</v>
      </c>
      <c r="P629" t="str">
        <f>"2170733314                    "</f>
        <v xml:space="preserve">2170733314                    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0</v>
      </c>
      <c r="AM629">
        <v>4.1900000000000004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0</v>
      </c>
      <c r="AV629">
        <v>0</v>
      </c>
      <c r="AW629">
        <v>0</v>
      </c>
      <c r="AX629">
        <v>0</v>
      </c>
      <c r="AY629">
        <v>0</v>
      </c>
      <c r="AZ629">
        <v>0</v>
      </c>
      <c r="BA629">
        <v>0</v>
      </c>
      <c r="BB629">
        <v>0</v>
      </c>
      <c r="BG629">
        <v>0</v>
      </c>
      <c r="BH629">
        <v>1</v>
      </c>
      <c r="BI629">
        <v>0.9</v>
      </c>
      <c r="BJ629">
        <v>1.5</v>
      </c>
      <c r="BK629">
        <v>1.5</v>
      </c>
      <c r="BL629">
        <v>46.06</v>
      </c>
      <c r="BM629">
        <v>6.91</v>
      </c>
      <c r="BN629">
        <v>52.97</v>
      </c>
      <c r="BO629">
        <v>52.97</v>
      </c>
      <c r="BQ629" t="s">
        <v>109</v>
      </c>
      <c r="BR629" t="s">
        <v>71</v>
      </c>
      <c r="BS629" s="1">
        <v>43943</v>
      </c>
      <c r="BT629" s="2">
        <v>0.45624999999999999</v>
      </c>
      <c r="BU629" t="s">
        <v>846</v>
      </c>
      <c r="BV629" t="s">
        <v>74</v>
      </c>
      <c r="BW629" t="s">
        <v>85</v>
      </c>
      <c r="BX629" t="s">
        <v>128</v>
      </c>
      <c r="BY629">
        <v>7420.16</v>
      </c>
      <c r="CA629" t="s">
        <v>430</v>
      </c>
      <c r="CC629" t="s">
        <v>121</v>
      </c>
      <c r="CD629">
        <v>4000</v>
      </c>
      <c r="CE629" t="s">
        <v>73</v>
      </c>
      <c r="CF629" s="1">
        <v>43945</v>
      </c>
      <c r="CI629">
        <v>1</v>
      </c>
      <c r="CJ629">
        <v>1</v>
      </c>
      <c r="CK629">
        <v>21</v>
      </c>
      <c r="CL629" t="s">
        <v>74</v>
      </c>
    </row>
    <row r="630" spans="1:90" x14ac:dyDescent="0.25">
      <c r="A630" t="s">
        <v>61</v>
      </c>
      <c r="B630" t="s">
        <v>62</v>
      </c>
      <c r="C630" t="s">
        <v>63</v>
      </c>
      <c r="E630" t="str">
        <f>"FES1162744808"</f>
        <v>FES1162744808</v>
      </c>
      <c r="F630" s="1">
        <v>43942</v>
      </c>
      <c r="G630">
        <v>202010</v>
      </c>
      <c r="H630" t="s">
        <v>64</v>
      </c>
      <c r="I630" t="s">
        <v>65</v>
      </c>
      <c r="J630" t="s">
        <v>66</v>
      </c>
      <c r="K630" t="s">
        <v>67</v>
      </c>
      <c r="L630" t="s">
        <v>120</v>
      </c>
      <c r="M630" t="s">
        <v>121</v>
      </c>
      <c r="N630" t="s">
        <v>728</v>
      </c>
      <c r="O630" t="s">
        <v>69</v>
      </c>
      <c r="P630" t="str">
        <f>"2170736055                    "</f>
        <v xml:space="preserve">2170736055                    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4.1900000000000004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  <c r="AU630">
        <v>0</v>
      </c>
      <c r="AV630">
        <v>0</v>
      </c>
      <c r="AW630">
        <v>0</v>
      </c>
      <c r="AX630">
        <v>0</v>
      </c>
      <c r="AY630">
        <v>0</v>
      </c>
      <c r="AZ630">
        <v>0</v>
      </c>
      <c r="BA630">
        <v>0</v>
      </c>
      <c r="BB630">
        <v>0</v>
      </c>
      <c r="BG630">
        <v>0</v>
      </c>
      <c r="BH630">
        <v>1</v>
      </c>
      <c r="BI630">
        <v>0.5</v>
      </c>
      <c r="BJ630">
        <v>1.5</v>
      </c>
      <c r="BK630">
        <v>1.5</v>
      </c>
      <c r="BL630">
        <v>46.06</v>
      </c>
      <c r="BM630">
        <v>6.91</v>
      </c>
      <c r="BN630">
        <v>52.97</v>
      </c>
      <c r="BO630">
        <v>52.97</v>
      </c>
      <c r="BQ630" t="s">
        <v>109</v>
      </c>
      <c r="BR630" t="s">
        <v>71</v>
      </c>
      <c r="BS630" s="1">
        <v>43943</v>
      </c>
      <c r="BT630" s="2">
        <v>0.45555555555555555</v>
      </c>
      <c r="BU630" t="s">
        <v>846</v>
      </c>
      <c r="BV630" t="s">
        <v>74</v>
      </c>
      <c r="BW630" t="s">
        <v>85</v>
      </c>
      <c r="BX630" t="s">
        <v>128</v>
      </c>
      <c r="BY630">
        <v>7412.47</v>
      </c>
      <c r="CA630" t="s">
        <v>430</v>
      </c>
      <c r="CC630" t="s">
        <v>121</v>
      </c>
      <c r="CD630">
        <v>4000</v>
      </c>
      <c r="CE630" t="s">
        <v>73</v>
      </c>
      <c r="CF630" s="1">
        <v>43945</v>
      </c>
      <c r="CI630">
        <v>1</v>
      </c>
      <c r="CJ630">
        <v>1</v>
      </c>
      <c r="CK630">
        <v>21</v>
      </c>
      <c r="CL630" t="s">
        <v>74</v>
      </c>
    </row>
    <row r="631" spans="1:90" x14ac:dyDescent="0.25">
      <c r="A631" t="s">
        <v>61</v>
      </c>
      <c r="B631" t="s">
        <v>62</v>
      </c>
      <c r="C631" t="s">
        <v>63</v>
      </c>
      <c r="E631" t="str">
        <f>"FES1162745095"</f>
        <v>FES1162745095</v>
      </c>
      <c r="F631" s="1">
        <v>43942</v>
      </c>
      <c r="G631">
        <v>202010</v>
      </c>
      <c r="H631" t="s">
        <v>64</v>
      </c>
      <c r="I631" t="s">
        <v>65</v>
      </c>
      <c r="J631" t="s">
        <v>66</v>
      </c>
      <c r="K631" t="s">
        <v>67</v>
      </c>
      <c r="L631" t="s">
        <v>225</v>
      </c>
      <c r="M631" t="s">
        <v>226</v>
      </c>
      <c r="N631" t="s">
        <v>280</v>
      </c>
      <c r="O631" t="s">
        <v>69</v>
      </c>
      <c r="P631" t="str">
        <f>"2170736316                    "</f>
        <v xml:space="preserve">2170736316                    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8.11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  <c r="AU631">
        <v>0</v>
      </c>
      <c r="AV631">
        <v>0</v>
      </c>
      <c r="AW631">
        <v>0</v>
      </c>
      <c r="AX631">
        <v>0</v>
      </c>
      <c r="AY631">
        <v>0</v>
      </c>
      <c r="AZ631">
        <v>0</v>
      </c>
      <c r="BA631">
        <v>0</v>
      </c>
      <c r="BB631">
        <v>0</v>
      </c>
      <c r="BG631">
        <v>0</v>
      </c>
      <c r="BH631">
        <v>1</v>
      </c>
      <c r="BI631">
        <v>1</v>
      </c>
      <c r="BJ631">
        <v>0.2</v>
      </c>
      <c r="BK631">
        <v>1</v>
      </c>
      <c r="BL631">
        <v>89.23</v>
      </c>
      <c r="BM631">
        <v>13.38</v>
      </c>
      <c r="BN631">
        <v>102.61</v>
      </c>
      <c r="BO631">
        <v>102.61</v>
      </c>
      <c r="BQ631" t="s">
        <v>78</v>
      </c>
      <c r="BR631" t="s">
        <v>71</v>
      </c>
      <c r="BS631" s="1">
        <v>43943</v>
      </c>
      <c r="BT631" s="2">
        <v>0.33333333333333331</v>
      </c>
      <c r="BU631" t="s">
        <v>813</v>
      </c>
      <c r="BV631" t="s">
        <v>80</v>
      </c>
      <c r="BY631">
        <v>1200</v>
      </c>
      <c r="CC631" t="s">
        <v>226</v>
      </c>
      <c r="CD631">
        <v>1947</v>
      </c>
      <c r="CE631" t="s">
        <v>73</v>
      </c>
      <c r="CF631" s="1">
        <v>43944</v>
      </c>
      <c r="CI631">
        <v>1</v>
      </c>
      <c r="CJ631">
        <v>1</v>
      </c>
      <c r="CK631">
        <v>23</v>
      </c>
      <c r="CL631" t="s">
        <v>74</v>
      </c>
    </row>
    <row r="632" spans="1:90" x14ac:dyDescent="0.25">
      <c r="A632" t="s">
        <v>61</v>
      </c>
      <c r="B632" t="s">
        <v>62</v>
      </c>
      <c r="C632" t="s">
        <v>63</v>
      </c>
      <c r="E632" t="str">
        <f>"FES1162745107"</f>
        <v>FES1162745107</v>
      </c>
      <c r="F632" s="1">
        <v>43942</v>
      </c>
      <c r="G632">
        <v>202010</v>
      </c>
      <c r="H632" t="s">
        <v>64</v>
      </c>
      <c r="I632" t="s">
        <v>65</v>
      </c>
      <c r="J632" t="s">
        <v>66</v>
      </c>
      <c r="K632" t="s">
        <v>67</v>
      </c>
      <c r="L632" t="s">
        <v>861</v>
      </c>
      <c r="M632" t="s">
        <v>862</v>
      </c>
      <c r="N632" t="s">
        <v>865</v>
      </c>
      <c r="O632" t="s">
        <v>69</v>
      </c>
      <c r="P632" t="str">
        <f>"2170736234                    "</f>
        <v xml:space="preserve">2170736234                    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0</v>
      </c>
      <c r="AM632">
        <v>4.1900000000000004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0</v>
      </c>
      <c r="AV632">
        <v>0</v>
      </c>
      <c r="AW632">
        <v>0</v>
      </c>
      <c r="AX632">
        <v>0</v>
      </c>
      <c r="AY632">
        <v>0</v>
      </c>
      <c r="AZ632">
        <v>0</v>
      </c>
      <c r="BA632">
        <v>0</v>
      </c>
      <c r="BB632">
        <v>0</v>
      </c>
      <c r="BG632">
        <v>0</v>
      </c>
      <c r="BH632">
        <v>1</v>
      </c>
      <c r="BI632">
        <v>0.2</v>
      </c>
      <c r="BJ632">
        <v>1</v>
      </c>
      <c r="BK632">
        <v>1</v>
      </c>
      <c r="BL632">
        <v>46.06</v>
      </c>
      <c r="BM632">
        <v>6.91</v>
      </c>
      <c r="BN632">
        <v>52.97</v>
      </c>
      <c r="BO632">
        <v>52.97</v>
      </c>
      <c r="BQ632" t="s">
        <v>78</v>
      </c>
      <c r="BR632" t="s">
        <v>71</v>
      </c>
      <c r="BS632" t="s">
        <v>72</v>
      </c>
      <c r="BY632">
        <v>4800.75</v>
      </c>
      <c r="CC632" t="s">
        <v>862</v>
      </c>
      <c r="CD632">
        <v>7599</v>
      </c>
      <c r="CE632" t="s">
        <v>73</v>
      </c>
      <c r="CI632">
        <v>1</v>
      </c>
      <c r="CJ632" t="s">
        <v>72</v>
      </c>
      <c r="CK632">
        <v>21</v>
      </c>
      <c r="CL632" t="s">
        <v>74</v>
      </c>
    </row>
    <row r="633" spans="1:90" x14ac:dyDescent="0.25">
      <c r="A633" t="s">
        <v>61</v>
      </c>
      <c r="B633" t="s">
        <v>62</v>
      </c>
      <c r="C633" t="s">
        <v>63</v>
      </c>
      <c r="E633" t="str">
        <f>"FES1162744979"</f>
        <v>FES1162744979</v>
      </c>
      <c r="F633" s="1">
        <v>43942</v>
      </c>
      <c r="G633">
        <v>202010</v>
      </c>
      <c r="H633" t="s">
        <v>64</v>
      </c>
      <c r="I633" t="s">
        <v>65</v>
      </c>
      <c r="J633" t="s">
        <v>66</v>
      </c>
      <c r="K633" t="s">
        <v>67</v>
      </c>
      <c r="L633" t="s">
        <v>92</v>
      </c>
      <c r="M633" t="s">
        <v>93</v>
      </c>
      <c r="N633" t="s">
        <v>671</v>
      </c>
      <c r="O633" t="s">
        <v>69</v>
      </c>
      <c r="P633" t="str">
        <f>"2170734155                    "</f>
        <v xml:space="preserve">2170734155                    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7.33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0</v>
      </c>
      <c r="AV633">
        <v>0</v>
      </c>
      <c r="AW633">
        <v>0</v>
      </c>
      <c r="AX633">
        <v>0</v>
      </c>
      <c r="AY633">
        <v>0</v>
      </c>
      <c r="AZ633">
        <v>0</v>
      </c>
      <c r="BA633">
        <v>0</v>
      </c>
      <c r="BB633">
        <v>0</v>
      </c>
      <c r="BG633">
        <v>0</v>
      </c>
      <c r="BH633">
        <v>1</v>
      </c>
      <c r="BI633">
        <v>1.5</v>
      </c>
      <c r="BJ633">
        <v>3.2</v>
      </c>
      <c r="BK633">
        <v>3.5</v>
      </c>
      <c r="BL633">
        <v>80.58</v>
      </c>
      <c r="BM633">
        <v>12.09</v>
      </c>
      <c r="BN633">
        <v>92.67</v>
      </c>
      <c r="BO633">
        <v>92.67</v>
      </c>
      <c r="BQ633" t="s">
        <v>78</v>
      </c>
      <c r="BR633" t="s">
        <v>71</v>
      </c>
      <c r="BS633" s="1">
        <v>43943</v>
      </c>
      <c r="BT633" s="2">
        <v>0.44930555555555557</v>
      </c>
      <c r="BU633" t="s">
        <v>866</v>
      </c>
      <c r="BV633" t="s">
        <v>74</v>
      </c>
      <c r="BW633" t="s">
        <v>96</v>
      </c>
      <c r="BX633" t="s">
        <v>547</v>
      </c>
      <c r="BY633">
        <v>15891.72</v>
      </c>
      <c r="CA633" t="s">
        <v>98</v>
      </c>
      <c r="CC633" t="s">
        <v>93</v>
      </c>
      <c r="CD633">
        <v>7405</v>
      </c>
      <c r="CE633" t="s">
        <v>73</v>
      </c>
      <c r="CF633" s="1">
        <v>43944</v>
      </c>
      <c r="CI633">
        <v>1</v>
      </c>
      <c r="CJ633">
        <v>1</v>
      </c>
      <c r="CK633">
        <v>21</v>
      </c>
      <c r="CL633" t="s">
        <v>74</v>
      </c>
    </row>
    <row r="634" spans="1:90" x14ac:dyDescent="0.25">
      <c r="A634" t="s">
        <v>61</v>
      </c>
      <c r="B634" t="s">
        <v>62</v>
      </c>
      <c r="C634" t="s">
        <v>63</v>
      </c>
      <c r="E634" t="str">
        <f>"FES1162745100"</f>
        <v>FES1162745100</v>
      </c>
      <c r="F634" s="1">
        <v>43942</v>
      </c>
      <c r="G634">
        <v>202010</v>
      </c>
      <c r="H634" t="s">
        <v>64</v>
      </c>
      <c r="I634" t="s">
        <v>65</v>
      </c>
      <c r="J634" t="s">
        <v>66</v>
      </c>
      <c r="K634" t="s">
        <v>67</v>
      </c>
      <c r="L634" t="s">
        <v>199</v>
      </c>
      <c r="M634" t="s">
        <v>200</v>
      </c>
      <c r="N634" t="s">
        <v>488</v>
      </c>
      <c r="O634" t="s">
        <v>69</v>
      </c>
      <c r="P634" t="str">
        <f>"2170735099                    "</f>
        <v xml:space="preserve">2170735099                    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4.45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0</v>
      </c>
      <c r="AV634">
        <v>0</v>
      </c>
      <c r="AW634">
        <v>0</v>
      </c>
      <c r="AX634">
        <v>0</v>
      </c>
      <c r="AY634">
        <v>0</v>
      </c>
      <c r="AZ634">
        <v>0</v>
      </c>
      <c r="BA634">
        <v>0</v>
      </c>
      <c r="BB634">
        <v>0</v>
      </c>
      <c r="BG634">
        <v>0</v>
      </c>
      <c r="BH634">
        <v>1</v>
      </c>
      <c r="BI634">
        <v>3.3</v>
      </c>
      <c r="BJ634">
        <v>2.2000000000000002</v>
      </c>
      <c r="BK634">
        <v>3.5</v>
      </c>
      <c r="BL634">
        <v>48.92</v>
      </c>
      <c r="BM634">
        <v>7.34</v>
      </c>
      <c r="BN634">
        <v>56.26</v>
      </c>
      <c r="BO634">
        <v>56.26</v>
      </c>
      <c r="BQ634" t="s">
        <v>867</v>
      </c>
      <c r="BR634" t="s">
        <v>71</v>
      </c>
      <c r="BS634" s="1">
        <v>43943</v>
      </c>
      <c r="BT634" s="2">
        <v>0.41666666666666669</v>
      </c>
      <c r="BU634" t="s">
        <v>868</v>
      </c>
      <c r="BV634" t="s">
        <v>80</v>
      </c>
      <c r="BY634">
        <v>11225.78</v>
      </c>
      <c r="CA634" t="s">
        <v>437</v>
      </c>
      <c r="CC634" t="s">
        <v>200</v>
      </c>
      <c r="CD634">
        <v>1559</v>
      </c>
      <c r="CE634" t="s">
        <v>91</v>
      </c>
      <c r="CF634" s="1">
        <v>43944</v>
      </c>
      <c r="CI634">
        <v>1</v>
      </c>
      <c r="CJ634">
        <v>1</v>
      </c>
      <c r="CK634">
        <v>22</v>
      </c>
      <c r="CL634" t="s">
        <v>74</v>
      </c>
    </row>
    <row r="635" spans="1:90" x14ac:dyDescent="0.25">
      <c r="A635" t="s">
        <v>61</v>
      </c>
      <c r="B635" t="s">
        <v>62</v>
      </c>
      <c r="C635" t="s">
        <v>63</v>
      </c>
      <c r="E635" t="str">
        <f>"FES1162743964"</f>
        <v>FES1162743964</v>
      </c>
      <c r="F635" s="1">
        <v>43942</v>
      </c>
      <c r="G635">
        <v>202010</v>
      </c>
      <c r="H635" t="s">
        <v>64</v>
      </c>
      <c r="I635" t="s">
        <v>65</v>
      </c>
      <c r="J635" t="s">
        <v>66</v>
      </c>
      <c r="K635" t="s">
        <v>67</v>
      </c>
      <c r="L635" t="s">
        <v>64</v>
      </c>
      <c r="M635" t="s">
        <v>65</v>
      </c>
      <c r="N635" t="s">
        <v>812</v>
      </c>
      <c r="O635" t="s">
        <v>69</v>
      </c>
      <c r="P635" t="str">
        <f>"2170933791                    "</f>
        <v xml:space="preserve">2170933791                    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8.3699999999999992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  <c r="AU635">
        <v>0</v>
      </c>
      <c r="AV635">
        <v>0</v>
      </c>
      <c r="AW635">
        <v>0</v>
      </c>
      <c r="AX635">
        <v>0</v>
      </c>
      <c r="AY635">
        <v>0</v>
      </c>
      <c r="AZ635">
        <v>0</v>
      </c>
      <c r="BA635">
        <v>0</v>
      </c>
      <c r="BB635">
        <v>0</v>
      </c>
      <c r="BG635">
        <v>0</v>
      </c>
      <c r="BH635">
        <v>1</v>
      </c>
      <c r="BI635">
        <v>2.7</v>
      </c>
      <c r="BJ635">
        <v>8.1999999999999993</v>
      </c>
      <c r="BK635">
        <v>8.5</v>
      </c>
      <c r="BL635">
        <v>92.04</v>
      </c>
      <c r="BM635">
        <v>13.81</v>
      </c>
      <c r="BN635">
        <v>105.85</v>
      </c>
      <c r="BO635">
        <v>105.85</v>
      </c>
      <c r="BQ635" t="s">
        <v>70</v>
      </c>
      <c r="BR635" t="s">
        <v>71</v>
      </c>
      <c r="BS635" s="1">
        <v>43943</v>
      </c>
      <c r="BT635" s="2">
        <v>0.3840277777777778</v>
      </c>
      <c r="BU635" t="s">
        <v>869</v>
      </c>
      <c r="BV635" t="s">
        <v>80</v>
      </c>
      <c r="BY635">
        <v>41022.800000000003</v>
      </c>
      <c r="CA635" t="s">
        <v>392</v>
      </c>
      <c r="CC635" t="s">
        <v>65</v>
      </c>
      <c r="CD635">
        <v>1609</v>
      </c>
      <c r="CE635" t="s">
        <v>91</v>
      </c>
      <c r="CF635" s="1">
        <v>43944</v>
      </c>
      <c r="CI635">
        <v>1</v>
      </c>
      <c r="CJ635">
        <v>1</v>
      </c>
      <c r="CK635">
        <v>22</v>
      </c>
      <c r="CL635" t="s">
        <v>74</v>
      </c>
    </row>
    <row r="636" spans="1:90" x14ac:dyDescent="0.25">
      <c r="A636" t="s">
        <v>61</v>
      </c>
      <c r="B636" t="s">
        <v>62</v>
      </c>
      <c r="C636" t="s">
        <v>63</v>
      </c>
      <c r="E636" t="str">
        <f>"FES1162745099"</f>
        <v>FES1162745099</v>
      </c>
      <c r="F636" s="1">
        <v>43942</v>
      </c>
      <c r="G636">
        <v>202010</v>
      </c>
      <c r="H636" t="s">
        <v>64</v>
      </c>
      <c r="I636" t="s">
        <v>65</v>
      </c>
      <c r="J636" t="s">
        <v>66</v>
      </c>
      <c r="K636" t="s">
        <v>67</v>
      </c>
      <c r="L636" t="s">
        <v>92</v>
      </c>
      <c r="M636" t="s">
        <v>93</v>
      </c>
      <c r="N636" t="s">
        <v>94</v>
      </c>
      <c r="O636" t="s">
        <v>69</v>
      </c>
      <c r="P636" t="str">
        <f>"2170734676                    "</f>
        <v xml:space="preserve">2170734676                    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10.46</v>
      </c>
      <c r="AN636">
        <v>0</v>
      </c>
      <c r="AO636">
        <v>0</v>
      </c>
      <c r="AP636">
        <v>0</v>
      </c>
      <c r="AQ636">
        <v>0</v>
      </c>
      <c r="AR636">
        <v>0</v>
      </c>
      <c r="AS636">
        <v>0</v>
      </c>
      <c r="AT636">
        <v>0</v>
      </c>
      <c r="AU636">
        <v>0</v>
      </c>
      <c r="AV636">
        <v>0</v>
      </c>
      <c r="AW636">
        <v>0</v>
      </c>
      <c r="AX636">
        <v>0</v>
      </c>
      <c r="AY636">
        <v>0</v>
      </c>
      <c r="AZ636">
        <v>0</v>
      </c>
      <c r="BA636">
        <v>0</v>
      </c>
      <c r="BB636">
        <v>0</v>
      </c>
      <c r="BG636">
        <v>0</v>
      </c>
      <c r="BH636">
        <v>1</v>
      </c>
      <c r="BI636">
        <v>4.8</v>
      </c>
      <c r="BJ636">
        <v>2.1</v>
      </c>
      <c r="BK636">
        <v>5</v>
      </c>
      <c r="BL636">
        <v>115.09</v>
      </c>
      <c r="BM636">
        <v>17.260000000000002</v>
      </c>
      <c r="BN636">
        <v>132.35</v>
      </c>
      <c r="BO636">
        <v>132.35</v>
      </c>
      <c r="BQ636" t="s">
        <v>70</v>
      </c>
      <c r="BR636" t="s">
        <v>71</v>
      </c>
      <c r="BS636" s="1">
        <v>43943</v>
      </c>
      <c r="BT636" s="2">
        <v>0.46736111111111112</v>
      </c>
      <c r="BU636" t="s">
        <v>870</v>
      </c>
      <c r="BV636" t="s">
        <v>74</v>
      </c>
      <c r="BW636" t="s">
        <v>96</v>
      </c>
      <c r="BX636" t="s">
        <v>547</v>
      </c>
      <c r="BY636">
        <v>10716.16</v>
      </c>
      <c r="CA636" t="s">
        <v>331</v>
      </c>
      <c r="CC636" t="s">
        <v>93</v>
      </c>
      <c r="CD636">
        <v>7441</v>
      </c>
      <c r="CE636" t="s">
        <v>91</v>
      </c>
      <c r="CF636" s="1">
        <v>43944</v>
      </c>
      <c r="CI636">
        <v>1</v>
      </c>
      <c r="CJ636">
        <v>1</v>
      </c>
      <c r="CK636">
        <v>21</v>
      </c>
      <c r="CL636" t="s">
        <v>74</v>
      </c>
    </row>
    <row r="637" spans="1:90" x14ac:dyDescent="0.25">
      <c r="A637" t="s">
        <v>61</v>
      </c>
      <c r="B637" t="s">
        <v>62</v>
      </c>
      <c r="C637" t="s">
        <v>63</v>
      </c>
      <c r="E637" t="str">
        <f>"FES1162745081"</f>
        <v>FES1162745081</v>
      </c>
      <c r="F637" s="1">
        <v>43942</v>
      </c>
      <c r="G637">
        <v>202010</v>
      </c>
      <c r="H637" t="s">
        <v>64</v>
      </c>
      <c r="I637" t="s">
        <v>65</v>
      </c>
      <c r="J637" t="s">
        <v>66</v>
      </c>
      <c r="K637" t="s">
        <v>67</v>
      </c>
      <c r="L637" t="s">
        <v>270</v>
      </c>
      <c r="M637" t="s">
        <v>271</v>
      </c>
      <c r="N637" t="s">
        <v>526</v>
      </c>
      <c r="O637" t="s">
        <v>69</v>
      </c>
      <c r="P637" t="str">
        <f>"2170733624                    "</f>
        <v xml:space="preserve">2170733624                    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3.27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0</v>
      </c>
      <c r="AU637">
        <v>0</v>
      </c>
      <c r="AV637">
        <v>0</v>
      </c>
      <c r="AW637">
        <v>0</v>
      </c>
      <c r="AX637">
        <v>0</v>
      </c>
      <c r="AY637">
        <v>0</v>
      </c>
      <c r="AZ637">
        <v>0</v>
      </c>
      <c r="BA637">
        <v>0</v>
      </c>
      <c r="BB637">
        <v>0</v>
      </c>
      <c r="BG637">
        <v>0</v>
      </c>
      <c r="BH637">
        <v>1</v>
      </c>
      <c r="BI637">
        <v>0.2</v>
      </c>
      <c r="BJ637">
        <v>1.3</v>
      </c>
      <c r="BK637">
        <v>1.5</v>
      </c>
      <c r="BL637">
        <v>35.979999999999997</v>
      </c>
      <c r="BM637">
        <v>5.4</v>
      </c>
      <c r="BN637">
        <v>41.38</v>
      </c>
      <c r="BO637">
        <v>41.38</v>
      </c>
      <c r="BQ637" t="s">
        <v>268</v>
      </c>
      <c r="BR637" t="s">
        <v>71</v>
      </c>
      <c r="BS637" s="1">
        <v>43943</v>
      </c>
      <c r="BT637" s="2">
        <v>0.39374999999999999</v>
      </c>
      <c r="BU637" t="s">
        <v>871</v>
      </c>
      <c r="BV637" t="s">
        <v>80</v>
      </c>
      <c r="BY637">
        <v>6457.87</v>
      </c>
      <c r="CA637" t="s">
        <v>486</v>
      </c>
      <c r="CC637" t="s">
        <v>271</v>
      </c>
      <c r="CD637">
        <v>2013</v>
      </c>
      <c r="CE637" t="s">
        <v>73</v>
      </c>
      <c r="CF637" s="1">
        <v>43944</v>
      </c>
      <c r="CI637">
        <v>1</v>
      </c>
      <c r="CJ637">
        <v>1</v>
      </c>
      <c r="CK637">
        <v>22</v>
      </c>
      <c r="CL637" t="s">
        <v>74</v>
      </c>
    </row>
    <row r="638" spans="1:90" x14ac:dyDescent="0.25">
      <c r="A638" t="s">
        <v>61</v>
      </c>
      <c r="B638" t="s">
        <v>62</v>
      </c>
      <c r="C638" t="s">
        <v>63</v>
      </c>
      <c r="E638" t="str">
        <f>"FES1162745101"</f>
        <v>FES1162745101</v>
      </c>
      <c r="F638" s="1">
        <v>43942</v>
      </c>
      <c r="G638">
        <v>202010</v>
      </c>
      <c r="H638" t="s">
        <v>64</v>
      </c>
      <c r="I638" t="s">
        <v>65</v>
      </c>
      <c r="J638" t="s">
        <v>66</v>
      </c>
      <c r="K638" t="s">
        <v>67</v>
      </c>
      <c r="L638" t="s">
        <v>168</v>
      </c>
      <c r="M638" t="s">
        <v>169</v>
      </c>
      <c r="N638" t="s">
        <v>372</v>
      </c>
      <c r="O638" t="s">
        <v>69</v>
      </c>
      <c r="P638" t="str">
        <f>"2170733365                    "</f>
        <v xml:space="preserve">2170733365                    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5.23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0</v>
      </c>
      <c r="AT638">
        <v>0</v>
      </c>
      <c r="AU638">
        <v>0</v>
      </c>
      <c r="AV638">
        <v>0</v>
      </c>
      <c r="AW638">
        <v>0</v>
      </c>
      <c r="AX638">
        <v>0</v>
      </c>
      <c r="AY638">
        <v>0</v>
      </c>
      <c r="AZ638">
        <v>0</v>
      </c>
      <c r="BA638">
        <v>0</v>
      </c>
      <c r="BB638">
        <v>0</v>
      </c>
      <c r="BG638">
        <v>0</v>
      </c>
      <c r="BH638">
        <v>1</v>
      </c>
      <c r="BI638">
        <v>1.2</v>
      </c>
      <c r="BJ638">
        <v>2.1</v>
      </c>
      <c r="BK638">
        <v>2.5</v>
      </c>
      <c r="BL638">
        <v>57.56</v>
      </c>
      <c r="BM638">
        <v>8.6300000000000008</v>
      </c>
      <c r="BN638">
        <v>66.19</v>
      </c>
      <c r="BO638">
        <v>66.19</v>
      </c>
      <c r="BQ638" t="s">
        <v>78</v>
      </c>
      <c r="BR638" t="s">
        <v>71</v>
      </c>
      <c r="BS638" s="1">
        <v>43943</v>
      </c>
      <c r="BT638" s="2">
        <v>0.49791666666666662</v>
      </c>
      <c r="BU638" t="s">
        <v>853</v>
      </c>
      <c r="BV638" t="s">
        <v>74</v>
      </c>
      <c r="BW638" t="s">
        <v>85</v>
      </c>
      <c r="BX638" t="s">
        <v>128</v>
      </c>
      <c r="BY638">
        <v>10352.76</v>
      </c>
      <c r="CA638" t="s">
        <v>811</v>
      </c>
      <c r="CC638" t="s">
        <v>169</v>
      </c>
      <c r="CD638">
        <v>4026</v>
      </c>
      <c r="CE638" t="s">
        <v>73</v>
      </c>
      <c r="CF638" s="1">
        <v>43945</v>
      </c>
      <c r="CI638">
        <v>1</v>
      </c>
      <c r="CJ638">
        <v>1</v>
      </c>
      <c r="CK638">
        <v>21</v>
      </c>
      <c r="CL638" t="s">
        <v>74</v>
      </c>
    </row>
    <row r="639" spans="1:90" x14ac:dyDescent="0.25">
      <c r="A639" t="s">
        <v>61</v>
      </c>
      <c r="B639" t="s">
        <v>62</v>
      </c>
      <c r="C639" t="s">
        <v>63</v>
      </c>
      <c r="E639" t="str">
        <f>"FES1162745139"</f>
        <v>FES1162745139</v>
      </c>
      <c r="F639" s="1">
        <v>43942</v>
      </c>
      <c r="G639">
        <v>202010</v>
      </c>
      <c r="H639" t="s">
        <v>64</v>
      </c>
      <c r="I639" t="s">
        <v>65</v>
      </c>
      <c r="J639" t="s">
        <v>66</v>
      </c>
      <c r="K639" t="s">
        <v>67</v>
      </c>
      <c r="L639" t="s">
        <v>92</v>
      </c>
      <c r="M639" t="s">
        <v>93</v>
      </c>
      <c r="N639" t="s">
        <v>402</v>
      </c>
      <c r="O639" t="s">
        <v>69</v>
      </c>
      <c r="P639" t="str">
        <f>"2170735936                    "</f>
        <v xml:space="preserve">2170735936                    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7.33</v>
      </c>
      <c r="AN639">
        <v>0</v>
      </c>
      <c r="AO639">
        <v>0</v>
      </c>
      <c r="AP639">
        <v>0</v>
      </c>
      <c r="AQ639">
        <v>0</v>
      </c>
      <c r="AR639">
        <v>0</v>
      </c>
      <c r="AS639">
        <v>0</v>
      </c>
      <c r="AT639">
        <v>0</v>
      </c>
      <c r="AU639">
        <v>0</v>
      </c>
      <c r="AV639">
        <v>0</v>
      </c>
      <c r="AW639">
        <v>0</v>
      </c>
      <c r="AX639">
        <v>0</v>
      </c>
      <c r="AY639">
        <v>0</v>
      </c>
      <c r="AZ639">
        <v>0</v>
      </c>
      <c r="BA639">
        <v>0</v>
      </c>
      <c r="BB639">
        <v>0</v>
      </c>
      <c r="BG639">
        <v>0</v>
      </c>
      <c r="BH639">
        <v>1</v>
      </c>
      <c r="BI639">
        <v>2.2999999999999998</v>
      </c>
      <c r="BJ639">
        <v>3.3</v>
      </c>
      <c r="BK639">
        <v>3.5</v>
      </c>
      <c r="BL639">
        <v>80.58</v>
      </c>
      <c r="BM639">
        <v>12.09</v>
      </c>
      <c r="BN639">
        <v>92.67</v>
      </c>
      <c r="BO639">
        <v>92.67</v>
      </c>
      <c r="BQ639" t="s">
        <v>109</v>
      </c>
      <c r="BR639" t="s">
        <v>71</v>
      </c>
      <c r="BS639" s="1">
        <v>43943</v>
      </c>
      <c r="BT639" s="2">
        <v>0.35833333333333334</v>
      </c>
      <c r="BU639" t="s">
        <v>852</v>
      </c>
      <c r="BV639" t="s">
        <v>80</v>
      </c>
      <c r="BY639">
        <v>16436.52</v>
      </c>
      <c r="CA639" t="s">
        <v>331</v>
      </c>
      <c r="CC639" t="s">
        <v>93</v>
      </c>
      <c r="CD639">
        <v>7460</v>
      </c>
      <c r="CE639" t="s">
        <v>91</v>
      </c>
      <c r="CF639" s="1">
        <v>43944</v>
      </c>
      <c r="CI639">
        <v>1</v>
      </c>
      <c r="CJ639">
        <v>1</v>
      </c>
      <c r="CK639">
        <v>21</v>
      </c>
      <c r="CL639" t="s">
        <v>74</v>
      </c>
    </row>
    <row r="640" spans="1:90" x14ac:dyDescent="0.25">
      <c r="A640" t="s">
        <v>61</v>
      </c>
      <c r="B640" t="s">
        <v>62</v>
      </c>
      <c r="C640" t="s">
        <v>63</v>
      </c>
      <c r="E640" t="str">
        <f>"FES1162744911"</f>
        <v>FES1162744911</v>
      </c>
      <c r="F640" s="1">
        <v>43942</v>
      </c>
      <c r="G640">
        <v>202010</v>
      </c>
      <c r="H640" t="s">
        <v>64</v>
      </c>
      <c r="I640" t="s">
        <v>65</v>
      </c>
      <c r="J640" t="s">
        <v>66</v>
      </c>
      <c r="K640" t="s">
        <v>67</v>
      </c>
      <c r="L640" t="s">
        <v>146</v>
      </c>
      <c r="M640" t="s">
        <v>147</v>
      </c>
      <c r="N640" t="s">
        <v>173</v>
      </c>
      <c r="O640" t="s">
        <v>69</v>
      </c>
      <c r="P640" t="str">
        <f>"2170735655                    "</f>
        <v xml:space="preserve">2170735655                    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31.38</v>
      </c>
      <c r="AN640">
        <v>0</v>
      </c>
      <c r="AO640">
        <v>0</v>
      </c>
      <c r="AP640">
        <v>0</v>
      </c>
      <c r="AQ640">
        <v>0</v>
      </c>
      <c r="AR640">
        <v>0</v>
      </c>
      <c r="AS640">
        <v>0</v>
      </c>
      <c r="AT640">
        <v>0</v>
      </c>
      <c r="AU640">
        <v>0</v>
      </c>
      <c r="AV640">
        <v>0</v>
      </c>
      <c r="AW640">
        <v>0</v>
      </c>
      <c r="AX640">
        <v>0</v>
      </c>
      <c r="AY640">
        <v>0</v>
      </c>
      <c r="AZ640">
        <v>0</v>
      </c>
      <c r="BA640">
        <v>0</v>
      </c>
      <c r="BB640">
        <v>0</v>
      </c>
      <c r="BG640">
        <v>0</v>
      </c>
      <c r="BH640">
        <v>1</v>
      </c>
      <c r="BI640">
        <v>10.199999999999999</v>
      </c>
      <c r="BJ640">
        <v>14.7</v>
      </c>
      <c r="BK640">
        <v>15</v>
      </c>
      <c r="BL640">
        <v>345.21</v>
      </c>
      <c r="BM640">
        <v>51.78</v>
      </c>
      <c r="BN640">
        <v>396.99</v>
      </c>
      <c r="BO640">
        <v>396.99</v>
      </c>
      <c r="BQ640" t="s">
        <v>70</v>
      </c>
      <c r="BR640" t="s">
        <v>71</v>
      </c>
      <c r="BS640" s="1">
        <v>43944</v>
      </c>
      <c r="BT640" s="2">
        <v>0.39166666666666666</v>
      </c>
      <c r="BU640" t="s">
        <v>826</v>
      </c>
      <c r="BV640" t="s">
        <v>74</v>
      </c>
      <c r="BW640" t="s">
        <v>96</v>
      </c>
      <c r="BX640" t="s">
        <v>339</v>
      </c>
      <c r="BY640">
        <v>73260.289999999994</v>
      </c>
      <c r="CA640" t="s">
        <v>827</v>
      </c>
      <c r="CC640" t="s">
        <v>147</v>
      </c>
      <c r="CD640">
        <v>6001</v>
      </c>
      <c r="CE640" t="s">
        <v>91</v>
      </c>
      <c r="CF640" s="1">
        <v>43945</v>
      </c>
      <c r="CI640">
        <v>1</v>
      </c>
      <c r="CJ640">
        <v>2</v>
      </c>
      <c r="CK640">
        <v>21</v>
      </c>
      <c r="CL640" t="s">
        <v>74</v>
      </c>
    </row>
    <row r="641" spans="1:90" x14ac:dyDescent="0.25">
      <c r="A641" t="s">
        <v>61</v>
      </c>
      <c r="B641" t="s">
        <v>62</v>
      </c>
      <c r="C641" t="s">
        <v>63</v>
      </c>
      <c r="E641" t="str">
        <f>"FES1162745135"</f>
        <v>FES1162745135</v>
      </c>
      <c r="F641" s="1">
        <v>43942</v>
      </c>
      <c r="G641">
        <v>202010</v>
      </c>
      <c r="H641" t="s">
        <v>64</v>
      </c>
      <c r="I641" t="s">
        <v>65</v>
      </c>
      <c r="J641" t="s">
        <v>66</v>
      </c>
      <c r="K641" t="s">
        <v>67</v>
      </c>
      <c r="L641" t="s">
        <v>92</v>
      </c>
      <c r="M641" t="s">
        <v>93</v>
      </c>
      <c r="N641" t="s">
        <v>94</v>
      </c>
      <c r="O641" t="s">
        <v>69</v>
      </c>
      <c r="P641" t="str">
        <f>"2170736370                    "</f>
        <v xml:space="preserve">2170736370                    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4.1900000000000004</v>
      </c>
      <c r="AN641">
        <v>0</v>
      </c>
      <c r="AO641">
        <v>0</v>
      </c>
      <c r="AP641">
        <v>0</v>
      </c>
      <c r="AQ641">
        <v>0</v>
      </c>
      <c r="AR641">
        <v>0</v>
      </c>
      <c r="AS641">
        <v>0</v>
      </c>
      <c r="AT641">
        <v>0</v>
      </c>
      <c r="AU641">
        <v>0</v>
      </c>
      <c r="AV641">
        <v>0</v>
      </c>
      <c r="AW641">
        <v>0</v>
      </c>
      <c r="AX641">
        <v>0</v>
      </c>
      <c r="AY641">
        <v>0</v>
      </c>
      <c r="AZ641">
        <v>0</v>
      </c>
      <c r="BA641">
        <v>0</v>
      </c>
      <c r="BB641">
        <v>0</v>
      </c>
      <c r="BG641">
        <v>0</v>
      </c>
      <c r="BH641">
        <v>1</v>
      </c>
      <c r="BI641">
        <v>0.7</v>
      </c>
      <c r="BJ641">
        <v>1.6</v>
      </c>
      <c r="BK641">
        <v>2</v>
      </c>
      <c r="BL641">
        <v>46.06</v>
      </c>
      <c r="BM641">
        <v>6.91</v>
      </c>
      <c r="BN641">
        <v>52.97</v>
      </c>
      <c r="BO641">
        <v>52.97</v>
      </c>
      <c r="BQ641" t="s">
        <v>70</v>
      </c>
      <c r="BR641" t="s">
        <v>71</v>
      </c>
      <c r="BS641" s="1">
        <v>43943</v>
      </c>
      <c r="BT641" s="2">
        <v>0.46736111111111112</v>
      </c>
      <c r="BU641" t="s">
        <v>870</v>
      </c>
      <c r="BV641" t="s">
        <v>74</v>
      </c>
      <c r="BW641" t="s">
        <v>96</v>
      </c>
      <c r="BX641" t="s">
        <v>547</v>
      </c>
      <c r="BY641">
        <v>8066.64</v>
      </c>
      <c r="CA641" t="s">
        <v>331</v>
      </c>
      <c r="CC641" t="s">
        <v>93</v>
      </c>
      <c r="CD641">
        <v>7441</v>
      </c>
      <c r="CE641" t="s">
        <v>73</v>
      </c>
      <c r="CF641" s="1">
        <v>43944</v>
      </c>
      <c r="CI641">
        <v>1</v>
      </c>
      <c r="CJ641">
        <v>1</v>
      </c>
      <c r="CK641">
        <v>21</v>
      </c>
      <c r="CL641" t="s">
        <v>74</v>
      </c>
    </row>
    <row r="642" spans="1:90" x14ac:dyDescent="0.25">
      <c r="A642" t="s">
        <v>61</v>
      </c>
      <c r="B642" t="s">
        <v>62</v>
      </c>
      <c r="C642" t="s">
        <v>63</v>
      </c>
      <c r="E642" t="str">
        <f>"FES1162745001"</f>
        <v>FES1162745001</v>
      </c>
      <c r="F642" s="1">
        <v>43942</v>
      </c>
      <c r="G642">
        <v>202010</v>
      </c>
      <c r="H642" t="s">
        <v>64</v>
      </c>
      <c r="I642" t="s">
        <v>65</v>
      </c>
      <c r="J642" t="s">
        <v>66</v>
      </c>
      <c r="K642" t="s">
        <v>67</v>
      </c>
      <c r="L642" t="s">
        <v>87</v>
      </c>
      <c r="M642" t="s">
        <v>88</v>
      </c>
      <c r="N642" t="s">
        <v>89</v>
      </c>
      <c r="O642" t="s">
        <v>69</v>
      </c>
      <c r="P642" t="str">
        <f>"2170735906                    "</f>
        <v xml:space="preserve">2170735906                    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0</v>
      </c>
      <c r="AK642">
        <v>0</v>
      </c>
      <c r="AL642">
        <v>0</v>
      </c>
      <c r="AM642">
        <v>26.43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0</v>
      </c>
      <c r="AU642">
        <v>0</v>
      </c>
      <c r="AV642">
        <v>0</v>
      </c>
      <c r="AW642">
        <v>0</v>
      </c>
      <c r="AX642">
        <v>0</v>
      </c>
      <c r="AY642">
        <v>0</v>
      </c>
      <c r="AZ642">
        <v>0</v>
      </c>
      <c r="BA642">
        <v>0</v>
      </c>
      <c r="BB642">
        <v>0</v>
      </c>
      <c r="BG642">
        <v>0</v>
      </c>
      <c r="BH642">
        <v>1</v>
      </c>
      <c r="BI642">
        <v>7</v>
      </c>
      <c r="BJ642">
        <v>1.6</v>
      </c>
      <c r="BK642">
        <v>7</v>
      </c>
      <c r="BL642">
        <v>290.75</v>
      </c>
      <c r="BM642">
        <v>43.61</v>
      </c>
      <c r="BN642">
        <v>334.36</v>
      </c>
      <c r="BO642">
        <v>334.36</v>
      </c>
      <c r="BQ642" t="s">
        <v>78</v>
      </c>
      <c r="BR642" t="s">
        <v>71</v>
      </c>
      <c r="BS642" s="1">
        <v>43944</v>
      </c>
      <c r="BT642" s="2">
        <v>0.41666666666666669</v>
      </c>
      <c r="BU642" t="s">
        <v>455</v>
      </c>
      <c r="BV642" t="s">
        <v>80</v>
      </c>
      <c r="BY642">
        <v>7899.44</v>
      </c>
      <c r="CC642" t="s">
        <v>88</v>
      </c>
      <c r="CD642">
        <v>5099</v>
      </c>
      <c r="CE642" t="s">
        <v>91</v>
      </c>
      <c r="CI642">
        <v>3</v>
      </c>
      <c r="CJ642">
        <v>2</v>
      </c>
      <c r="CK642">
        <v>23</v>
      </c>
      <c r="CL642" t="s">
        <v>74</v>
      </c>
    </row>
    <row r="643" spans="1:90" x14ac:dyDescent="0.25">
      <c r="A643" t="s">
        <v>61</v>
      </c>
      <c r="B643" t="s">
        <v>62</v>
      </c>
      <c r="C643" t="s">
        <v>63</v>
      </c>
      <c r="E643" t="str">
        <f>"FES1162744995"</f>
        <v>FES1162744995</v>
      </c>
      <c r="F643" s="1">
        <v>43942</v>
      </c>
      <c r="G643">
        <v>202010</v>
      </c>
      <c r="H643" t="s">
        <v>64</v>
      </c>
      <c r="I643" t="s">
        <v>65</v>
      </c>
      <c r="J643" t="s">
        <v>66</v>
      </c>
      <c r="K643" t="s">
        <v>67</v>
      </c>
      <c r="L643" t="s">
        <v>87</v>
      </c>
      <c r="M643" t="s">
        <v>88</v>
      </c>
      <c r="N643" t="s">
        <v>89</v>
      </c>
      <c r="O643" t="s">
        <v>69</v>
      </c>
      <c r="P643" t="str">
        <f>"2170735492                    "</f>
        <v xml:space="preserve">2170735492                    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9.94</v>
      </c>
      <c r="AN643">
        <v>0</v>
      </c>
      <c r="AO643">
        <v>0</v>
      </c>
      <c r="AP643">
        <v>0</v>
      </c>
      <c r="AQ643">
        <v>0</v>
      </c>
      <c r="AR643">
        <v>0</v>
      </c>
      <c r="AS643">
        <v>0</v>
      </c>
      <c r="AT643">
        <v>0</v>
      </c>
      <c r="AU643">
        <v>0</v>
      </c>
      <c r="AV643">
        <v>0</v>
      </c>
      <c r="AW643">
        <v>0</v>
      </c>
      <c r="AX643">
        <v>0</v>
      </c>
      <c r="AY643">
        <v>0</v>
      </c>
      <c r="AZ643">
        <v>0</v>
      </c>
      <c r="BA643">
        <v>0</v>
      </c>
      <c r="BB643">
        <v>0</v>
      </c>
      <c r="BG643">
        <v>0</v>
      </c>
      <c r="BH643">
        <v>1</v>
      </c>
      <c r="BI643">
        <v>2.2000000000000002</v>
      </c>
      <c r="BJ643">
        <v>1.6</v>
      </c>
      <c r="BK643">
        <v>2.5</v>
      </c>
      <c r="BL643">
        <v>109.38</v>
      </c>
      <c r="BM643">
        <v>16.41</v>
      </c>
      <c r="BN643">
        <v>125.79</v>
      </c>
      <c r="BO643">
        <v>125.79</v>
      </c>
      <c r="BQ643" t="s">
        <v>70</v>
      </c>
      <c r="BR643" t="s">
        <v>71</v>
      </c>
      <c r="BS643" s="1">
        <v>43944</v>
      </c>
      <c r="BT643" s="2">
        <v>0.41666666666666669</v>
      </c>
      <c r="BU643" t="s">
        <v>455</v>
      </c>
      <c r="BV643" t="s">
        <v>80</v>
      </c>
      <c r="BY643">
        <v>8180.84</v>
      </c>
      <c r="CC643" t="s">
        <v>88</v>
      </c>
      <c r="CD643">
        <v>5099</v>
      </c>
      <c r="CE643" t="s">
        <v>91</v>
      </c>
      <c r="CI643">
        <v>3</v>
      </c>
      <c r="CJ643">
        <v>2</v>
      </c>
      <c r="CK643">
        <v>23</v>
      </c>
      <c r="CL643" t="s">
        <v>74</v>
      </c>
    </row>
    <row r="644" spans="1:90" x14ac:dyDescent="0.25">
      <c r="A644" t="s">
        <v>61</v>
      </c>
      <c r="B644" t="s">
        <v>62</v>
      </c>
      <c r="C644" t="s">
        <v>63</v>
      </c>
      <c r="E644" t="str">
        <f>"FES1162745137"</f>
        <v>FES1162745137</v>
      </c>
      <c r="F644" s="1">
        <v>43942</v>
      </c>
      <c r="G644">
        <v>202010</v>
      </c>
      <c r="H644" t="s">
        <v>64</v>
      </c>
      <c r="I644" t="s">
        <v>65</v>
      </c>
      <c r="J644" t="s">
        <v>66</v>
      </c>
      <c r="K644" t="s">
        <v>67</v>
      </c>
      <c r="L644" t="s">
        <v>64</v>
      </c>
      <c r="M644" t="s">
        <v>65</v>
      </c>
      <c r="N644" t="s">
        <v>820</v>
      </c>
      <c r="O644" t="s">
        <v>69</v>
      </c>
      <c r="P644" t="str">
        <f>"2170736371                    "</f>
        <v xml:space="preserve">2170736371                    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4.45</v>
      </c>
      <c r="AN644">
        <v>0</v>
      </c>
      <c r="AO644">
        <v>0</v>
      </c>
      <c r="AP644">
        <v>0</v>
      </c>
      <c r="AQ644">
        <v>0</v>
      </c>
      <c r="AR644">
        <v>0</v>
      </c>
      <c r="AS644">
        <v>0</v>
      </c>
      <c r="AT644">
        <v>0</v>
      </c>
      <c r="AU644">
        <v>0</v>
      </c>
      <c r="AV644">
        <v>0</v>
      </c>
      <c r="AW644">
        <v>0</v>
      </c>
      <c r="AX644">
        <v>0</v>
      </c>
      <c r="AY644">
        <v>0</v>
      </c>
      <c r="AZ644">
        <v>0</v>
      </c>
      <c r="BA644">
        <v>0</v>
      </c>
      <c r="BB644">
        <v>0</v>
      </c>
      <c r="BG644">
        <v>0</v>
      </c>
      <c r="BH644">
        <v>1</v>
      </c>
      <c r="BI644">
        <v>2.1</v>
      </c>
      <c r="BJ644">
        <v>3.4</v>
      </c>
      <c r="BK644">
        <v>3.5</v>
      </c>
      <c r="BL644">
        <v>48.92</v>
      </c>
      <c r="BM644">
        <v>7.34</v>
      </c>
      <c r="BN644">
        <v>56.26</v>
      </c>
      <c r="BO644">
        <v>56.26</v>
      </c>
      <c r="BQ644" t="s">
        <v>70</v>
      </c>
      <c r="BR644" t="s">
        <v>71</v>
      </c>
      <c r="BS644" s="1">
        <v>43943</v>
      </c>
      <c r="BT644" s="2">
        <v>0.30555555555555552</v>
      </c>
      <c r="BU644" t="s">
        <v>872</v>
      </c>
      <c r="BV644" t="s">
        <v>80</v>
      </c>
      <c r="BY644">
        <v>16813.66</v>
      </c>
      <c r="CC644" t="s">
        <v>65</v>
      </c>
      <c r="CD644">
        <v>1619</v>
      </c>
      <c r="CE644" t="s">
        <v>91</v>
      </c>
      <c r="CF644" s="1">
        <v>43944</v>
      </c>
      <c r="CI644">
        <v>1</v>
      </c>
      <c r="CJ644">
        <v>1</v>
      </c>
      <c r="CK644">
        <v>22</v>
      </c>
      <c r="CL644" t="s">
        <v>74</v>
      </c>
    </row>
    <row r="645" spans="1:90" x14ac:dyDescent="0.25">
      <c r="A645" t="s">
        <v>61</v>
      </c>
      <c r="B645" t="s">
        <v>62</v>
      </c>
      <c r="C645" t="s">
        <v>63</v>
      </c>
      <c r="E645" t="str">
        <f>"FES1162745134"</f>
        <v>FES1162745134</v>
      </c>
      <c r="F645" s="1">
        <v>43942</v>
      </c>
      <c r="G645">
        <v>202010</v>
      </c>
      <c r="H645" t="s">
        <v>64</v>
      </c>
      <c r="I645" t="s">
        <v>65</v>
      </c>
      <c r="J645" t="s">
        <v>66</v>
      </c>
      <c r="K645" t="s">
        <v>67</v>
      </c>
      <c r="L645" t="s">
        <v>120</v>
      </c>
      <c r="M645" t="s">
        <v>121</v>
      </c>
      <c r="N645" t="s">
        <v>873</v>
      </c>
      <c r="O645" t="s">
        <v>69</v>
      </c>
      <c r="P645" t="str">
        <f>"2170736356                    "</f>
        <v xml:space="preserve">2170736356                    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4.1900000000000004</v>
      </c>
      <c r="AN645">
        <v>0</v>
      </c>
      <c r="AO645">
        <v>0</v>
      </c>
      <c r="AP645">
        <v>0</v>
      </c>
      <c r="AQ645">
        <v>0</v>
      </c>
      <c r="AR645">
        <v>0</v>
      </c>
      <c r="AS645">
        <v>0</v>
      </c>
      <c r="AT645">
        <v>0</v>
      </c>
      <c r="AU645">
        <v>0</v>
      </c>
      <c r="AV645">
        <v>0</v>
      </c>
      <c r="AW645">
        <v>0</v>
      </c>
      <c r="AX645">
        <v>0</v>
      </c>
      <c r="AY645">
        <v>0</v>
      </c>
      <c r="AZ645">
        <v>0</v>
      </c>
      <c r="BA645">
        <v>0</v>
      </c>
      <c r="BB645">
        <v>0</v>
      </c>
      <c r="BG645">
        <v>0</v>
      </c>
      <c r="BH645">
        <v>1</v>
      </c>
      <c r="BI645">
        <v>0.2</v>
      </c>
      <c r="BJ645">
        <v>2</v>
      </c>
      <c r="BK645">
        <v>2</v>
      </c>
      <c r="BL645">
        <v>46.06</v>
      </c>
      <c r="BM645">
        <v>6.91</v>
      </c>
      <c r="BN645">
        <v>52.97</v>
      </c>
      <c r="BO645">
        <v>52.97</v>
      </c>
      <c r="BP645" t="s">
        <v>874</v>
      </c>
      <c r="BQ645" t="s">
        <v>875</v>
      </c>
      <c r="BR645" t="s">
        <v>71</v>
      </c>
      <c r="BS645" s="1">
        <v>43943</v>
      </c>
      <c r="BT645" s="2">
        <v>0.56874999999999998</v>
      </c>
      <c r="BU645" t="s">
        <v>876</v>
      </c>
      <c r="BV645" t="s">
        <v>74</v>
      </c>
      <c r="BW645" t="s">
        <v>85</v>
      </c>
      <c r="BX645" t="s">
        <v>128</v>
      </c>
      <c r="BY645">
        <v>9766.25</v>
      </c>
      <c r="CA645" t="s">
        <v>574</v>
      </c>
      <c r="CC645" t="s">
        <v>121</v>
      </c>
      <c r="CD645">
        <v>4000</v>
      </c>
      <c r="CE645" t="s">
        <v>73</v>
      </c>
      <c r="CF645" s="1">
        <v>43945</v>
      </c>
      <c r="CI645">
        <v>1</v>
      </c>
      <c r="CJ645">
        <v>1</v>
      </c>
      <c r="CK645">
        <v>21</v>
      </c>
      <c r="CL645" t="s">
        <v>74</v>
      </c>
    </row>
    <row r="646" spans="1:90" x14ac:dyDescent="0.25">
      <c r="A646" t="s">
        <v>61</v>
      </c>
      <c r="B646" t="s">
        <v>62</v>
      </c>
      <c r="C646" t="s">
        <v>63</v>
      </c>
      <c r="E646" t="str">
        <f>"FES1162745130"</f>
        <v>FES1162745130</v>
      </c>
      <c r="F646" s="1">
        <v>43942</v>
      </c>
      <c r="G646">
        <v>202010</v>
      </c>
      <c r="H646" t="s">
        <v>64</v>
      </c>
      <c r="I646" t="s">
        <v>65</v>
      </c>
      <c r="J646" t="s">
        <v>66</v>
      </c>
      <c r="K646" t="s">
        <v>67</v>
      </c>
      <c r="L646" t="s">
        <v>212</v>
      </c>
      <c r="M646" t="s">
        <v>213</v>
      </c>
      <c r="N646" t="s">
        <v>302</v>
      </c>
      <c r="O646" t="s">
        <v>69</v>
      </c>
      <c r="P646" t="str">
        <f>"2170736358                    "</f>
        <v xml:space="preserve">2170736358                    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4.1900000000000004</v>
      </c>
      <c r="AN646">
        <v>0</v>
      </c>
      <c r="AO646">
        <v>0</v>
      </c>
      <c r="AP646">
        <v>0</v>
      </c>
      <c r="AQ646">
        <v>0</v>
      </c>
      <c r="AR646">
        <v>0</v>
      </c>
      <c r="AS646">
        <v>0</v>
      </c>
      <c r="AT646">
        <v>0</v>
      </c>
      <c r="AU646">
        <v>0</v>
      </c>
      <c r="AV646">
        <v>0</v>
      </c>
      <c r="AW646">
        <v>0</v>
      </c>
      <c r="AX646">
        <v>0</v>
      </c>
      <c r="AY646">
        <v>0</v>
      </c>
      <c r="AZ646">
        <v>0</v>
      </c>
      <c r="BA646">
        <v>0</v>
      </c>
      <c r="BB646">
        <v>0</v>
      </c>
      <c r="BG646">
        <v>0</v>
      </c>
      <c r="BH646">
        <v>1</v>
      </c>
      <c r="BI646">
        <v>0.9</v>
      </c>
      <c r="BJ646">
        <v>1.5</v>
      </c>
      <c r="BK646">
        <v>1.5</v>
      </c>
      <c r="BL646">
        <v>46.06</v>
      </c>
      <c r="BM646">
        <v>6.91</v>
      </c>
      <c r="BN646">
        <v>52.97</v>
      </c>
      <c r="BO646">
        <v>52.97</v>
      </c>
      <c r="BQ646" t="s">
        <v>70</v>
      </c>
      <c r="BR646" t="s">
        <v>71</v>
      </c>
      <c r="BS646" s="1">
        <v>43943</v>
      </c>
      <c r="BT646" s="2">
        <v>0.37777777777777777</v>
      </c>
      <c r="BU646" t="s">
        <v>303</v>
      </c>
      <c r="BV646" t="s">
        <v>80</v>
      </c>
      <c r="BY646">
        <v>7614.45</v>
      </c>
      <c r="CA646" t="s">
        <v>711</v>
      </c>
      <c r="CC646" t="s">
        <v>213</v>
      </c>
      <c r="CD646">
        <v>3610</v>
      </c>
      <c r="CE646" t="s">
        <v>73</v>
      </c>
      <c r="CF646" s="1">
        <v>43945</v>
      </c>
      <c r="CI646">
        <v>1</v>
      </c>
      <c r="CJ646">
        <v>1</v>
      </c>
      <c r="CK646">
        <v>21</v>
      </c>
      <c r="CL646" t="s">
        <v>74</v>
      </c>
    </row>
    <row r="647" spans="1:90" x14ac:dyDescent="0.25">
      <c r="A647" t="s">
        <v>61</v>
      </c>
      <c r="B647" t="s">
        <v>62</v>
      </c>
      <c r="C647" t="s">
        <v>63</v>
      </c>
      <c r="E647" t="str">
        <f>"FES1162745109"</f>
        <v>FES1162745109</v>
      </c>
      <c r="F647" s="1">
        <v>43942</v>
      </c>
      <c r="G647">
        <v>202010</v>
      </c>
      <c r="H647" t="s">
        <v>64</v>
      </c>
      <c r="I647" t="s">
        <v>65</v>
      </c>
      <c r="J647" t="s">
        <v>66</v>
      </c>
      <c r="K647" t="s">
        <v>67</v>
      </c>
      <c r="L647" t="s">
        <v>151</v>
      </c>
      <c r="M647" t="s">
        <v>152</v>
      </c>
      <c r="N647" t="s">
        <v>153</v>
      </c>
      <c r="O647" t="s">
        <v>69</v>
      </c>
      <c r="P647" t="str">
        <f>"2170736335                    "</f>
        <v xml:space="preserve">2170736335                    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4.1900000000000004</v>
      </c>
      <c r="AN647">
        <v>0</v>
      </c>
      <c r="AO647">
        <v>0</v>
      </c>
      <c r="AP647">
        <v>0</v>
      </c>
      <c r="AQ647">
        <v>0</v>
      </c>
      <c r="AR647">
        <v>0</v>
      </c>
      <c r="AS647">
        <v>0</v>
      </c>
      <c r="AT647">
        <v>0</v>
      </c>
      <c r="AU647">
        <v>0</v>
      </c>
      <c r="AV647">
        <v>0</v>
      </c>
      <c r="AW647">
        <v>0</v>
      </c>
      <c r="AX647">
        <v>0</v>
      </c>
      <c r="AY647">
        <v>0</v>
      </c>
      <c r="AZ647">
        <v>0</v>
      </c>
      <c r="BA647">
        <v>0</v>
      </c>
      <c r="BB647">
        <v>0</v>
      </c>
      <c r="BG647">
        <v>0</v>
      </c>
      <c r="BH647">
        <v>1</v>
      </c>
      <c r="BI647">
        <v>0.2</v>
      </c>
      <c r="BJ647">
        <v>1.4</v>
      </c>
      <c r="BK647">
        <v>1.5</v>
      </c>
      <c r="BL647">
        <v>46.06</v>
      </c>
      <c r="BM647">
        <v>6.91</v>
      </c>
      <c r="BN647">
        <v>52.97</v>
      </c>
      <c r="BO647">
        <v>52.97</v>
      </c>
      <c r="BQ647" t="s">
        <v>70</v>
      </c>
      <c r="BR647" t="s">
        <v>71</v>
      </c>
      <c r="BS647" s="1">
        <v>43944</v>
      </c>
      <c r="BT647" s="2">
        <v>0.5</v>
      </c>
      <c r="BU647" t="s">
        <v>261</v>
      </c>
      <c r="BV647" t="s">
        <v>74</v>
      </c>
      <c r="BY647">
        <v>6854.4</v>
      </c>
      <c r="CC647" t="s">
        <v>152</v>
      </c>
      <c r="CD647">
        <v>3699</v>
      </c>
      <c r="CE647" t="s">
        <v>73</v>
      </c>
      <c r="CF647" s="1">
        <v>43949</v>
      </c>
      <c r="CI647">
        <v>1</v>
      </c>
      <c r="CJ647">
        <v>2</v>
      </c>
      <c r="CK647">
        <v>21</v>
      </c>
      <c r="CL647" t="s">
        <v>74</v>
      </c>
    </row>
    <row r="648" spans="1:90" x14ac:dyDescent="0.25">
      <c r="A648" t="s">
        <v>61</v>
      </c>
      <c r="B648" t="s">
        <v>62</v>
      </c>
      <c r="C648" t="s">
        <v>63</v>
      </c>
      <c r="E648" t="str">
        <f>"FES1162745086"</f>
        <v>FES1162745086</v>
      </c>
      <c r="F648" s="1">
        <v>43942</v>
      </c>
      <c r="G648">
        <v>202010</v>
      </c>
      <c r="H648" t="s">
        <v>64</v>
      </c>
      <c r="I648" t="s">
        <v>65</v>
      </c>
      <c r="J648" t="s">
        <v>66</v>
      </c>
      <c r="K648" t="s">
        <v>67</v>
      </c>
      <c r="L648" t="s">
        <v>151</v>
      </c>
      <c r="M648" t="s">
        <v>152</v>
      </c>
      <c r="N648" t="s">
        <v>280</v>
      </c>
      <c r="O648" t="s">
        <v>69</v>
      </c>
      <c r="P648" t="str">
        <f>"2170736092                    "</f>
        <v xml:space="preserve">2170736092                    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4.1900000000000004</v>
      </c>
      <c r="AN648">
        <v>0</v>
      </c>
      <c r="AO648">
        <v>0</v>
      </c>
      <c r="AP648">
        <v>0</v>
      </c>
      <c r="AQ648">
        <v>0</v>
      </c>
      <c r="AR648">
        <v>0</v>
      </c>
      <c r="AS648">
        <v>0</v>
      </c>
      <c r="AT648">
        <v>0</v>
      </c>
      <c r="AU648">
        <v>0</v>
      </c>
      <c r="AV648">
        <v>0</v>
      </c>
      <c r="AW648">
        <v>0</v>
      </c>
      <c r="AX648">
        <v>0</v>
      </c>
      <c r="AY648">
        <v>0</v>
      </c>
      <c r="AZ648">
        <v>0</v>
      </c>
      <c r="BA648">
        <v>0</v>
      </c>
      <c r="BB648">
        <v>0</v>
      </c>
      <c r="BG648">
        <v>0</v>
      </c>
      <c r="BH648">
        <v>1</v>
      </c>
      <c r="BI648">
        <v>0.2</v>
      </c>
      <c r="BJ648">
        <v>1.7</v>
      </c>
      <c r="BK648">
        <v>2</v>
      </c>
      <c r="BL648">
        <v>46.06</v>
      </c>
      <c r="BM648">
        <v>6.91</v>
      </c>
      <c r="BN648">
        <v>52.97</v>
      </c>
      <c r="BO648">
        <v>52.97</v>
      </c>
      <c r="BQ648" t="s">
        <v>70</v>
      </c>
      <c r="BR648" t="s">
        <v>71</v>
      </c>
      <c r="BS648" s="1">
        <v>43944</v>
      </c>
      <c r="BT648" s="2">
        <v>0.41666666666666669</v>
      </c>
      <c r="BU648" t="s">
        <v>877</v>
      </c>
      <c r="BV648" t="s">
        <v>74</v>
      </c>
      <c r="BY648">
        <v>8440.74</v>
      </c>
      <c r="CC648" t="s">
        <v>152</v>
      </c>
      <c r="CD648">
        <v>3699</v>
      </c>
      <c r="CE648" t="s">
        <v>73</v>
      </c>
      <c r="CF648" s="1">
        <v>43949</v>
      </c>
      <c r="CI648">
        <v>1</v>
      </c>
      <c r="CJ648">
        <v>2</v>
      </c>
      <c r="CK648">
        <v>21</v>
      </c>
      <c r="CL648" t="s">
        <v>74</v>
      </c>
    </row>
    <row r="649" spans="1:90" x14ac:dyDescent="0.25">
      <c r="A649" t="s">
        <v>61</v>
      </c>
      <c r="B649" t="s">
        <v>62</v>
      </c>
      <c r="C649" t="s">
        <v>63</v>
      </c>
      <c r="E649" t="str">
        <f>"FES1162745694"</f>
        <v>FES1162745694</v>
      </c>
      <c r="F649" s="1">
        <v>43950</v>
      </c>
      <c r="G649">
        <v>202010</v>
      </c>
      <c r="H649" t="s">
        <v>64</v>
      </c>
      <c r="I649" t="s">
        <v>65</v>
      </c>
      <c r="J649" t="s">
        <v>66</v>
      </c>
      <c r="K649" t="s">
        <v>67</v>
      </c>
      <c r="L649" t="s">
        <v>120</v>
      </c>
      <c r="M649" t="s">
        <v>121</v>
      </c>
      <c r="N649" t="s">
        <v>728</v>
      </c>
      <c r="O649" t="s">
        <v>69</v>
      </c>
      <c r="P649" t="str">
        <f>"2170736784                    "</f>
        <v xml:space="preserve">2170736784                    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4.1900000000000004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0</v>
      </c>
      <c r="AT649">
        <v>0</v>
      </c>
      <c r="AU649">
        <v>0</v>
      </c>
      <c r="AV649">
        <v>0</v>
      </c>
      <c r="AW649">
        <v>0</v>
      </c>
      <c r="AX649">
        <v>0</v>
      </c>
      <c r="AY649">
        <v>0</v>
      </c>
      <c r="AZ649">
        <v>0</v>
      </c>
      <c r="BA649">
        <v>0</v>
      </c>
      <c r="BB649">
        <v>0</v>
      </c>
      <c r="BG649">
        <v>0</v>
      </c>
      <c r="BH649">
        <v>1</v>
      </c>
      <c r="BI649">
        <v>1</v>
      </c>
      <c r="BJ649">
        <v>0.2</v>
      </c>
      <c r="BK649">
        <v>1</v>
      </c>
      <c r="BL649">
        <v>46.06</v>
      </c>
      <c r="BM649">
        <v>6.91</v>
      </c>
      <c r="BN649">
        <v>52.97</v>
      </c>
      <c r="BO649">
        <v>52.97</v>
      </c>
      <c r="BQ649" t="s">
        <v>109</v>
      </c>
      <c r="BR649" t="s">
        <v>71</v>
      </c>
      <c r="BS649" s="1">
        <v>43951</v>
      </c>
      <c r="BT649" s="2">
        <v>0.35972222222222222</v>
      </c>
      <c r="BU649" t="s">
        <v>480</v>
      </c>
      <c r="BV649" t="s">
        <v>80</v>
      </c>
      <c r="BY649">
        <v>1200</v>
      </c>
      <c r="CA649" t="s">
        <v>430</v>
      </c>
      <c r="CC649" t="s">
        <v>121</v>
      </c>
      <c r="CD649">
        <v>4000</v>
      </c>
      <c r="CE649" t="s">
        <v>73</v>
      </c>
      <c r="CI649">
        <v>1</v>
      </c>
      <c r="CJ649">
        <v>1</v>
      </c>
      <c r="CK649">
        <v>21</v>
      </c>
      <c r="CL649" t="s">
        <v>74</v>
      </c>
    </row>
    <row r="650" spans="1:90" x14ac:dyDescent="0.25">
      <c r="A650" t="s">
        <v>61</v>
      </c>
      <c r="B650" t="s">
        <v>62</v>
      </c>
      <c r="C650" t="s">
        <v>63</v>
      </c>
      <c r="E650" t="str">
        <f>"FES1162744921"</f>
        <v>FES1162744921</v>
      </c>
      <c r="F650" s="1">
        <v>43943</v>
      </c>
      <c r="G650">
        <v>202010</v>
      </c>
      <c r="H650" t="s">
        <v>64</v>
      </c>
      <c r="I650" t="s">
        <v>65</v>
      </c>
      <c r="J650" t="s">
        <v>66</v>
      </c>
      <c r="K650" t="s">
        <v>67</v>
      </c>
      <c r="L650" t="s">
        <v>75</v>
      </c>
      <c r="M650" t="s">
        <v>76</v>
      </c>
      <c r="N650" t="s">
        <v>493</v>
      </c>
      <c r="O650" t="s">
        <v>69</v>
      </c>
      <c r="P650" t="str">
        <f>"2170736157                    "</f>
        <v xml:space="preserve">2170736157                    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3.27</v>
      </c>
      <c r="AN650">
        <v>0</v>
      </c>
      <c r="AO650">
        <v>0</v>
      </c>
      <c r="AP650">
        <v>0</v>
      </c>
      <c r="AQ650">
        <v>0</v>
      </c>
      <c r="AR650">
        <v>0</v>
      </c>
      <c r="AS650">
        <v>0</v>
      </c>
      <c r="AT650">
        <v>0</v>
      </c>
      <c r="AU650">
        <v>0</v>
      </c>
      <c r="AV650">
        <v>0</v>
      </c>
      <c r="AW650">
        <v>0</v>
      </c>
      <c r="AX650">
        <v>0</v>
      </c>
      <c r="AY650">
        <v>0</v>
      </c>
      <c r="AZ650">
        <v>0</v>
      </c>
      <c r="BA650">
        <v>0</v>
      </c>
      <c r="BB650">
        <v>0</v>
      </c>
      <c r="BG650">
        <v>0</v>
      </c>
      <c r="BH650">
        <v>1</v>
      </c>
      <c r="BI650">
        <v>1</v>
      </c>
      <c r="BJ650">
        <v>0.2</v>
      </c>
      <c r="BK650">
        <v>1</v>
      </c>
      <c r="BL650">
        <v>35.979999999999997</v>
      </c>
      <c r="BM650">
        <v>5.4</v>
      </c>
      <c r="BN650">
        <v>41.38</v>
      </c>
      <c r="BO650">
        <v>41.38</v>
      </c>
      <c r="BQ650" t="s">
        <v>70</v>
      </c>
      <c r="BR650" t="s">
        <v>71</v>
      </c>
      <c r="BS650" s="1">
        <v>43949</v>
      </c>
      <c r="BT650" s="2">
        <v>0.33333333333333331</v>
      </c>
      <c r="BU650" t="s">
        <v>878</v>
      </c>
      <c r="BV650" t="s">
        <v>74</v>
      </c>
      <c r="BW650" t="s">
        <v>85</v>
      </c>
      <c r="BX650" t="s">
        <v>606</v>
      </c>
      <c r="BY650">
        <v>1200</v>
      </c>
      <c r="CC650" t="s">
        <v>76</v>
      </c>
      <c r="CD650">
        <v>1459</v>
      </c>
      <c r="CE650" t="s">
        <v>73</v>
      </c>
      <c r="CF650" s="1">
        <v>43950</v>
      </c>
      <c r="CI650">
        <v>1</v>
      </c>
      <c r="CJ650">
        <v>4</v>
      </c>
      <c r="CK650">
        <v>22</v>
      </c>
      <c r="CL650" t="s">
        <v>74</v>
      </c>
    </row>
    <row r="651" spans="1:90" x14ac:dyDescent="0.25">
      <c r="A651" t="s">
        <v>61</v>
      </c>
      <c r="B651" t="s">
        <v>62</v>
      </c>
      <c r="C651" t="s">
        <v>63</v>
      </c>
      <c r="E651" t="str">
        <f>"FES1162745747"</f>
        <v>FES1162745747</v>
      </c>
      <c r="F651" s="1">
        <v>43951</v>
      </c>
      <c r="G651">
        <v>202010</v>
      </c>
      <c r="H651" t="s">
        <v>64</v>
      </c>
      <c r="I651" t="s">
        <v>65</v>
      </c>
      <c r="J651" t="s">
        <v>66</v>
      </c>
      <c r="K651" t="s">
        <v>67</v>
      </c>
      <c r="L651" t="s">
        <v>92</v>
      </c>
      <c r="M651" t="s">
        <v>93</v>
      </c>
      <c r="N651" t="s">
        <v>311</v>
      </c>
      <c r="O651" t="s">
        <v>69</v>
      </c>
      <c r="P651" t="str">
        <f>"2170736844                    "</f>
        <v xml:space="preserve">2170736844                    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4.1900000000000004</v>
      </c>
      <c r="AN651">
        <v>0</v>
      </c>
      <c r="AO651">
        <v>0</v>
      </c>
      <c r="AP651">
        <v>0</v>
      </c>
      <c r="AQ651">
        <v>0</v>
      </c>
      <c r="AR651">
        <v>0</v>
      </c>
      <c r="AS651">
        <v>0</v>
      </c>
      <c r="AT651">
        <v>0</v>
      </c>
      <c r="AU651">
        <v>0</v>
      </c>
      <c r="AV651">
        <v>0</v>
      </c>
      <c r="AW651">
        <v>0</v>
      </c>
      <c r="AX651">
        <v>0</v>
      </c>
      <c r="AY651">
        <v>0</v>
      </c>
      <c r="AZ651">
        <v>0</v>
      </c>
      <c r="BA651">
        <v>0</v>
      </c>
      <c r="BB651">
        <v>0</v>
      </c>
      <c r="BG651">
        <v>0</v>
      </c>
      <c r="BH651">
        <v>1</v>
      </c>
      <c r="BI651">
        <v>1</v>
      </c>
      <c r="BJ651">
        <v>0.2</v>
      </c>
      <c r="BK651">
        <v>1</v>
      </c>
      <c r="BL651">
        <v>46.06</v>
      </c>
      <c r="BM651">
        <v>6.91</v>
      </c>
      <c r="BN651">
        <v>52.97</v>
      </c>
      <c r="BO651">
        <v>52.97</v>
      </c>
      <c r="BQ651" t="s">
        <v>70</v>
      </c>
      <c r="BR651" t="s">
        <v>71</v>
      </c>
      <c r="BS651" t="s">
        <v>72</v>
      </c>
      <c r="BY651">
        <v>1200</v>
      </c>
      <c r="CC651" t="s">
        <v>93</v>
      </c>
      <c r="CD651">
        <v>7441</v>
      </c>
      <c r="CE651" t="s">
        <v>73</v>
      </c>
      <c r="CI651">
        <v>1</v>
      </c>
      <c r="CJ651" t="s">
        <v>72</v>
      </c>
      <c r="CK651">
        <v>21</v>
      </c>
      <c r="CL651" t="s">
        <v>74</v>
      </c>
    </row>
    <row r="652" spans="1:90" x14ac:dyDescent="0.25">
      <c r="A652" t="s">
        <v>61</v>
      </c>
      <c r="B652" t="s">
        <v>62</v>
      </c>
      <c r="C652" t="s">
        <v>63</v>
      </c>
      <c r="E652" t="str">
        <f>"FES1162745588"</f>
        <v>FES1162745588</v>
      </c>
      <c r="F652" s="1">
        <v>43950</v>
      </c>
      <c r="G652">
        <v>202010</v>
      </c>
      <c r="H652" t="s">
        <v>64</v>
      </c>
      <c r="I652" t="s">
        <v>65</v>
      </c>
      <c r="J652" t="s">
        <v>66</v>
      </c>
      <c r="K652" t="s">
        <v>67</v>
      </c>
      <c r="L652" t="s">
        <v>254</v>
      </c>
      <c r="M652" t="s">
        <v>255</v>
      </c>
      <c r="N652" t="s">
        <v>620</v>
      </c>
      <c r="O652" t="s">
        <v>69</v>
      </c>
      <c r="P652" t="str">
        <f>"2170736646                    "</f>
        <v xml:space="preserve">2170736646                    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18.829999999999998</v>
      </c>
      <c r="AN652">
        <v>0</v>
      </c>
      <c r="AO652">
        <v>0</v>
      </c>
      <c r="AP652">
        <v>0</v>
      </c>
      <c r="AQ652">
        <v>0</v>
      </c>
      <c r="AR652">
        <v>0</v>
      </c>
      <c r="AS652">
        <v>0</v>
      </c>
      <c r="AT652">
        <v>0</v>
      </c>
      <c r="AU652">
        <v>0</v>
      </c>
      <c r="AV652">
        <v>0</v>
      </c>
      <c r="AW652">
        <v>0</v>
      </c>
      <c r="AX652">
        <v>0</v>
      </c>
      <c r="AY652">
        <v>0</v>
      </c>
      <c r="AZ652">
        <v>0</v>
      </c>
      <c r="BA652">
        <v>0</v>
      </c>
      <c r="BB652">
        <v>0</v>
      </c>
      <c r="BG652">
        <v>0</v>
      </c>
      <c r="BH652">
        <v>1</v>
      </c>
      <c r="BI652">
        <v>8.9</v>
      </c>
      <c r="BJ652">
        <v>3.6</v>
      </c>
      <c r="BK652">
        <v>9</v>
      </c>
      <c r="BL652">
        <v>207.14</v>
      </c>
      <c r="BM652">
        <v>31.07</v>
      </c>
      <c r="BN652">
        <v>238.21</v>
      </c>
      <c r="BO652">
        <v>238.21</v>
      </c>
      <c r="BQ652" t="s">
        <v>78</v>
      </c>
      <c r="BR652" t="s">
        <v>71</v>
      </c>
      <c r="BS652" s="1">
        <v>43951</v>
      </c>
      <c r="BT652" s="2">
        <v>0.43055555555555558</v>
      </c>
      <c r="BU652" t="s">
        <v>622</v>
      </c>
      <c r="BV652" t="s">
        <v>80</v>
      </c>
      <c r="BY652">
        <v>18070.919999999998</v>
      </c>
      <c r="CC652" t="s">
        <v>255</v>
      </c>
      <c r="CD652">
        <v>184</v>
      </c>
      <c r="CE652" t="s">
        <v>91</v>
      </c>
      <c r="CF652" s="1">
        <v>43952</v>
      </c>
      <c r="CI652">
        <v>1</v>
      </c>
      <c r="CJ652">
        <v>1</v>
      </c>
      <c r="CK652">
        <v>21</v>
      </c>
      <c r="CL652" t="s">
        <v>74</v>
      </c>
    </row>
    <row r="653" spans="1:90" x14ac:dyDescent="0.25">
      <c r="A653" t="s">
        <v>61</v>
      </c>
      <c r="B653" t="s">
        <v>62</v>
      </c>
      <c r="C653" t="s">
        <v>63</v>
      </c>
      <c r="E653" t="str">
        <f>"FES1162744660"</f>
        <v>FES1162744660</v>
      </c>
      <c r="F653" s="1">
        <v>43950</v>
      </c>
      <c r="G653">
        <v>202010</v>
      </c>
      <c r="H653" t="s">
        <v>64</v>
      </c>
      <c r="I653" t="s">
        <v>65</v>
      </c>
      <c r="J653" t="s">
        <v>66</v>
      </c>
      <c r="K653" t="s">
        <v>67</v>
      </c>
      <c r="L653" t="s">
        <v>64</v>
      </c>
      <c r="M653" t="s">
        <v>65</v>
      </c>
      <c r="N653" t="s">
        <v>523</v>
      </c>
      <c r="O653" t="s">
        <v>69</v>
      </c>
      <c r="P653" t="str">
        <f>"2170730056                    "</f>
        <v xml:space="preserve">2170730056                    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3.27</v>
      </c>
      <c r="AN653">
        <v>0</v>
      </c>
      <c r="AO653">
        <v>0</v>
      </c>
      <c r="AP653">
        <v>0</v>
      </c>
      <c r="AQ653">
        <v>0</v>
      </c>
      <c r="AR653">
        <v>0</v>
      </c>
      <c r="AS653">
        <v>0</v>
      </c>
      <c r="AT653">
        <v>0</v>
      </c>
      <c r="AU653">
        <v>0</v>
      </c>
      <c r="AV653">
        <v>0</v>
      </c>
      <c r="AW653">
        <v>0</v>
      </c>
      <c r="AX653">
        <v>0</v>
      </c>
      <c r="AY653">
        <v>0</v>
      </c>
      <c r="AZ653">
        <v>0</v>
      </c>
      <c r="BA653">
        <v>0</v>
      </c>
      <c r="BB653">
        <v>0</v>
      </c>
      <c r="BG653">
        <v>0</v>
      </c>
      <c r="BH653">
        <v>1</v>
      </c>
      <c r="BI653">
        <v>1.6</v>
      </c>
      <c r="BJ653">
        <v>1</v>
      </c>
      <c r="BK653">
        <v>2</v>
      </c>
      <c r="BL653">
        <v>35.979999999999997</v>
      </c>
      <c r="BM653">
        <v>5.4</v>
      </c>
      <c r="BN653">
        <v>41.38</v>
      </c>
      <c r="BO653">
        <v>41.38</v>
      </c>
      <c r="BQ653" t="s">
        <v>78</v>
      </c>
      <c r="BR653" t="s">
        <v>71</v>
      </c>
      <c r="BS653" t="s">
        <v>72</v>
      </c>
      <c r="BY653">
        <v>5242.8</v>
      </c>
      <c r="CC653" t="s">
        <v>65</v>
      </c>
      <c r="CD653">
        <v>1665</v>
      </c>
      <c r="CE653" t="s">
        <v>91</v>
      </c>
      <c r="CI653">
        <v>1</v>
      </c>
      <c r="CJ653" t="s">
        <v>72</v>
      </c>
      <c r="CK653">
        <v>22</v>
      </c>
      <c r="CL653" t="s">
        <v>74</v>
      </c>
    </row>
    <row r="654" spans="1:90" x14ac:dyDescent="0.25">
      <c r="A654" t="s">
        <v>61</v>
      </c>
      <c r="B654" t="s">
        <v>62</v>
      </c>
      <c r="C654" t="s">
        <v>63</v>
      </c>
      <c r="E654" t="str">
        <f>"FES1162745313"</f>
        <v>FES1162745313</v>
      </c>
      <c r="F654" s="1">
        <v>43950</v>
      </c>
      <c r="G654">
        <v>202010</v>
      </c>
      <c r="H654" t="s">
        <v>64</v>
      </c>
      <c r="I654" t="s">
        <v>65</v>
      </c>
      <c r="J654" t="s">
        <v>66</v>
      </c>
      <c r="K654" t="s">
        <v>67</v>
      </c>
      <c r="L654" t="s">
        <v>254</v>
      </c>
      <c r="M654" t="s">
        <v>255</v>
      </c>
      <c r="N654" t="s">
        <v>620</v>
      </c>
      <c r="O654" t="s">
        <v>69</v>
      </c>
      <c r="P654" t="str">
        <f>"2170735288                    "</f>
        <v xml:space="preserve">2170735288                    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4.1900000000000004</v>
      </c>
      <c r="AN654">
        <v>0</v>
      </c>
      <c r="AO654">
        <v>0</v>
      </c>
      <c r="AP654">
        <v>0</v>
      </c>
      <c r="AQ654">
        <v>0</v>
      </c>
      <c r="AR654">
        <v>0</v>
      </c>
      <c r="AS654">
        <v>0</v>
      </c>
      <c r="AT654">
        <v>0</v>
      </c>
      <c r="AU654">
        <v>0</v>
      </c>
      <c r="AV654">
        <v>0</v>
      </c>
      <c r="AW654">
        <v>0</v>
      </c>
      <c r="AX654">
        <v>0</v>
      </c>
      <c r="AY654">
        <v>0</v>
      </c>
      <c r="AZ654">
        <v>0</v>
      </c>
      <c r="BA654">
        <v>0</v>
      </c>
      <c r="BB654">
        <v>0</v>
      </c>
      <c r="BG654">
        <v>0</v>
      </c>
      <c r="BH654">
        <v>1</v>
      </c>
      <c r="BI654">
        <v>1.6</v>
      </c>
      <c r="BJ654">
        <v>1.1000000000000001</v>
      </c>
      <c r="BK654">
        <v>2</v>
      </c>
      <c r="BL654">
        <v>46.06</v>
      </c>
      <c r="BM654">
        <v>6.91</v>
      </c>
      <c r="BN654">
        <v>52.97</v>
      </c>
      <c r="BO654">
        <v>52.97</v>
      </c>
      <c r="BQ654" t="s">
        <v>78</v>
      </c>
      <c r="BR654" t="s">
        <v>71</v>
      </c>
      <c r="BS654" s="1">
        <v>43951</v>
      </c>
      <c r="BT654" s="2">
        <v>0.43055555555555558</v>
      </c>
      <c r="BU654" t="s">
        <v>622</v>
      </c>
      <c r="BV654" t="s">
        <v>80</v>
      </c>
      <c r="BY654">
        <v>5277.48</v>
      </c>
      <c r="CC654" t="s">
        <v>255</v>
      </c>
      <c r="CD654">
        <v>184</v>
      </c>
      <c r="CE654" t="s">
        <v>91</v>
      </c>
      <c r="CF654" s="1">
        <v>43952</v>
      </c>
      <c r="CI654">
        <v>1</v>
      </c>
      <c r="CJ654">
        <v>1</v>
      </c>
      <c r="CK654">
        <v>21</v>
      </c>
      <c r="CL654" t="s">
        <v>74</v>
      </c>
    </row>
    <row r="655" spans="1:90" x14ac:dyDescent="0.25">
      <c r="A655" t="s">
        <v>61</v>
      </c>
      <c r="B655" t="s">
        <v>62</v>
      </c>
      <c r="C655" t="s">
        <v>63</v>
      </c>
      <c r="E655" t="str">
        <f>"FES1162745687"</f>
        <v>FES1162745687</v>
      </c>
      <c r="F655" s="1">
        <v>43950</v>
      </c>
      <c r="G655">
        <v>202010</v>
      </c>
      <c r="H655" t="s">
        <v>64</v>
      </c>
      <c r="I655" t="s">
        <v>65</v>
      </c>
      <c r="J655" t="s">
        <v>66</v>
      </c>
      <c r="K655" t="s">
        <v>67</v>
      </c>
      <c r="L655" t="s">
        <v>151</v>
      </c>
      <c r="M655" t="s">
        <v>152</v>
      </c>
      <c r="N655" t="s">
        <v>585</v>
      </c>
      <c r="O655" t="s">
        <v>69</v>
      </c>
      <c r="P655" t="str">
        <f>"2170736777                    "</f>
        <v xml:space="preserve">2170736777                    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4.1900000000000004</v>
      </c>
      <c r="AN655">
        <v>0</v>
      </c>
      <c r="AO655">
        <v>0</v>
      </c>
      <c r="AP655">
        <v>0</v>
      </c>
      <c r="AQ655">
        <v>0</v>
      </c>
      <c r="AR655">
        <v>0</v>
      </c>
      <c r="AS655">
        <v>0</v>
      </c>
      <c r="AT655">
        <v>0</v>
      </c>
      <c r="AU655">
        <v>0</v>
      </c>
      <c r="AV655">
        <v>0</v>
      </c>
      <c r="AW655">
        <v>0</v>
      </c>
      <c r="AX655">
        <v>0</v>
      </c>
      <c r="AY655">
        <v>0</v>
      </c>
      <c r="AZ655">
        <v>0</v>
      </c>
      <c r="BA655">
        <v>0</v>
      </c>
      <c r="BB655">
        <v>0</v>
      </c>
      <c r="BG655">
        <v>0</v>
      </c>
      <c r="BH655">
        <v>1</v>
      </c>
      <c r="BI655">
        <v>1.8</v>
      </c>
      <c r="BJ655">
        <v>1</v>
      </c>
      <c r="BK655">
        <v>2</v>
      </c>
      <c r="BL655">
        <v>46.06</v>
      </c>
      <c r="BM655">
        <v>6.91</v>
      </c>
      <c r="BN655">
        <v>52.97</v>
      </c>
      <c r="BO655">
        <v>52.97</v>
      </c>
      <c r="BQ655" t="s">
        <v>70</v>
      </c>
      <c r="BR655" t="s">
        <v>71</v>
      </c>
      <c r="BS655" t="s">
        <v>72</v>
      </c>
      <c r="BY655">
        <v>5216.59</v>
      </c>
      <c r="CC655" t="s">
        <v>152</v>
      </c>
      <c r="CD655">
        <v>3212</v>
      </c>
      <c r="CE655" t="s">
        <v>91</v>
      </c>
      <c r="CI655">
        <v>1</v>
      </c>
      <c r="CJ655" t="s">
        <v>72</v>
      </c>
      <c r="CK655">
        <v>21</v>
      </c>
      <c r="CL655" t="s">
        <v>74</v>
      </c>
    </row>
    <row r="656" spans="1:90" x14ac:dyDescent="0.25">
      <c r="A656" t="s">
        <v>61</v>
      </c>
      <c r="B656" t="s">
        <v>62</v>
      </c>
      <c r="C656" t="s">
        <v>63</v>
      </c>
      <c r="E656" t="str">
        <f>"FES1162745649"</f>
        <v>FES1162745649</v>
      </c>
      <c r="F656" s="1">
        <v>43950</v>
      </c>
      <c r="G656">
        <v>202010</v>
      </c>
      <c r="H656" t="s">
        <v>64</v>
      </c>
      <c r="I656" t="s">
        <v>65</v>
      </c>
      <c r="J656" t="s">
        <v>66</v>
      </c>
      <c r="K656" t="s">
        <v>67</v>
      </c>
      <c r="L656" t="s">
        <v>64</v>
      </c>
      <c r="M656" t="s">
        <v>65</v>
      </c>
      <c r="N656" t="s">
        <v>879</v>
      </c>
      <c r="O656" t="s">
        <v>69</v>
      </c>
      <c r="P656" t="str">
        <f>"2170736666                    "</f>
        <v xml:space="preserve">2170736666                    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5.62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0</v>
      </c>
      <c r="AU656">
        <v>0</v>
      </c>
      <c r="AV656">
        <v>0</v>
      </c>
      <c r="AW656">
        <v>0</v>
      </c>
      <c r="AX656">
        <v>0</v>
      </c>
      <c r="AY656">
        <v>0</v>
      </c>
      <c r="AZ656">
        <v>0</v>
      </c>
      <c r="BA656">
        <v>0</v>
      </c>
      <c r="BB656">
        <v>0</v>
      </c>
      <c r="BG656">
        <v>0</v>
      </c>
      <c r="BH656">
        <v>1</v>
      </c>
      <c r="BI656">
        <v>4.5999999999999996</v>
      </c>
      <c r="BJ656">
        <v>1.6</v>
      </c>
      <c r="BK656">
        <v>5</v>
      </c>
      <c r="BL656">
        <v>61.85</v>
      </c>
      <c r="BM656">
        <v>9.2799999999999994</v>
      </c>
      <c r="BN656">
        <v>71.13</v>
      </c>
      <c r="BO656">
        <v>71.13</v>
      </c>
      <c r="BQ656" t="s">
        <v>70</v>
      </c>
      <c r="BR656" t="s">
        <v>71</v>
      </c>
      <c r="BS656" t="s">
        <v>72</v>
      </c>
      <c r="BY656">
        <v>8204.19</v>
      </c>
      <c r="CC656" t="s">
        <v>65</v>
      </c>
      <c r="CD656">
        <v>1665</v>
      </c>
      <c r="CE656" t="s">
        <v>91</v>
      </c>
      <c r="CI656">
        <v>1</v>
      </c>
      <c r="CJ656" t="s">
        <v>72</v>
      </c>
      <c r="CK656">
        <v>22</v>
      </c>
      <c r="CL656" t="s">
        <v>74</v>
      </c>
    </row>
    <row r="657" spans="1:90" x14ac:dyDescent="0.25">
      <c r="A657" t="s">
        <v>61</v>
      </c>
      <c r="B657" t="s">
        <v>62</v>
      </c>
      <c r="C657" t="s">
        <v>63</v>
      </c>
      <c r="E657" t="str">
        <f>"FES1162744185"</f>
        <v>FES1162744185</v>
      </c>
      <c r="F657" s="1">
        <v>43950</v>
      </c>
      <c r="G657">
        <v>202010</v>
      </c>
      <c r="H657" t="s">
        <v>64</v>
      </c>
      <c r="I657" t="s">
        <v>65</v>
      </c>
      <c r="J657" t="s">
        <v>66</v>
      </c>
      <c r="K657" t="s">
        <v>67</v>
      </c>
      <c r="L657" t="s">
        <v>254</v>
      </c>
      <c r="M657" t="s">
        <v>255</v>
      </c>
      <c r="N657" t="s">
        <v>575</v>
      </c>
      <c r="O657" t="s">
        <v>69</v>
      </c>
      <c r="P657" t="str">
        <f>"2170733089                    "</f>
        <v xml:space="preserve">2170733089                    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4.1900000000000004</v>
      </c>
      <c r="AN657">
        <v>0</v>
      </c>
      <c r="AO657">
        <v>0</v>
      </c>
      <c r="AP657">
        <v>0</v>
      </c>
      <c r="AQ657">
        <v>0</v>
      </c>
      <c r="AR657">
        <v>0</v>
      </c>
      <c r="AS657">
        <v>0</v>
      </c>
      <c r="AT657">
        <v>0</v>
      </c>
      <c r="AU657">
        <v>0</v>
      </c>
      <c r="AV657">
        <v>0</v>
      </c>
      <c r="AW657">
        <v>0</v>
      </c>
      <c r="AX657">
        <v>0</v>
      </c>
      <c r="AY657">
        <v>0</v>
      </c>
      <c r="AZ657">
        <v>0</v>
      </c>
      <c r="BA657">
        <v>0</v>
      </c>
      <c r="BB657">
        <v>0</v>
      </c>
      <c r="BG657">
        <v>0</v>
      </c>
      <c r="BH657">
        <v>1</v>
      </c>
      <c r="BI657">
        <v>1</v>
      </c>
      <c r="BJ657">
        <v>0.2</v>
      </c>
      <c r="BK657">
        <v>1</v>
      </c>
      <c r="BL657">
        <v>46.06</v>
      </c>
      <c r="BM657">
        <v>6.91</v>
      </c>
      <c r="BN657">
        <v>52.97</v>
      </c>
      <c r="BO657">
        <v>52.97</v>
      </c>
      <c r="BQ657" t="s">
        <v>70</v>
      </c>
      <c r="BR657" t="s">
        <v>71</v>
      </c>
      <c r="BS657" s="1">
        <v>43951</v>
      </c>
      <c r="BT657" s="2">
        <v>0.52083333333333337</v>
      </c>
      <c r="BU657" t="s">
        <v>880</v>
      </c>
      <c r="BV657" t="s">
        <v>74</v>
      </c>
      <c r="BW657" t="s">
        <v>258</v>
      </c>
      <c r="BX657" t="s">
        <v>259</v>
      </c>
      <c r="BY657">
        <v>1200</v>
      </c>
      <c r="CA657" t="s">
        <v>542</v>
      </c>
      <c r="CC657" t="s">
        <v>255</v>
      </c>
      <c r="CD657">
        <v>1</v>
      </c>
      <c r="CE657" t="s">
        <v>73</v>
      </c>
      <c r="CF657" s="1">
        <v>43952</v>
      </c>
      <c r="CI657">
        <v>1</v>
      </c>
      <c r="CJ657">
        <v>1</v>
      </c>
      <c r="CK657">
        <v>21</v>
      </c>
      <c r="CL657" t="s">
        <v>74</v>
      </c>
    </row>
    <row r="658" spans="1:90" x14ac:dyDescent="0.25">
      <c r="A658" t="s">
        <v>61</v>
      </c>
      <c r="B658" t="s">
        <v>62</v>
      </c>
      <c r="C658" t="s">
        <v>63</v>
      </c>
      <c r="E658" t="str">
        <f>"FES1162745286"</f>
        <v>FES1162745286</v>
      </c>
      <c r="F658" s="1">
        <v>43944</v>
      </c>
      <c r="G658">
        <v>202010</v>
      </c>
      <c r="H658" t="s">
        <v>64</v>
      </c>
      <c r="I658" t="s">
        <v>65</v>
      </c>
      <c r="J658" t="s">
        <v>66</v>
      </c>
      <c r="K658" t="s">
        <v>67</v>
      </c>
      <c r="L658" t="s">
        <v>104</v>
      </c>
      <c r="M658" t="s">
        <v>105</v>
      </c>
      <c r="N658" t="s">
        <v>881</v>
      </c>
      <c r="O658" t="s">
        <v>69</v>
      </c>
      <c r="P658" t="str">
        <f>"2170736349                    "</f>
        <v xml:space="preserve">2170736349                    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5.89</v>
      </c>
      <c r="AN658">
        <v>0</v>
      </c>
      <c r="AO658">
        <v>0</v>
      </c>
      <c r="AP658">
        <v>0</v>
      </c>
      <c r="AQ658">
        <v>0</v>
      </c>
      <c r="AR658">
        <v>0</v>
      </c>
      <c r="AS658">
        <v>0</v>
      </c>
      <c r="AT658">
        <v>0</v>
      </c>
      <c r="AU658">
        <v>0</v>
      </c>
      <c r="AV658">
        <v>0</v>
      </c>
      <c r="AW658">
        <v>0</v>
      </c>
      <c r="AX658">
        <v>0</v>
      </c>
      <c r="AY658">
        <v>0</v>
      </c>
      <c r="AZ658">
        <v>0</v>
      </c>
      <c r="BA658">
        <v>0</v>
      </c>
      <c r="BB658">
        <v>0</v>
      </c>
      <c r="BG658">
        <v>0</v>
      </c>
      <c r="BH658">
        <v>1</v>
      </c>
      <c r="BI658">
        <v>1</v>
      </c>
      <c r="BJ658">
        <v>0.2</v>
      </c>
      <c r="BK658">
        <v>1</v>
      </c>
      <c r="BL658">
        <v>64.77</v>
      </c>
      <c r="BM658">
        <v>9.7200000000000006</v>
      </c>
      <c r="BN658">
        <v>74.489999999999995</v>
      </c>
      <c r="BO658">
        <v>74.489999999999995</v>
      </c>
      <c r="BQ658" t="s">
        <v>78</v>
      </c>
      <c r="BR658" t="s">
        <v>71</v>
      </c>
      <c r="BS658" s="1">
        <v>43945</v>
      </c>
      <c r="BT658" s="2">
        <v>0.375</v>
      </c>
      <c r="BU658" t="s">
        <v>882</v>
      </c>
      <c r="BV658" t="s">
        <v>80</v>
      </c>
      <c r="BY658">
        <v>1200</v>
      </c>
      <c r="CC658" t="s">
        <v>105</v>
      </c>
      <c r="CD658">
        <v>1759</v>
      </c>
      <c r="CE658" t="s">
        <v>73</v>
      </c>
      <c r="CF658" s="1">
        <v>43949</v>
      </c>
      <c r="CI658">
        <v>1</v>
      </c>
      <c r="CJ658">
        <v>1</v>
      </c>
      <c r="CK658">
        <v>24</v>
      </c>
      <c r="CL658" t="s">
        <v>74</v>
      </c>
    </row>
    <row r="659" spans="1:90" x14ac:dyDescent="0.25">
      <c r="A659" t="s">
        <v>61</v>
      </c>
      <c r="B659" t="s">
        <v>62</v>
      </c>
      <c r="C659" t="s">
        <v>63</v>
      </c>
      <c r="E659" t="str">
        <f>"FES1162745224"</f>
        <v>FES1162745224</v>
      </c>
      <c r="F659" s="1">
        <v>43944</v>
      </c>
      <c r="G659">
        <v>202010</v>
      </c>
      <c r="H659" t="s">
        <v>64</v>
      </c>
      <c r="I659" t="s">
        <v>65</v>
      </c>
      <c r="J659" t="s">
        <v>66</v>
      </c>
      <c r="K659" t="s">
        <v>67</v>
      </c>
      <c r="L659" t="s">
        <v>146</v>
      </c>
      <c r="M659" t="s">
        <v>147</v>
      </c>
      <c r="N659" t="s">
        <v>173</v>
      </c>
      <c r="O659" t="s">
        <v>69</v>
      </c>
      <c r="P659" t="str">
        <f>"2170736372                    "</f>
        <v xml:space="preserve">2170736372                    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4.1900000000000004</v>
      </c>
      <c r="AN659">
        <v>0</v>
      </c>
      <c r="AO659">
        <v>0</v>
      </c>
      <c r="AP659">
        <v>0</v>
      </c>
      <c r="AQ659">
        <v>0</v>
      </c>
      <c r="AR659">
        <v>0</v>
      </c>
      <c r="AS659">
        <v>0</v>
      </c>
      <c r="AT659">
        <v>0</v>
      </c>
      <c r="AU659">
        <v>0</v>
      </c>
      <c r="AV659">
        <v>0</v>
      </c>
      <c r="AW659">
        <v>0</v>
      </c>
      <c r="AX659">
        <v>0</v>
      </c>
      <c r="AY659">
        <v>0</v>
      </c>
      <c r="AZ659">
        <v>0</v>
      </c>
      <c r="BA659">
        <v>0</v>
      </c>
      <c r="BB659">
        <v>0</v>
      </c>
      <c r="BG659">
        <v>0</v>
      </c>
      <c r="BH659">
        <v>1</v>
      </c>
      <c r="BI659">
        <v>1.4</v>
      </c>
      <c r="BJ659">
        <v>1</v>
      </c>
      <c r="BK659">
        <v>1.5</v>
      </c>
      <c r="BL659">
        <v>46.06</v>
      </c>
      <c r="BM659">
        <v>6.91</v>
      </c>
      <c r="BN659">
        <v>52.97</v>
      </c>
      <c r="BO659">
        <v>52.97</v>
      </c>
      <c r="BQ659" t="s">
        <v>70</v>
      </c>
      <c r="BR659" t="s">
        <v>71</v>
      </c>
      <c r="BS659" s="1">
        <v>43949</v>
      </c>
      <c r="BT659" s="2">
        <v>0.375</v>
      </c>
      <c r="BU659" t="s">
        <v>883</v>
      </c>
      <c r="BV659" t="s">
        <v>74</v>
      </c>
      <c r="BW659" t="s">
        <v>96</v>
      </c>
      <c r="BX659" t="s">
        <v>339</v>
      </c>
      <c r="BY659">
        <v>4847.28</v>
      </c>
      <c r="CC659" t="s">
        <v>147</v>
      </c>
      <c r="CD659">
        <v>6001</v>
      </c>
      <c r="CE659" t="s">
        <v>91</v>
      </c>
      <c r="CF659" s="1">
        <v>43951</v>
      </c>
      <c r="CI659">
        <v>1</v>
      </c>
      <c r="CJ659">
        <v>3</v>
      </c>
      <c r="CK659">
        <v>21</v>
      </c>
      <c r="CL659" t="s">
        <v>74</v>
      </c>
    </row>
    <row r="660" spans="1:90" x14ac:dyDescent="0.25">
      <c r="A660" t="s">
        <v>61</v>
      </c>
      <c r="B660" t="s">
        <v>62</v>
      </c>
      <c r="C660" t="s">
        <v>63</v>
      </c>
      <c r="E660" t="str">
        <f>"FES1162745357"</f>
        <v>FES1162745357</v>
      </c>
      <c r="F660" s="1">
        <v>43944</v>
      </c>
      <c r="G660">
        <v>202010</v>
      </c>
      <c r="H660" t="s">
        <v>64</v>
      </c>
      <c r="I660" t="s">
        <v>65</v>
      </c>
      <c r="J660" t="s">
        <v>66</v>
      </c>
      <c r="K660" t="s">
        <v>67</v>
      </c>
      <c r="L660" t="s">
        <v>92</v>
      </c>
      <c r="M660" t="s">
        <v>93</v>
      </c>
      <c r="N660" t="s">
        <v>94</v>
      </c>
      <c r="O660" t="s">
        <v>69</v>
      </c>
      <c r="P660" t="str">
        <f>"2170736240                    "</f>
        <v xml:space="preserve">2170736240                    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4.1900000000000004</v>
      </c>
      <c r="AN660">
        <v>0</v>
      </c>
      <c r="AO660">
        <v>0</v>
      </c>
      <c r="AP660">
        <v>0</v>
      </c>
      <c r="AQ660">
        <v>0</v>
      </c>
      <c r="AR660">
        <v>0</v>
      </c>
      <c r="AS660">
        <v>0</v>
      </c>
      <c r="AT660">
        <v>0</v>
      </c>
      <c r="AU660">
        <v>0</v>
      </c>
      <c r="AV660">
        <v>0</v>
      </c>
      <c r="AW660">
        <v>0</v>
      </c>
      <c r="AX660">
        <v>0</v>
      </c>
      <c r="AY660">
        <v>0</v>
      </c>
      <c r="AZ660">
        <v>0</v>
      </c>
      <c r="BA660">
        <v>0</v>
      </c>
      <c r="BB660">
        <v>0</v>
      </c>
      <c r="BG660">
        <v>0</v>
      </c>
      <c r="BH660">
        <v>1</v>
      </c>
      <c r="BI660">
        <v>0.6</v>
      </c>
      <c r="BJ660">
        <v>1.4</v>
      </c>
      <c r="BK660">
        <v>1.5</v>
      </c>
      <c r="BL660">
        <v>46.06</v>
      </c>
      <c r="BM660">
        <v>6.91</v>
      </c>
      <c r="BN660">
        <v>52.97</v>
      </c>
      <c r="BO660">
        <v>52.97</v>
      </c>
      <c r="BQ660" t="s">
        <v>70</v>
      </c>
      <c r="BR660" t="s">
        <v>71</v>
      </c>
      <c r="BS660" s="1">
        <v>43945</v>
      </c>
      <c r="BT660" s="2">
        <v>0.55208333333333337</v>
      </c>
      <c r="BU660" t="s">
        <v>304</v>
      </c>
      <c r="BV660" t="s">
        <v>74</v>
      </c>
      <c r="BW660" t="s">
        <v>96</v>
      </c>
      <c r="BX660" t="s">
        <v>97</v>
      </c>
      <c r="BY660">
        <v>6971.18</v>
      </c>
      <c r="CA660" t="s">
        <v>164</v>
      </c>
      <c r="CC660" t="s">
        <v>93</v>
      </c>
      <c r="CD660">
        <v>7441</v>
      </c>
      <c r="CE660" t="s">
        <v>73</v>
      </c>
      <c r="CF660" s="1">
        <v>43949</v>
      </c>
      <c r="CI660">
        <v>1</v>
      </c>
      <c r="CJ660">
        <v>1</v>
      </c>
      <c r="CK660">
        <v>21</v>
      </c>
      <c r="CL660" t="s">
        <v>74</v>
      </c>
    </row>
    <row r="661" spans="1:90" x14ac:dyDescent="0.25">
      <c r="A661" t="s">
        <v>61</v>
      </c>
      <c r="B661" t="s">
        <v>62</v>
      </c>
      <c r="C661" t="s">
        <v>63</v>
      </c>
      <c r="E661" t="str">
        <f>"FES1162745274"</f>
        <v>FES1162745274</v>
      </c>
      <c r="F661" s="1">
        <v>43944</v>
      </c>
      <c r="G661">
        <v>202010</v>
      </c>
      <c r="H661" t="s">
        <v>64</v>
      </c>
      <c r="I661" t="s">
        <v>65</v>
      </c>
      <c r="J661" t="s">
        <v>66</v>
      </c>
      <c r="K661" t="s">
        <v>67</v>
      </c>
      <c r="L661" t="s">
        <v>270</v>
      </c>
      <c r="M661" t="s">
        <v>271</v>
      </c>
      <c r="N661" t="s">
        <v>884</v>
      </c>
      <c r="O661" t="s">
        <v>69</v>
      </c>
      <c r="P661" t="str">
        <f>"2170734581                    "</f>
        <v xml:space="preserve">2170734581                    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3.27</v>
      </c>
      <c r="AN661">
        <v>0</v>
      </c>
      <c r="AO661">
        <v>0</v>
      </c>
      <c r="AP661">
        <v>0</v>
      </c>
      <c r="AQ661">
        <v>0</v>
      </c>
      <c r="AR661">
        <v>0</v>
      </c>
      <c r="AS661">
        <v>0</v>
      </c>
      <c r="AT661">
        <v>0</v>
      </c>
      <c r="AU661">
        <v>0</v>
      </c>
      <c r="AV661">
        <v>0</v>
      </c>
      <c r="AW661">
        <v>0</v>
      </c>
      <c r="AX661">
        <v>0</v>
      </c>
      <c r="AY661">
        <v>0</v>
      </c>
      <c r="AZ661">
        <v>0</v>
      </c>
      <c r="BA661">
        <v>0</v>
      </c>
      <c r="BB661">
        <v>0</v>
      </c>
      <c r="BG661">
        <v>0</v>
      </c>
      <c r="BH661">
        <v>1</v>
      </c>
      <c r="BI661">
        <v>1</v>
      </c>
      <c r="BJ661">
        <v>0.2</v>
      </c>
      <c r="BK661">
        <v>1</v>
      </c>
      <c r="BL661">
        <v>35.979999999999997</v>
      </c>
      <c r="BM661">
        <v>5.4</v>
      </c>
      <c r="BN661">
        <v>41.38</v>
      </c>
      <c r="BO661">
        <v>41.38</v>
      </c>
      <c r="BQ661" t="s">
        <v>78</v>
      </c>
      <c r="BR661" t="s">
        <v>71</v>
      </c>
      <c r="BS661" t="s">
        <v>72</v>
      </c>
      <c r="BY661">
        <v>1200</v>
      </c>
      <c r="CC661" t="s">
        <v>271</v>
      </c>
      <c r="CD661">
        <v>2000</v>
      </c>
      <c r="CE661" t="s">
        <v>73</v>
      </c>
      <c r="CI661">
        <v>1</v>
      </c>
      <c r="CJ661" t="s">
        <v>72</v>
      </c>
      <c r="CK661">
        <v>22</v>
      </c>
      <c r="CL661" t="s">
        <v>74</v>
      </c>
    </row>
    <row r="662" spans="1:90" x14ac:dyDescent="0.25">
      <c r="A662" t="s">
        <v>61</v>
      </c>
      <c r="B662" t="s">
        <v>62</v>
      </c>
      <c r="C662" t="s">
        <v>63</v>
      </c>
      <c r="E662" t="str">
        <f>"FES1162745221"</f>
        <v>FES1162745221</v>
      </c>
      <c r="F662" s="1">
        <v>43944</v>
      </c>
      <c r="G662">
        <v>202010</v>
      </c>
      <c r="H662" t="s">
        <v>64</v>
      </c>
      <c r="I662" t="s">
        <v>65</v>
      </c>
      <c r="J662" t="s">
        <v>66</v>
      </c>
      <c r="K662" t="s">
        <v>67</v>
      </c>
      <c r="L662" t="s">
        <v>146</v>
      </c>
      <c r="M662" t="s">
        <v>147</v>
      </c>
      <c r="N662" t="s">
        <v>173</v>
      </c>
      <c r="O662" t="s">
        <v>69</v>
      </c>
      <c r="P662" t="str">
        <f>"2170736158                    "</f>
        <v xml:space="preserve">2170736158                    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5.23</v>
      </c>
      <c r="AN662">
        <v>0</v>
      </c>
      <c r="AO662">
        <v>0</v>
      </c>
      <c r="AP662">
        <v>0</v>
      </c>
      <c r="AQ662">
        <v>0</v>
      </c>
      <c r="AR662">
        <v>0</v>
      </c>
      <c r="AS662">
        <v>0</v>
      </c>
      <c r="AT662">
        <v>0</v>
      </c>
      <c r="AU662">
        <v>0</v>
      </c>
      <c r="AV662">
        <v>0</v>
      </c>
      <c r="AW662">
        <v>0</v>
      </c>
      <c r="AX662">
        <v>0</v>
      </c>
      <c r="AY662">
        <v>0</v>
      </c>
      <c r="AZ662">
        <v>0</v>
      </c>
      <c r="BA662">
        <v>0</v>
      </c>
      <c r="BB662">
        <v>0</v>
      </c>
      <c r="BG662">
        <v>0</v>
      </c>
      <c r="BH662">
        <v>1</v>
      </c>
      <c r="BI662">
        <v>0.5</v>
      </c>
      <c r="BJ662">
        <v>2.2000000000000002</v>
      </c>
      <c r="BK662">
        <v>2.5</v>
      </c>
      <c r="BL662">
        <v>57.56</v>
      </c>
      <c r="BM662">
        <v>8.6300000000000008</v>
      </c>
      <c r="BN662">
        <v>66.19</v>
      </c>
      <c r="BO662">
        <v>66.19</v>
      </c>
      <c r="BQ662" t="s">
        <v>70</v>
      </c>
      <c r="BR662" t="s">
        <v>71</v>
      </c>
      <c r="BS662" s="1">
        <v>43949</v>
      </c>
      <c r="BT662" s="2">
        <v>0.70347222222222217</v>
      </c>
      <c r="BU662" t="s">
        <v>883</v>
      </c>
      <c r="BV662" t="s">
        <v>74</v>
      </c>
      <c r="BW662" t="s">
        <v>96</v>
      </c>
      <c r="BX662" t="s">
        <v>339</v>
      </c>
      <c r="BY662">
        <v>10821.41</v>
      </c>
      <c r="CA662" t="s">
        <v>827</v>
      </c>
      <c r="CC662" t="s">
        <v>147</v>
      </c>
      <c r="CD662">
        <v>6001</v>
      </c>
      <c r="CE662" t="s">
        <v>73</v>
      </c>
      <c r="CF662" s="1">
        <v>43951</v>
      </c>
      <c r="CI662">
        <v>1</v>
      </c>
      <c r="CJ662">
        <v>3</v>
      </c>
      <c r="CK662">
        <v>21</v>
      </c>
      <c r="CL662" t="s">
        <v>74</v>
      </c>
    </row>
    <row r="663" spans="1:90" x14ac:dyDescent="0.25">
      <c r="A663" t="s">
        <v>61</v>
      </c>
      <c r="B663" t="s">
        <v>62</v>
      </c>
      <c r="C663" t="s">
        <v>63</v>
      </c>
      <c r="E663" t="str">
        <f>"FES1162745360"</f>
        <v>FES1162745360</v>
      </c>
      <c r="F663" s="1">
        <v>43944</v>
      </c>
      <c r="G663">
        <v>202010</v>
      </c>
      <c r="H663" t="s">
        <v>64</v>
      </c>
      <c r="I663" t="s">
        <v>65</v>
      </c>
      <c r="J663" t="s">
        <v>66</v>
      </c>
      <c r="K663" t="s">
        <v>67</v>
      </c>
      <c r="L663" t="s">
        <v>120</v>
      </c>
      <c r="M663" t="s">
        <v>121</v>
      </c>
      <c r="N663" t="s">
        <v>278</v>
      </c>
      <c r="O663" t="s">
        <v>69</v>
      </c>
      <c r="P663" t="str">
        <f>"2170736359                    "</f>
        <v xml:space="preserve">2170736359                    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7.33</v>
      </c>
      <c r="AN663">
        <v>0</v>
      </c>
      <c r="AO663">
        <v>0</v>
      </c>
      <c r="AP663">
        <v>0</v>
      </c>
      <c r="AQ663">
        <v>0</v>
      </c>
      <c r="AR663">
        <v>0</v>
      </c>
      <c r="AS663">
        <v>0</v>
      </c>
      <c r="AT663">
        <v>0</v>
      </c>
      <c r="AU663">
        <v>0</v>
      </c>
      <c r="AV663">
        <v>0</v>
      </c>
      <c r="AW663">
        <v>0</v>
      </c>
      <c r="AX663">
        <v>0</v>
      </c>
      <c r="AY663">
        <v>0</v>
      </c>
      <c r="AZ663">
        <v>0</v>
      </c>
      <c r="BA663">
        <v>0</v>
      </c>
      <c r="BB663">
        <v>0</v>
      </c>
      <c r="BG663">
        <v>0</v>
      </c>
      <c r="BH663">
        <v>1</v>
      </c>
      <c r="BI663">
        <v>3.3</v>
      </c>
      <c r="BJ663">
        <v>1.6</v>
      </c>
      <c r="BK663">
        <v>3.5</v>
      </c>
      <c r="BL663">
        <v>80.58</v>
      </c>
      <c r="BM663">
        <v>12.09</v>
      </c>
      <c r="BN663">
        <v>92.67</v>
      </c>
      <c r="BO663">
        <v>92.67</v>
      </c>
      <c r="BQ663" t="s">
        <v>70</v>
      </c>
      <c r="BR663" t="s">
        <v>71</v>
      </c>
      <c r="BS663" s="1">
        <v>43945</v>
      </c>
      <c r="BT663" s="2">
        <v>0.44513888888888892</v>
      </c>
      <c r="BU663" t="s">
        <v>885</v>
      </c>
      <c r="BV663" t="s">
        <v>74</v>
      </c>
      <c r="BW663" t="s">
        <v>85</v>
      </c>
      <c r="BX663" t="s">
        <v>128</v>
      </c>
      <c r="BY663">
        <v>8196.16</v>
      </c>
      <c r="CA663" t="s">
        <v>627</v>
      </c>
      <c r="CC663" t="s">
        <v>121</v>
      </c>
      <c r="CD663">
        <v>4001</v>
      </c>
      <c r="CE663" t="s">
        <v>91</v>
      </c>
      <c r="CF663" s="1">
        <v>43949</v>
      </c>
      <c r="CI663">
        <v>1</v>
      </c>
      <c r="CJ663">
        <v>1</v>
      </c>
      <c r="CK663">
        <v>21</v>
      </c>
      <c r="CL663" t="s">
        <v>74</v>
      </c>
    </row>
    <row r="664" spans="1:90" x14ac:dyDescent="0.25">
      <c r="A664" t="s">
        <v>61</v>
      </c>
      <c r="B664" t="s">
        <v>62</v>
      </c>
      <c r="C664" t="s">
        <v>63</v>
      </c>
      <c r="E664" t="str">
        <f>"FES1162745282"</f>
        <v>FES1162745282</v>
      </c>
      <c r="F664" s="1">
        <v>43944</v>
      </c>
      <c r="G664">
        <v>202010</v>
      </c>
      <c r="H664" t="s">
        <v>64</v>
      </c>
      <c r="I664" t="s">
        <v>65</v>
      </c>
      <c r="J664" t="s">
        <v>66</v>
      </c>
      <c r="K664" t="s">
        <v>67</v>
      </c>
      <c r="L664" t="s">
        <v>151</v>
      </c>
      <c r="M664" t="s">
        <v>152</v>
      </c>
      <c r="N664" t="s">
        <v>280</v>
      </c>
      <c r="O664" t="s">
        <v>69</v>
      </c>
      <c r="P664" t="str">
        <f>"2170736266                    "</f>
        <v xml:space="preserve">2170736266                    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4.1900000000000004</v>
      </c>
      <c r="AN664">
        <v>0</v>
      </c>
      <c r="AO664">
        <v>0</v>
      </c>
      <c r="AP664">
        <v>0</v>
      </c>
      <c r="AQ664">
        <v>0</v>
      </c>
      <c r="AR664">
        <v>0</v>
      </c>
      <c r="AS664">
        <v>0</v>
      </c>
      <c r="AT664">
        <v>0</v>
      </c>
      <c r="AU664">
        <v>0</v>
      </c>
      <c r="AV664">
        <v>0</v>
      </c>
      <c r="AW664">
        <v>0</v>
      </c>
      <c r="AX664">
        <v>0</v>
      </c>
      <c r="AY664">
        <v>0</v>
      </c>
      <c r="AZ664">
        <v>0</v>
      </c>
      <c r="BA664">
        <v>0</v>
      </c>
      <c r="BB664">
        <v>0</v>
      </c>
      <c r="BG664">
        <v>0</v>
      </c>
      <c r="BH664">
        <v>1</v>
      </c>
      <c r="BI664">
        <v>2</v>
      </c>
      <c r="BJ664">
        <v>0.9</v>
      </c>
      <c r="BK664">
        <v>2</v>
      </c>
      <c r="BL664">
        <v>46.06</v>
      </c>
      <c r="BM664">
        <v>6.91</v>
      </c>
      <c r="BN664">
        <v>52.97</v>
      </c>
      <c r="BO664">
        <v>52.97</v>
      </c>
      <c r="BQ664" t="s">
        <v>78</v>
      </c>
      <c r="BR664" t="s">
        <v>71</v>
      </c>
      <c r="BS664" s="1">
        <v>43946</v>
      </c>
      <c r="BT664" s="2">
        <v>0.4548611111111111</v>
      </c>
      <c r="BU664" t="s">
        <v>886</v>
      </c>
      <c r="BV664" t="s">
        <v>74</v>
      </c>
      <c r="BY664">
        <v>4369.68</v>
      </c>
      <c r="CC664" t="s">
        <v>152</v>
      </c>
      <c r="CD664">
        <v>3699</v>
      </c>
      <c r="CE664" t="s">
        <v>91</v>
      </c>
      <c r="CF664" s="1">
        <v>43949</v>
      </c>
      <c r="CI664">
        <v>1</v>
      </c>
      <c r="CJ664">
        <v>1</v>
      </c>
      <c r="CK664">
        <v>21</v>
      </c>
      <c r="CL664" t="s">
        <v>74</v>
      </c>
    </row>
    <row r="665" spans="1:90" x14ac:dyDescent="0.25">
      <c r="A665" t="s">
        <v>61</v>
      </c>
      <c r="B665" t="s">
        <v>62</v>
      </c>
      <c r="C665" t="s">
        <v>63</v>
      </c>
      <c r="E665" t="str">
        <f>"FES1162745400"</f>
        <v>FES1162745400</v>
      </c>
      <c r="F665" s="1">
        <v>43944</v>
      </c>
      <c r="G665">
        <v>202010</v>
      </c>
      <c r="H665" t="s">
        <v>64</v>
      </c>
      <c r="I665" t="s">
        <v>65</v>
      </c>
      <c r="J665" t="s">
        <v>66</v>
      </c>
      <c r="K665" t="s">
        <v>67</v>
      </c>
      <c r="L665" t="s">
        <v>151</v>
      </c>
      <c r="M665" t="s">
        <v>152</v>
      </c>
      <c r="N665" t="s">
        <v>153</v>
      </c>
      <c r="O665" t="s">
        <v>69</v>
      </c>
      <c r="P665" t="str">
        <f>"2170736553                    "</f>
        <v xml:space="preserve">2170736553                    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9.42</v>
      </c>
      <c r="AN665">
        <v>0</v>
      </c>
      <c r="AO665">
        <v>0</v>
      </c>
      <c r="AP665">
        <v>0</v>
      </c>
      <c r="AQ665">
        <v>0</v>
      </c>
      <c r="AR665">
        <v>0</v>
      </c>
      <c r="AS665">
        <v>0</v>
      </c>
      <c r="AT665">
        <v>0</v>
      </c>
      <c r="AU665">
        <v>0</v>
      </c>
      <c r="AV665">
        <v>0</v>
      </c>
      <c r="AW665">
        <v>0</v>
      </c>
      <c r="AX665">
        <v>0</v>
      </c>
      <c r="AY665">
        <v>0</v>
      </c>
      <c r="AZ665">
        <v>0</v>
      </c>
      <c r="BA665">
        <v>0</v>
      </c>
      <c r="BB665">
        <v>0</v>
      </c>
      <c r="BG665">
        <v>0</v>
      </c>
      <c r="BH665">
        <v>1</v>
      </c>
      <c r="BI665">
        <v>4.0999999999999996</v>
      </c>
      <c r="BJ665">
        <v>3.1</v>
      </c>
      <c r="BK665">
        <v>4.5</v>
      </c>
      <c r="BL665">
        <v>103.59</v>
      </c>
      <c r="BM665">
        <v>15.54</v>
      </c>
      <c r="BN665">
        <v>119.13</v>
      </c>
      <c r="BO665">
        <v>119.13</v>
      </c>
      <c r="BQ665" t="s">
        <v>78</v>
      </c>
      <c r="BR665" t="s">
        <v>71</v>
      </c>
      <c r="BS665" s="1">
        <v>43946</v>
      </c>
      <c r="BT665" s="2">
        <v>0.5</v>
      </c>
      <c r="BU665" t="s">
        <v>261</v>
      </c>
      <c r="BV665" t="s">
        <v>74</v>
      </c>
      <c r="BY665">
        <v>15581.62</v>
      </c>
      <c r="CC665" t="s">
        <v>152</v>
      </c>
      <c r="CD665">
        <v>3699</v>
      </c>
      <c r="CE665" t="s">
        <v>91</v>
      </c>
      <c r="CF665" s="1">
        <v>43949</v>
      </c>
      <c r="CI665">
        <v>1</v>
      </c>
      <c r="CJ665">
        <v>1</v>
      </c>
      <c r="CK665">
        <v>21</v>
      </c>
      <c r="CL665" t="s">
        <v>74</v>
      </c>
    </row>
    <row r="666" spans="1:90" x14ac:dyDescent="0.25">
      <c r="A666" t="s">
        <v>61</v>
      </c>
      <c r="B666" t="s">
        <v>62</v>
      </c>
      <c r="C666" t="s">
        <v>63</v>
      </c>
      <c r="E666" t="str">
        <f>"FES1162745273"</f>
        <v>FES1162745273</v>
      </c>
      <c r="F666" s="1">
        <v>43944</v>
      </c>
      <c r="G666">
        <v>202010</v>
      </c>
      <c r="H666" t="s">
        <v>64</v>
      </c>
      <c r="I666" t="s">
        <v>65</v>
      </c>
      <c r="J666" t="s">
        <v>66</v>
      </c>
      <c r="K666" t="s">
        <v>67</v>
      </c>
      <c r="L666" t="s">
        <v>120</v>
      </c>
      <c r="M666" t="s">
        <v>121</v>
      </c>
      <c r="N666" t="s">
        <v>716</v>
      </c>
      <c r="O666" t="s">
        <v>69</v>
      </c>
      <c r="P666" t="str">
        <f>"2170734433                    "</f>
        <v xml:space="preserve">2170734433                    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4.1900000000000004</v>
      </c>
      <c r="AN666">
        <v>0</v>
      </c>
      <c r="AO666">
        <v>0</v>
      </c>
      <c r="AP666">
        <v>0</v>
      </c>
      <c r="AQ666">
        <v>0</v>
      </c>
      <c r="AR666">
        <v>0</v>
      </c>
      <c r="AS666">
        <v>0</v>
      </c>
      <c r="AT666">
        <v>0</v>
      </c>
      <c r="AU666">
        <v>0</v>
      </c>
      <c r="AV666">
        <v>0</v>
      </c>
      <c r="AW666">
        <v>0</v>
      </c>
      <c r="AX666">
        <v>0</v>
      </c>
      <c r="AY666">
        <v>0</v>
      </c>
      <c r="AZ666">
        <v>0</v>
      </c>
      <c r="BA666">
        <v>0</v>
      </c>
      <c r="BB666">
        <v>0</v>
      </c>
      <c r="BG666">
        <v>0</v>
      </c>
      <c r="BH666">
        <v>1</v>
      </c>
      <c r="BI666">
        <v>1</v>
      </c>
      <c r="BJ666">
        <v>0.2</v>
      </c>
      <c r="BK666">
        <v>1</v>
      </c>
      <c r="BL666">
        <v>46.06</v>
      </c>
      <c r="BM666">
        <v>6.91</v>
      </c>
      <c r="BN666">
        <v>52.97</v>
      </c>
      <c r="BO666">
        <v>52.97</v>
      </c>
      <c r="BQ666" t="s">
        <v>70</v>
      </c>
      <c r="BR666" t="s">
        <v>71</v>
      </c>
      <c r="BS666" s="1">
        <v>43945</v>
      </c>
      <c r="BT666" s="2">
        <v>0.54166666666666663</v>
      </c>
      <c r="BU666" t="s">
        <v>887</v>
      </c>
      <c r="BV666" t="s">
        <v>74</v>
      </c>
      <c r="BW666" t="s">
        <v>85</v>
      </c>
      <c r="BX666" t="s">
        <v>128</v>
      </c>
      <c r="BY666">
        <v>1200</v>
      </c>
      <c r="CC666" t="s">
        <v>121</v>
      </c>
      <c r="CD666">
        <v>4001</v>
      </c>
      <c r="CE666" t="s">
        <v>73</v>
      </c>
      <c r="CF666" s="1">
        <v>43949</v>
      </c>
      <c r="CI666">
        <v>1</v>
      </c>
      <c r="CJ666">
        <v>1</v>
      </c>
      <c r="CK666">
        <v>21</v>
      </c>
      <c r="CL666" t="s">
        <v>74</v>
      </c>
    </row>
    <row r="667" spans="1:90" x14ac:dyDescent="0.25">
      <c r="A667" t="s">
        <v>61</v>
      </c>
      <c r="B667" t="s">
        <v>62</v>
      </c>
      <c r="C667" t="s">
        <v>63</v>
      </c>
      <c r="E667" t="str">
        <f>"FES1162745271"</f>
        <v>FES1162745271</v>
      </c>
      <c r="F667" s="1">
        <v>43944</v>
      </c>
      <c r="G667">
        <v>202010</v>
      </c>
      <c r="H667" t="s">
        <v>64</v>
      </c>
      <c r="I667" t="s">
        <v>65</v>
      </c>
      <c r="J667" t="s">
        <v>66</v>
      </c>
      <c r="K667" t="s">
        <v>67</v>
      </c>
      <c r="L667" t="s">
        <v>199</v>
      </c>
      <c r="M667" t="s">
        <v>200</v>
      </c>
      <c r="N667" t="s">
        <v>847</v>
      </c>
      <c r="O667" t="s">
        <v>69</v>
      </c>
      <c r="P667" t="str">
        <f>"2170733926                    "</f>
        <v xml:space="preserve">2170733926                    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3.27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0</v>
      </c>
      <c r="AU667">
        <v>0</v>
      </c>
      <c r="AV667">
        <v>0</v>
      </c>
      <c r="AW667">
        <v>0</v>
      </c>
      <c r="AX667">
        <v>0</v>
      </c>
      <c r="AY667">
        <v>0</v>
      </c>
      <c r="AZ667">
        <v>0</v>
      </c>
      <c r="BA667">
        <v>0</v>
      </c>
      <c r="BB667">
        <v>0</v>
      </c>
      <c r="BG667">
        <v>0</v>
      </c>
      <c r="BH667">
        <v>1</v>
      </c>
      <c r="BI667">
        <v>1</v>
      </c>
      <c r="BJ667">
        <v>0.2</v>
      </c>
      <c r="BK667">
        <v>1</v>
      </c>
      <c r="BL667">
        <v>35.979999999999997</v>
      </c>
      <c r="BM667">
        <v>5.4</v>
      </c>
      <c r="BN667">
        <v>41.38</v>
      </c>
      <c r="BO667">
        <v>41.38</v>
      </c>
      <c r="BQ667" t="s">
        <v>848</v>
      </c>
      <c r="BR667" t="s">
        <v>71</v>
      </c>
      <c r="BS667" s="1">
        <v>43945</v>
      </c>
      <c r="BT667" s="2">
        <v>0.4465277777777778</v>
      </c>
      <c r="BU667" t="s">
        <v>888</v>
      </c>
      <c r="BV667" t="s">
        <v>80</v>
      </c>
      <c r="BY667">
        <v>1200</v>
      </c>
      <c r="CA667" t="s">
        <v>437</v>
      </c>
      <c r="CC667" t="s">
        <v>200</v>
      </c>
      <c r="CD667">
        <v>1559</v>
      </c>
      <c r="CE667" t="s">
        <v>73</v>
      </c>
      <c r="CF667" s="1">
        <v>43949</v>
      </c>
      <c r="CI667">
        <v>1</v>
      </c>
      <c r="CJ667">
        <v>1</v>
      </c>
      <c r="CK667">
        <v>22</v>
      </c>
      <c r="CL667" t="s">
        <v>74</v>
      </c>
    </row>
    <row r="668" spans="1:90" x14ac:dyDescent="0.25">
      <c r="A668" t="s">
        <v>61</v>
      </c>
      <c r="B668" t="s">
        <v>62</v>
      </c>
      <c r="C668" t="s">
        <v>63</v>
      </c>
      <c r="E668" t="str">
        <f>"FES1162745197"</f>
        <v>FES1162745197</v>
      </c>
      <c r="F668" s="1">
        <v>43943</v>
      </c>
      <c r="G668">
        <v>202010</v>
      </c>
      <c r="H668" t="s">
        <v>64</v>
      </c>
      <c r="I668" t="s">
        <v>65</v>
      </c>
      <c r="J668" t="s">
        <v>66</v>
      </c>
      <c r="K668" t="s">
        <v>67</v>
      </c>
      <c r="L668" t="s">
        <v>212</v>
      </c>
      <c r="M668" t="s">
        <v>213</v>
      </c>
      <c r="N668" t="s">
        <v>889</v>
      </c>
      <c r="O668" t="s">
        <v>69</v>
      </c>
      <c r="P668" t="str">
        <f>"2170733993                    "</f>
        <v xml:space="preserve">2170733993                    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4.1900000000000004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0</v>
      </c>
      <c r="AU668">
        <v>0</v>
      </c>
      <c r="AV668">
        <v>0</v>
      </c>
      <c r="AW668">
        <v>0</v>
      </c>
      <c r="AX668">
        <v>0</v>
      </c>
      <c r="AY668">
        <v>0</v>
      </c>
      <c r="AZ668">
        <v>0</v>
      </c>
      <c r="BA668">
        <v>0</v>
      </c>
      <c r="BB668">
        <v>0</v>
      </c>
      <c r="BG668">
        <v>0</v>
      </c>
      <c r="BH668">
        <v>1</v>
      </c>
      <c r="BI668">
        <v>1</v>
      </c>
      <c r="BJ668">
        <v>0.2</v>
      </c>
      <c r="BK668">
        <v>1</v>
      </c>
      <c r="BL668">
        <v>46.06</v>
      </c>
      <c r="BM668">
        <v>6.91</v>
      </c>
      <c r="BN668">
        <v>52.97</v>
      </c>
      <c r="BO668">
        <v>52.97</v>
      </c>
      <c r="BQ668" t="s">
        <v>268</v>
      </c>
      <c r="BR668" t="s">
        <v>71</v>
      </c>
      <c r="BS668" s="1">
        <v>43944</v>
      </c>
      <c r="BT668" s="2">
        <v>0.4368055555555555</v>
      </c>
      <c r="BU668" t="s">
        <v>890</v>
      </c>
      <c r="BV668" t="s">
        <v>80</v>
      </c>
      <c r="BY668">
        <v>1200</v>
      </c>
      <c r="CA668" t="s">
        <v>711</v>
      </c>
      <c r="CC668" t="s">
        <v>213</v>
      </c>
      <c r="CD668">
        <v>3610</v>
      </c>
      <c r="CE668" t="s">
        <v>73</v>
      </c>
      <c r="CF668" s="1">
        <v>43945</v>
      </c>
      <c r="CI668">
        <v>1</v>
      </c>
      <c r="CJ668">
        <v>1</v>
      </c>
      <c r="CK668">
        <v>21</v>
      </c>
      <c r="CL668" t="s">
        <v>74</v>
      </c>
    </row>
    <row r="669" spans="1:90" x14ac:dyDescent="0.25">
      <c r="A669" t="s">
        <v>61</v>
      </c>
      <c r="B669" t="s">
        <v>62</v>
      </c>
      <c r="C669" t="s">
        <v>63</v>
      </c>
      <c r="E669" t="str">
        <f>"FES1162745170"</f>
        <v>FES1162745170</v>
      </c>
      <c r="F669" s="1">
        <v>43943</v>
      </c>
      <c r="G669">
        <v>202010</v>
      </c>
      <c r="H669" t="s">
        <v>64</v>
      </c>
      <c r="I669" t="s">
        <v>65</v>
      </c>
      <c r="J669" t="s">
        <v>66</v>
      </c>
      <c r="K669" t="s">
        <v>67</v>
      </c>
      <c r="L669" t="s">
        <v>270</v>
      </c>
      <c r="M669" t="s">
        <v>271</v>
      </c>
      <c r="N669" t="s">
        <v>891</v>
      </c>
      <c r="O669" t="s">
        <v>69</v>
      </c>
      <c r="P669" t="str">
        <f>"2170733022                    "</f>
        <v xml:space="preserve">2170733022                    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3.27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0</v>
      </c>
      <c r="AU669">
        <v>0</v>
      </c>
      <c r="AV669">
        <v>0</v>
      </c>
      <c r="AW669">
        <v>0</v>
      </c>
      <c r="AX669">
        <v>0</v>
      </c>
      <c r="AY669">
        <v>0</v>
      </c>
      <c r="AZ669">
        <v>0</v>
      </c>
      <c r="BA669">
        <v>0</v>
      </c>
      <c r="BB669">
        <v>0</v>
      </c>
      <c r="BG669">
        <v>0</v>
      </c>
      <c r="BH669">
        <v>1</v>
      </c>
      <c r="BI669">
        <v>1</v>
      </c>
      <c r="BJ669">
        <v>0.2</v>
      </c>
      <c r="BK669">
        <v>1</v>
      </c>
      <c r="BL669">
        <v>35.979999999999997</v>
      </c>
      <c r="BM669">
        <v>5.4</v>
      </c>
      <c r="BN669">
        <v>41.38</v>
      </c>
      <c r="BO669">
        <v>41.38</v>
      </c>
      <c r="BQ669" t="s">
        <v>70</v>
      </c>
      <c r="BR669" t="s">
        <v>71</v>
      </c>
      <c r="BS669" s="1">
        <v>43944</v>
      </c>
      <c r="BT669" s="2">
        <v>0.39583333333333331</v>
      </c>
      <c r="BU669" t="s">
        <v>813</v>
      </c>
      <c r="BV669" t="s">
        <v>80</v>
      </c>
      <c r="BY669">
        <v>1200</v>
      </c>
      <c r="CC669" t="s">
        <v>271</v>
      </c>
      <c r="CD669">
        <v>1723</v>
      </c>
      <c r="CE669" t="s">
        <v>73</v>
      </c>
      <c r="CF669" s="1">
        <v>43945</v>
      </c>
      <c r="CI669">
        <v>1</v>
      </c>
      <c r="CJ669">
        <v>1</v>
      </c>
      <c r="CK669">
        <v>22</v>
      </c>
      <c r="CL669" t="s">
        <v>74</v>
      </c>
    </row>
    <row r="670" spans="1:90" x14ac:dyDescent="0.25">
      <c r="A670" t="s">
        <v>61</v>
      </c>
      <c r="B670" t="s">
        <v>62</v>
      </c>
      <c r="C670" t="s">
        <v>63</v>
      </c>
      <c r="E670" t="str">
        <f>"FES1162745160"</f>
        <v>FES1162745160</v>
      </c>
      <c r="F670" s="1">
        <v>43943</v>
      </c>
      <c r="G670">
        <v>202010</v>
      </c>
      <c r="H670" t="s">
        <v>64</v>
      </c>
      <c r="I670" t="s">
        <v>65</v>
      </c>
      <c r="J670" t="s">
        <v>66</v>
      </c>
      <c r="K670" t="s">
        <v>67</v>
      </c>
      <c r="L670" t="s">
        <v>385</v>
      </c>
      <c r="M670" t="s">
        <v>386</v>
      </c>
      <c r="N670" t="s">
        <v>387</v>
      </c>
      <c r="O670" t="s">
        <v>69</v>
      </c>
      <c r="P670" t="str">
        <f>"2170736399                    "</f>
        <v xml:space="preserve">2170736399                    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0</v>
      </c>
      <c r="AM670">
        <v>5.89</v>
      </c>
      <c r="AN670">
        <v>0</v>
      </c>
      <c r="AO670">
        <v>0</v>
      </c>
      <c r="AP670">
        <v>0</v>
      </c>
      <c r="AQ670">
        <v>0</v>
      </c>
      <c r="AR670">
        <v>0</v>
      </c>
      <c r="AS670">
        <v>0</v>
      </c>
      <c r="AT670">
        <v>0</v>
      </c>
      <c r="AU670">
        <v>0</v>
      </c>
      <c r="AV670">
        <v>0</v>
      </c>
      <c r="AW670">
        <v>0</v>
      </c>
      <c r="AX670">
        <v>0</v>
      </c>
      <c r="AY670">
        <v>0</v>
      </c>
      <c r="AZ670">
        <v>0</v>
      </c>
      <c r="BA670">
        <v>0</v>
      </c>
      <c r="BB670">
        <v>0</v>
      </c>
      <c r="BG670">
        <v>0</v>
      </c>
      <c r="BH670">
        <v>1</v>
      </c>
      <c r="BI670">
        <v>1</v>
      </c>
      <c r="BJ670">
        <v>0.2</v>
      </c>
      <c r="BK670">
        <v>1</v>
      </c>
      <c r="BL670">
        <v>64.77</v>
      </c>
      <c r="BM670">
        <v>9.7200000000000006</v>
      </c>
      <c r="BN670">
        <v>74.489999999999995</v>
      </c>
      <c r="BO670">
        <v>74.489999999999995</v>
      </c>
      <c r="BQ670" t="s">
        <v>109</v>
      </c>
      <c r="BR670" t="s">
        <v>71</v>
      </c>
      <c r="BS670" s="1">
        <v>43944</v>
      </c>
      <c r="BT670" s="2">
        <v>0.375</v>
      </c>
      <c r="BU670" t="s">
        <v>813</v>
      </c>
      <c r="BV670" t="s">
        <v>80</v>
      </c>
      <c r="BY670">
        <v>1200</v>
      </c>
      <c r="CC670" t="s">
        <v>386</v>
      </c>
      <c r="CD670">
        <v>1871</v>
      </c>
      <c r="CE670" t="s">
        <v>73</v>
      </c>
      <c r="CF670" s="1">
        <v>43945</v>
      </c>
      <c r="CI670">
        <v>1</v>
      </c>
      <c r="CJ670">
        <v>1</v>
      </c>
      <c r="CK670">
        <v>24</v>
      </c>
      <c r="CL670" t="s">
        <v>74</v>
      </c>
    </row>
    <row r="671" spans="1:90" x14ac:dyDescent="0.25">
      <c r="A671" t="s">
        <v>61</v>
      </c>
      <c r="B671" t="s">
        <v>62</v>
      </c>
      <c r="C671" t="s">
        <v>63</v>
      </c>
      <c r="E671" t="str">
        <f>"RFES1162744173"</f>
        <v>RFES1162744173</v>
      </c>
      <c r="F671" s="1">
        <v>43943</v>
      </c>
      <c r="G671">
        <v>202010</v>
      </c>
      <c r="H671" t="s">
        <v>212</v>
      </c>
      <c r="I671" t="s">
        <v>213</v>
      </c>
      <c r="J671" t="s">
        <v>892</v>
      </c>
      <c r="K671" t="s">
        <v>67</v>
      </c>
      <c r="L671" t="s">
        <v>64</v>
      </c>
      <c r="M671" t="s">
        <v>65</v>
      </c>
      <c r="N671" t="s">
        <v>66</v>
      </c>
      <c r="O671" t="s">
        <v>69</v>
      </c>
      <c r="P671" t="str">
        <f>"217032252                     "</f>
        <v xml:space="preserve">217032252                     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4.1900000000000004</v>
      </c>
      <c r="AN671">
        <v>0</v>
      </c>
      <c r="AO671">
        <v>0</v>
      </c>
      <c r="AP671">
        <v>0</v>
      </c>
      <c r="AQ671">
        <v>0</v>
      </c>
      <c r="AR671">
        <v>0</v>
      </c>
      <c r="AS671">
        <v>0</v>
      </c>
      <c r="AT671">
        <v>0</v>
      </c>
      <c r="AU671">
        <v>0</v>
      </c>
      <c r="AV671">
        <v>0</v>
      </c>
      <c r="AW671">
        <v>0</v>
      </c>
      <c r="AX671">
        <v>0</v>
      </c>
      <c r="AY671">
        <v>0</v>
      </c>
      <c r="AZ671">
        <v>0</v>
      </c>
      <c r="BA671">
        <v>0</v>
      </c>
      <c r="BB671">
        <v>0</v>
      </c>
      <c r="BG671">
        <v>0</v>
      </c>
      <c r="BH671">
        <v>1</v>
      </c>
      <c r="BI671">
        <v>0.6</v>
      </c>
      <c r="BJ671">
        <v>1.8</v>
      </c>
      <c r="BK671">
        <v>2</v>
      </c>
      <c r="BL671">
        <v>46.06</v>
      </c>
      <c r="BM671">
        <v>6.91</v>
      </c>
      <c r="BN671">
        <v>52.97</v>
      </c>
      <c r="BO671">
        <v>52.97</v>
      </c>
      <c r="BQ671" t="s">
        <v>71</v>
      </c>
      <c r="BS671" s="1">
        <v>43944</v>
      </c>
      <c r="BT671" s="2">
        <v>0.40138888888888885</v>
      </c>
      <c r="BU671" t="s">
        <v>893</v>
      </c>
      <c r="BV671" t="s">
        <v>80</v>
      </c>
      <c r="BY671">
        <v>8884.2000000000007</v>
      </c>
      <c r="CC671" t="s">
        <v>65</v>
      </c>
      <c r="CD671">
        <v>1601</v>
      </c>
      <c r="CE671" t="s">
        <v>73</v>
      </c>
      <c r="CF671" s="1">
        <v>43945</v>
      </c>
      <c r="CI671">
        <v>1</v>
      </c>
      <c r="CJ671">
        <v>1</v>
      </c>
      <c r="CK671">
        <v>21</v>
      </c>
      <c r="CL671" t="s">
        <v>74</v>
      </c>
    </row>
    <row r="672" spans="1:90" x14ac:dyDescent="0.25">
      <c r="A672" t="s">
        <v>61</v>
      </c>
      <c r="B672" t="s">
        <v>62</v>
      </c>
      <c r="C672" t="s">
        <v>63</v>
      </c>
      <c r="E672" t="str">
        <f>"FES1162745275"</f>
        <v>FES1162745275</v>
      </c>
      <c r="F672" s="1">
        <v>43944</v>
      </c>
      <c r="G672">
        <v>202010</v>
      </c>
      <c r="H672" t="s">
        <v>64</v>
      </c>
      <c r="I672" t="s">
        <v>65</v>
      </c>
      <c r="J672" t="s">
        <v>66</v>
      </c>
      <c r="K672" t="s">
        <v>67</v>
      </c>
      <c r="L672" t="s">
        <v>368</v>
      </c>
      <c r="M672" t="s">
        <v>369</v>
      </c>
      <c r="N672" t="s">
        <v>808</v>
      </c>
      <c r="O672" t="s">
        <v>69</v>
      </c>
      <c r="P672" t="str">
        <f>"2170734872                    "</f>
        <v xml:space="preserve">2170734872                    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0</v>
      </c>
      <c r="AM672">
        <v>3.27</v>
      </c>
      <c r="AN672">
        <v>0</v>
      </c>
      <c r="AO672">
        <v>0</v>
      </c>
      <c r="AP672">
        <v>0</v>
      </c>
      <c r="AQ672">
        <v>0</v>
      </c>
      <c r="AR672">
        <v>0</v>
      </c>
      <c r="AS672">
        <v>0</v>
      </c>
      <c r="AT672">
        <v>0</v>
      </c>
      <c r="AU672">
        <v>0</v>
      </c>
      <c r="AV672">
        <v>0</v>
      </c>
      <c r="AW672">
        <v>0</v>
      </c>
      <c r="AX672">
        <v>0</v>
      </c>
      <c r="AY672">
        <v>0</v>
      </c>
      <c r="AZ672">
        <v>0</v>
      </c>
      <c r="BA672">
        <v>0</v>
      </c>
      <c r="BB672">
        <v>0</v>
      </c>
      <c r="BG672">
        <v>0</v>
      </c>
      <c r="BH672">
        <v>1</v>
      </c>
      <c r="BI672">
        <v>0.2</v>
      </c>
      <c r="BJ672">
        <v>1.9</v>
      </c>
      <c r="BK672">
        <v>2</v>
      </c>
      <c r="BL672">
        <v>35.979999999999997</v>
      </c>
      <c r="BM672">
        <v>5.4</v>
      </c>
      <c r="BN672">
        <v>41.38</v>
      </c>
      <c r="BO672">
        <v>41.38</v>
      </c>
      <c r="BQ672" t="s">
        <v>78</v>
      </c>
      <c r="BR672" t="s">
        <v>71</v>
      </c>
      <c r="BS672" s="1">
        <v>43945</v>
      </c>
      <c r="BT672" s="2">
        <v>0.33333333333333331</v>
      </c>
      <c r="BU672" t="s">
        <v>809</v>
      </c>
      <c r="BV672" t="s">
        <v>80</v>
      </c>
      <c r="BY672">
        <v>9334.1200000000008</v>
      </c>
      <c r="CC672" t="s">
        <v>369</v>
      </c>
      <c r="CD672">
        <v>1401</v>
      </c>
      <c r="CE672" t="s">
        <v>73</v>
      </c>
      <c r="CF672" s="1">
        <v>43949</v>
      </c>
      <c r="CI672">
        <v>1</v>
      </c>
      <c r="CJ672">
        <v>1</v>
      </c>
      <c r="CK672">
        <v>22</v>
      </c>
      <c r="CL672" t="s">
        <v>74</v>
      </c>
    </row>
    <row r="673" spans="1:90" x14ac:dyDescent="0.25">
      <c r="A673" t="s">
        <v>61</v>
      </c>
      <c r="B673" t="s">
        <v>62</v>
      </c>
      <c r="C673" t="s">
        <v>63</v>
      </c>
      <c r="E673" t="str">
        <f>"FES1162745202"</f>
        <v>FES1162745202</v>
      </c>
      <c r="F673" s="1">
        <v>43943</v>
      </c>
      <c r="G673">
        <v>202010</v>
      </c>
      <c r="H673" t="s">
        <v>64</v>
      </c>
      <c r="I673" t="s">
        <v>65</v>
      </c>
      <c r="J673" t="s">
        <v>66</v>
      </c>
      <c r="K673" t="s">
        <v>67</v>
      </c>
      <c r="L673" t="s">
        <v>120</v>
      </c>
      <c r="M673" t="s">
        <v>121</v>
      </c>
      <c r="N673" t="s">
        <v>278</v>
      </c>
      <c r="O673" t="s">
        <v>69</v>
      </c>
      <c r="P673" t="str">
        <f>"2170736431                    "</f>
        <v xml:space="preserve">2170736431                    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4.1900000000000004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0</v>
      </c>
      <c r="AU673">
        <v>0</v>
      </c>
      <c r="AV673">
        <v>0</v>
      </c>
      <c r="AW673">
        <v>0</v>
      </c>
      <c r="AX673">
        <v>0</v>
      </c>
      <c r="AY673">
        <v>0</v>
      </c>
      <c r="AZ673">
        <v>0</v>
      </c>
      <c r="BA673">
        <v>0</v>
      </c>
      <c r="BB673">
        <v>0</v>
      </c>
      <c r="BG673">
        <v>0</v>
      </c>
      <c r="BH673">
        <v>1</v>
      </c>
      <c r="BI673">
        <v>1</v>
      </c>
      <c r="BJ673">
        <v>0.2</v>
      </c>
      <c r="BK673">
        <v>1</v>
      </c>
      <c r="BL673">
        <v>46.06</v>
      </c>
      <c r="BM673">
        <v>6.91</v>
      </c>
      <c r="BN673">
        <v>52.97</v>
      </c>
      <c r="BO673">
        <v>52.97</v>
      </c>
      <c r="BQ673" t="s">
        <v>70</v>
      </c>
      <c r="BR673" t="s">
        <v>71</v>
      </c>
      <c r="BS673" s="1">
        <v>43944</v>
      </c>
      <c r="BT673" s="2">
        <v>0.53749999999999998</v>
      </c>
      <c r="BU673" t="s">
        <v>755</v>
      </c>
      <c r="BV673" t="s">
        <v>74</v>
      </c>
      <c r="BW673" t="s">
        <v>85</v>
      </c>
      <c r="BX673" t="s">
        <v>735</v>
      </c>
      <c r="BY673">
        <v>1200</v>
      </c>
      <c r="CA673" t="s">
        <v>627</v>
      </c>
      <c r="CC673" t="s">
        <v>121</v>
      </c>
      <c r="CD673">
        <v>4001</v>
      </c>
      <c r="CE673" t="s">
        <v>73</v>
      </c>
      <c r="CF673" s="1">
        <v>43945</v>
      </c>
      <c r="CI673">
        <v>1</v>
      </c>
      <c r="CJ673">
        <v>1</v>
      </c>
      <c r="CK673">
        <v>21</v>
      </c>
      <c r="CL673" t="s">
        <v>74</v>
      </c>
    </row>
    <row r="674" spans="1:90" x14ac:dyDescent="0.25">
      <c r="A674" t="s">
        <v>61</v>
      </c>
      <c r="B674" t="s">
        <v>62</v>
      </c>
      <c r="C674" t="s">
        <v>63</v>
      </c>
      <c r="E674" t="str">
        <f>"FES1162745180"</f>
        <v>FES1162745180</v>
      </c>
      <c r="F674" s="1">
        <v>43944</v>
      </c>
      <c r="G674">
        <v>202010</v>
      </c>
      <c r="H674" t="s">
        <v>64</v>
      </c>
      <c r="I674" t="s">
        <v>65</v>
      </c>
      <c r="J674" t="s">
        <v>66</v>
      </c>
      <c r="K674" t="s">
        <v>67</v>
      </c>
      <c r="L674" t="s">
        <v>177</v>
      </c>
      <c r="M674" t="s">
        <v>178</v>
      </c>
      <c r="N674" t="s">
        <v>179</v>
      </c>
      <c r="O674" t="s">
        <v>69</v>
      </c>
      <c r="P674" t="str">
        <f>"2170736318                    "</f>
        <v xml:space="preserve">2170736318                    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0</v>
      </c>
      <c r="AM674">
        <v>25.11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0</v>
      </c>
      <c r="AU674">
        <v>0</v>
      </c>
      <c r="AV674">
        <v>0</v>
      </c>
      <c r="AW674">
        <v>0</v>
      </c>
      <c r="AX674">
        <v>0</v>
      </c>
      <c r="AY674">
        <v>0</v>
      </c>
      <c r="AZ674">
        <v>0</v>
      </c>
      <c r="BA674">
        <v>0</v>
      </c>
      <c r="BB674">
        <v>0</v>
      </c>
      <c r="BG674">
        <v>0</v>
      </c>
      <c r="BH674">
        <v>1</v>
      </c>
      <c r="BI674">
        <v>12</v>
      </c>
      <c r="BJ674">
        <v>5.9</v>
      </c>
      <c r="BK674">
        <v>12</v>
      </c>
      <c r="BL674">
        <v>276.18</v>
      </c>
      <c r="BM674">
        <v>41.43</v>
      </c>
      <c r="BN674">
        <v>317.61</v>
      </c>
      <c r="BO674">
        <v>317.61</v>
      </c>
      <c r="BQ674" t="s">
        <v>70</v>
      </c>
      <c r="BR674" t="s">
        <v>71</v>
      </c>
      <c r="BS674" s="1">
        <v>43945</v>
      </c>
      <c r="BT674" s="2">
        <v>0.48125000000000001</v>
      </c>
      <c r="BU674" t="s">
        <v>235</v>
      </c>
      <c r="BV674" t="s">
        <v>80</v>
      </c>
      <c r="BY674">
        <v>29515.97</v>
      </c>
      <c r="CA674" t="s">
        <v>741</v>
      </c>
      <c r="CC674" t="s">
        <v>178</v>
      </c>
      <c r="CD674">
        <v>4302</v>
      </c>
      <c r="CE674" t="s">
        <v>91</v>
      </c>
      <c r="CF674" s="1">
        <v>43949</v>
      </c>
      <c r="CI674">
        <v>1</v>
      </c>
      <c r="CJ674">
        <v>1</v>
      </c>
      <c r="CK674">
        <v>21</v>
      </c>
      <c r="CL674" t="s">
        <v>74</v>
      </c>
    </row>
    <row r="675" spans="1:90" x14ac:dyDescent="0.25">
      <c r="A675" t="s">
        <v>61</v>
      </c>
      <c r="B675" t="s">
        <v>62</v>
      </c>
      <c r="C675" t="s">
        <v>63</v>
      </c>
      <c r="E675" t="str">
        <f>"FES1162745088"</f>
        <v>FES1162745088</v>
      </c>
      <c r="F675" s="1">
        <v>43943</v>
      </c>
      <c r="G675">
        <v>202010</v>
      </c>
      <c r="H675" t="s">
        <v>64</v>
      </c>
      <c r="I675" t="s">
        <v>65</v>
      </c>
      <c r="J675" t="s">
        <v>66</v>
      </c>
      <c r="K675" t="s">
        <v>67</v>
      </c>
      <c r="L675" t="s">
        <v>151</v>
      </c>
      <c r="M675" t="s">
        <v>152</v>
      </c>
      <c r="N675" t="s">
        <v>823</v>
      </c>
      <c r="O675" t="s">
        <v>69</v>
      </c>
      <c r="P675" t="str">
        <f>"2170736196                    "</f>
        <v xml:space="preserve">2170736196                    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0</v>
      </c>
      <c r="AM675">
        <v>4.1900000000000004</v>
      </c>
      <c r="AN675">
        <v>0</v>
      </c>
      <c r="AO675">
        <v>0</v>
      </c>
      <c r="AP675">
        <v>0</v>
      </c>
      <c r="AQ675">
        <v>0</v>
      </c>
      <c r="AR675">
        <v>0</v>
      </c>
      <c r="AS675">
        <v>0</v>
      </c>
      <c r="AT675">
        <v>0</v>
      </c>
      <c r="AU675">
        <v>0</v>
      </c>
      <c r="AV675">
        <v>0</v>
      </c>
      <c r="AW675">
        <v>0</v>
      </c>
      <c r="AX675">
        <v>0</v>
      </c>
      <c r="AY675">
        <v>0</v>
      </c>
      <c r="AZ675">
        <v>0</v>
      </c>
      <c r="BA675">
        <v>0</v>
      </c>
      <c r="BB675">
        <v>0</v>
      </c>
      <c r="BG675">
        <v>0</v>
      </c>
      <c r="BH675">
        <v>1</v>
      </c>
      <c r="BI675">
        <v>1</v>
      </c>
      <c r="BJ675">
        <v>0.2</v>
      </c>
      <c r="BK675">
        <v>1</v>
      </c>
      <c r="BL675">
        <v>46.06</v>
      </c>
      <c r="BM675">
        <v>6.91</v>
      </c>
      <c r="BN675">
        <v>52.97</v>
      </c>
      <c r="BO675">
        <v>52.97</v>
      </c>
      <c r="BQ675" t="s">
        <v>78</v>
      </c>
      <c r="BR675" t="s">
        <v>71</v>
      </c>
      <c r="BS675" s="1">
        <v>43944</v>
      </c>
      <c r="BT675" s="2">
        <v>0.41666666666666669</v>
      </c>
      <c r="BU675" t="s">
        <v>824</v>
      </c>
      <c r="BV675" t="s">
        <v>80</v>
      </c>
      <c r="BY675">
        <v>1200</v>
      </c>
      <c r="CC675" t="s">
        <v>152</v>
      </c>
      <c r="CD675">
        <v>3201</v>
      </c>
      <c r="CE675" t="s">
        <v>73</v>
      </c>
      <c r="CF675" s="1">
        <v>43945</v>
      </c>
      <c r="CI675">
        <v>1</v>
      </c>
      <c r="CJ675">
        <v>1</v>
      </c>
      <c r="CK675">
        <v>21</v>
      </c>
      <c r="CL675" t="s">
        <v>74</v>
      </c>
    </row>
    <row r="676" spans="1:90" x14ac:dyDescent="0.25">
      <c r="A676" t="s">
        <v>61</v>
      </c>
      <c r="B676" t="s">
        <v>62</v>
      </c>
      <c r="C676" t="s">
        <v>63</v>
      </c>
      <c r="E676" t="str">
        <f>"R009935712250"</f>
        <v>R009935712250</v>
      </c>
      <c r="F676" s="1">
        <v>43943</v>
      </c>
      <c r="G676">
        <v>202010</v>
      </c>
      <c r="H676" t="s">
        <v>212</v>
      </c>
      <c r="I676" t="s">
        <v>213</v>
      </c>
      <c r="J676" t="s">
        <v>892</v>
      </c>
      <c r="K676" t="s">
        <v>67</v>
      </c>
      <c r="L676" t="s">
        <v>64</v>
      </c>
      <c r="M676" t="s">
        <v>65</v>
      </c>
      <c r="N676" t="s">
        <v>66</v>
      </c>
      <c r="O676" t="s">
        <v>230</v>
      </c>
      <c r="P676" t="str">
        <f>"1162730433                    "</f>
        <v xml:space="preserve">1162730433                    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7.85</v>
      </c>
      <c r="AN676">
        <v>0</v>
      </c>
      <c r="AO676">
        <v>0</v>
      </c>
      <c r="AP676">
        <v>0</v>
      </c>
      <c r="AQ676">
        <v>0</v>
      </c>
      <c r="AR676">
        <v>0</v>
      </c>
      <c r="AS676">
        <v>0</v>
      </c>
      <c r="AT676">
        <v>0</v>
      </c>
      <c r="AU676">
        <v>0</v>
      </c>
      <c r="AV676">
        <v>0</v>
      </c>
      <c r="AW676">
        <v>0</v>
      </c>
      <c r="AX676">
        <v>0</v>
      </c>
      <c r="AY676">
        <v>0</v>
      </c>
      <c r="AZ676">
        <v>0</v>
      </c>
      <c r="BA676">
        <v>0</v>
      </c>
      <c r="BB676">
        <v>0</v>
      </c>
      <c r="BG676">
        <v>0</v>
      </c>
      <c r="BH676">
        <v>1</v>
      </c>
      <c r="BI676">
        <v>1.4</v>
      </c>
      <c r="BJ676">
        <v>2</v>
      </c>
      <c r="BK676">
        <v>2</v>
      </c>
      <c r="BL676">
        <v>91.35</v>
      </c>
      <c r="BM676">
        <v>13.7</v>
      </c>
      <c r="BN676">
        <v>105.05</v>
      </c>
      <c r="BO676">
        <v>105.05</v>
      </c>
      <c r="BP676" t="s">
        <v>399</v>
      </c>
      <c r="BQ676" t="s">
        <v>71</v>
      </c>
      <c r="BS676" s="1">
        <v>43944</v>
      </c>
      <c r="BT676" s="2">
        <v>0.40138888888888885</v>
      </c>
      <c r="BU676" t="s">
        <v>893</v>
      </c>
      <c r="BV676" t="s">
        <v>80</v>
      </c>
      <c r="BY676">
        <v>11475.75</v>
      </c>
      <c r="CC676" t="s">
        <v>65</v>
      </c>
      <c r="CD676">
        <v>1601</v>
      </c>
      <c r="CE676" t="s">
        <v>91</v>
      </c>
      <c r="CF676" s="1">
        <v>43945</v>
      </c>
      <c r="CI676">
        <v>1</v>
      </c>
      <c r="CJ676">
        <v>1</v>
      </c>
      <c r="CK676" t="s">
        <v>894</v>
      </c>
      <c r="CL676" t="s">
        <v>74</v>
      </c>
    </row>
    <row r="677" spans="1:90" x14ac:dyDescent="0.25">
      <c r="A677" t="s">
        <v>61</v>
      </c>
      <c r="B677" t="s">
        <v>62</v>
      </c>
      <c r="C677" t="s">
        <v>63</v>
      </c>
      <c r="E677" t="str">
        <f>"FES1162745198"</f>
        <v>FES1162745198</v>
      </c>
      <c r="F677" s="1">
        <v>43943</v>
      </c>
      <c r="G677">
        <v>202010</v>
      </c>
      <c r="H677" t="s">
        <v>64</v>
      </c>
      <c r="I677" t="s">
        <v>65</v>
      </c>
      <c r="J677" t="s">
        <v>66</v>
      </c>
      <c r="K677" t="s">
        <v>67</v>
      </c>
      <c r="L677" t="s">
        <v>212</v>
      </c>
      <c r="M677" t="s">
        <v>213</v>
      </c>
      <c r="N677" t="s">
        <v>889</v>
      </c>
      <c r="O677" t="s">
        <v>69</v>
      </c>
      <c r="P677" t="str">
        <f>"2170734027                    "</f>
        <v xml:space="preserve">2170734027                    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0</v>
      </c>
      <c r="AM677">
        <v>4.1900000000000004</v>
      </c>
      <c r="AN677">
        <v>0</v>
      </c>
      <c r="AO677">
        <v>0</v>
      </c>
      <c r="AP677">
        <v>0</v>
      </c>
      <c r="AQ677">
        <v>0</v>
      </c>
      <c r="AR677">
        <v>0</v>
      </c>
      <c r="AS677">
        <v>0</v>
      </c>
      <c r="AT677">
        <v>0</v>
      </c>
      <c r="AU677">
        <v>0</v>
      </c>
      <c r="AV677">
        <v>0</v>
      </c>
      <c r="AW677">
        <v>0</v>
      </c>
      <c r="AX677">
        <v>0</v>
      </c>
      <c r="AY677">
        <v>0</v>
      </c>
      <c r="AZ677">
        <v>0</v>
      </c>
      <c r="BA677">
        <v>0</v>
      </c>
      <c r="BB677">
        <v>0</v>
      </c>
      <c r="BG677">
        <v>0</v>
      </c>
      <c r="BH677">
        <v>1</v>
      </c>
      <c r="BI677">
        <v>1</v>
      </c>
      <c r="BJ677">
        <v>0.2</v>
      </c>
      <c r="BK677">
        <v>1</v>
      </c>
      <c r="BL677">
        <v>46.06</v>
      </c>
      <c r="BM677">
        <v>6.91</v>
      </c>
      <c r="BN677">
        <v>52.97</v>
      </c>
      <c r="BO677">
        <v>52.97</v>
      </c>
      <c r="BQ677" t="s">
        <v>268</v>
      </c>
      <c r="BR677" t="s">
        <v>71</v>
      </c>
      <c r="BS677" s="1">
        <v>43944</v>
      </c>
      <c r="BT677" s="2">
        <v>0.4368055555555555</v>
      </c>
      <c r="BU677" t="s">
        <v>890</v>
      </c>
      <c r="BV677" t="s">
        <v>80</v>
      </c>
      <c r="BY677">
        <v>1200</v>
      </c>
      <c r="CA677" t="s">
        <v>711</v>
      </c>
      <c r="CC677" t="s">
        <v>213</v>
      </c>
      <c r="CD677">
        <v>3610</v>
      </c>
      <c r="CE677" t="s">
        <v>73</v>
      </c>
      <c r="CF677" s="1">
        <v>43945</v>
      </c>
      <c r="CI677">
        <v>1</v>
      </c>
      <c r="CJ677">
        <v>1</v>
      </c>
      <c r="CK677">
        <v>21</v>
      </c>
      <c r="CL677" t="s">
        <v>74</v>
      </c>
    </row>
    <row r="678" spans="1:90" x14ac:dyDescent="0.25">
      <c r="A678" t="s">
        <v>61</v>
      </c>
      <c r="B678" t="s">
        <v>62</v>
      </c>
      <c r="C678" t="s">
        <v>63</v>
      </c>
      <c r="E678" t="str">
        <f>"FES1162745153"</f>
        <v>FES1162745153</v>
      </c>
      <c r="F678" s="1">
        <v>43943</v>
      </c>
      <c r="G678">
        <v>202010</v>
      </c>
      <c r="H678" t="s">
        <v>64</v>
      </c>
      <c r="I678" t="s">
        <v>65</v>
      </c>
      <c r="J678" t="s">
        <v>66</v>
      </c>
      <c r="K678" t="s">
        <v>67</v>
      </c>
      <c r="L678" t="s">
        <v>895</v>
      </c>
      <c r="M678" t="s">
        <v>896</v>
      </c>
      <c r="N678" t="s">
        <v>897</v>
      </c>
      <c r="O678" t="s">
        <v>69</v>
      </c>
      <c r="P678" t="str">
        <f>"2170736285                    "</f>
        <v xml:space="preserve">2170736285                    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0</v>
      </c>
      <c r="AM678">
        <v>26.43</v>
      </c>
      <c r="AN678">
        <v>0</v>
      </c>
      <c r="AO678">
        <v>0</v>
      </c>
      <c r="AP678">
        <v>0</v>
      </c>
      <c r="AQ678">
        <v>0</v>
      </c>
      <c r="AR678">
        <v>0</v>
      </c>
      <c r="AS678">
        <v>0</v>
      </c>
      <c r="AT678">
        <v>0</v>
      </c>
      <c r="AU678">
        <v>0</v>
      </c>
      <c r="AV678">
        <v>0</v>
      </c>
      <c r="AW678">
        <v>0</v>
      </c>
      <c r="AX678">
        <v>0</v>
      </c>
      <c r="AY678">
        <v>0</v>
      </c>
      <c r="AZ678">
        <v>0</v>
      </c>
      <c r="BA678">
        <v>0</v>
      </c>
      <c r="BB678">
        <v>0</v>
      </c>
      <c r="BG678">
        <v>0</v>
      </c>
      <c r="BH678">
        <v>1</v>
      </c>
      <c r="BI678">
        <v>2.2999999999999998</v>
      </c>
      <c r="BJ678">
        <v>7</v>
      </c>
      <c r="BK678">
        <v>7</v>
      </c>
      <c r="BL678">
        <v>290.75</v>
      </c>
      <c r="BM678">
        <v>43.61</v>
      </c>
      <c r="BN678">
        <v>334.36</v>
      </c>
      <c r="BO678">
        <v>334.36</v>
      </c>
      <c r="BQ678" t="s">
        <v>70</v>
      </c>
      <c r="BR678" t="s">
        <v>71</v>
      </c>
      <c r="BS678" s="1">
        <v>43945</v>
      </c>
      <c r="BT678" s="2">
        <v>0.47916666666666669</v>
      </c>
      <c r="BU678" t="s">
        <v>898</v>
      </c>
      <c r="BV678" t="s">
        <v>74</v>
      </c>
      <c r="BW678" t="s">
        <v>85</v>
      </c>
      <c r="BX678" t="s">
        <v>128</v>
      </c>
      <c r="BY678">
        <v>35043.120000000003</v>
      </c>
      <c r="CA678" t="s">
        <v>899</v>
      </c>
      <c r="CC678" t="s">
        <v>896</v>
      </c>
      <c r="CD678">
        <v>4170</v>
      </c>
      <c r="CE678" t="s">
        <v>91</v>
      </c>
      <c r="CF678" s="1">
        <v>43945</v>
      </c>
      <c r="CI678">
        <v>1</v>
      </c>
      <c r="CJ678">
        <v>2</v>
      </c>
      <c r="CK678">
        <v>23</v>
      </c>
      <c r="CL678" t="s">
        <v>74</v>
      </c>
    </row>
    <row r="679" spans="1:90" x14ac:dyDescent="0.25">
      <c r="A679" t="s">
        <v>61</v>
      </c>
      <c r="B679" t="s">
        <v>62</v>
      </c>
      <c r="C679" t="s">
        <v>63</v>
      </c>
      <c r="E679" t="str">
        <f>"FES1162745021"</f>
        <v>FES1162745021</v>
      </c>
      <c r="F679" s="1">
        <v>43943</v>
      </c>
      <c r="G679">
        <v>202010</v>
      </c>
      <c r="H679" t="s">
        <v>64</v>
      </c>
      <c r="I679" t="s">
        <v>65</v>
      </c>
      <c r="J679" t="s">
        <v>66</v>
      </c>
      <c r="K679" t="s">
        <v>67</v>
      </c>
      <c r="L679" t="s">
        <v>92</v>
      </c>
      <c r="M679" t="s">
        <v>93</v>
      </c>
      <c r="N679" t="s">
        <v>482</v>
      </c>
      <c r="O679" t="s">
        <v>69</v>
      </c>
      <c r="P679" t="str">
        <f>"2170731616                    "</f>
        <v xml:space="preserve">2170731616                    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4.1900000000000004</v>
      </c>
      <c r="AN679">
        <v>0</v>
      </c>
      <c r="AO679">
        <v>0</v>
      </c>
      <c r="AP679">
        <v>0</v>
      </c>
      <c r="AQ679">
        <v>0</v>
      </c>
      <c r="AR679">
        <v>0</v>
      </c>
      <c r="AS679">
        <v>0</v>
      </c>
      <c r="AT679">
        <v>0</v>
      </c>
      <c r="AU679">
        <v>0</v>
      </c>
      <c r="AV679">
        <v>0</v>
      </c>
      <c r="AW679">
        <v>0</v>
      </c>
      <c r="AX679">
        <v>0</v>
      </c>
      <c r="AY679">
        <v>0</v>
      </c>
      <c r="AZ679">
        <v>0</v>
      </c>
      <c r="BA679">
        <v>0</v>
      </c>
      <c r="BB679">
        <v>0</v>
      </c>
      <c r="BG679">
        <v>0</v>
      </c>
      <c r="BH679">
        <v>1</v>
      </c>
      <c r="BI679">
        <v>1</v>
      </c>
      <c r="BJ679">
        <v>0.2</v>
      </c>
      <c r="BK679">
        <v>1</v>
      </c>
      <c r="BL679">
        <v>46.06</v>
      </c>
      <c r="BM679">
        <v>6.91</v>
      </c>
      <c r="BN679">
        <v>52.97</v>
      </c>
      <c r="BO679">
        <v>52.97</v>
      </c>
      <c r="BQ679" t="s">
        <v>78</v>
      </c>
      <c r="BR679" t="s">
        <v>71</v>
      </c>
      <c r="BS679" s="1">
        <v>43944</v>
      </c>
      <c r="BT679" s="2">
        <v>0.42291666666666666</v>
      </c>
      <c r="BU679" t="s">
        <v>900</v>
      </c>
      <c r="BV679" t="s">
        <v>80</v>
      </c>
      <c r="BY679">
        <v>1200</v>
      </c>
      <c r="CA679" t="s">
        <v>331</v>
      </c>
      <c r="CC679" t="s">
        <v>93</v>
      </c>
      <c r="CD679">
        <v>7441</v>
      </c>
      <c r="CE679" t="s">
        <v>73</v>
      </c>
      <c r="CF679" s="1">
        <v>43945</v>
      </c>
      <c r="CI679">
        <v>1</v>
      </c>
      <c r="CJ679">
        <v>1</v>
      </c>
      <c r="CK679">
        <v>21</v>
      </c>
      <c r="CL679" t="s">
        <v>74</v>
      </c>
    </row>
    <row r="680" spans="1:90" x14ac:dyDescent="0.25">
      <c r="A680" t="s">
        <v>61</v>
      </c>
      <c r="B680" t="s">
        <v>62</v>
      </c>
      <c r="C680" t="s">
        <v>63</v>
      </c>
      <c r="E680" t="str">
        <f>"FES1162744899"</f>
        <v>FES1162744899</v>
      </c>
      <c r="F680" s="1">
        <v>43943</v>
      </c>
      <c r="G680">
        <v>202010</v>
      </c>
      <c r="H680" t="s">
        <v>64</v>
      </c>
      <c r="I680" t="s">
        <v>65</v>
      </c>
      <c r="J680" t="s">
        <v>66</v>
      </c>
      <c r="K680" t="s">
        <v>67</v>
      </c>
      <c r="L680" t="s">
        <v>901</v>
      </c>
      <c r="M680" t="s">
        <v>902</v>
      </c>
      <c r="N680" t="s">
        <v>903</v>
      </c>
      <c r="O680" t="s">
        <v>69</v>
      </c>
      <c r="P680" t="str">
        <f>"2170736132                    "</f>
        <v xml:space="preserve">2170736132                    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8.11</v>
      </c>
      <c r="AN680">
        <v>0</v>
      </c>
      <c r="AO680">
        <v>0</v>
      </c>
      <c r="AP680">
        <v>0</v>
      </c>
      <c r="AQ680">
        <v>0</v>
      </c>
      <c r="AR680">
        <v>0</v>
      </c>
      <c r="AS680">
        <v>0</v>
      </c>
      <c r="AT680">
        <v>0</v>
      </c>
      <c r="AU680">
        <v>0</v>
      </c>
      <c r="AV680">
        <v>0</v>
      </c>
      <c r="AW680">
        <v>0</v>
      </c>
      <c r="AX680">
        <v>0</v>
      </c>
      <c r="AY680">
        <v>0</v>
      </c>
      <c r="AZ680">
        <v>0</v>
      </c>
      <c r="BA680">
        <v>0</v>
      </c>
      <c r="BB680">
        <v>0</v>
      </c>
      <c r="BG680">
        <v>0</v>
      </c>
      <c r="BH680">
        <v>1</v>
      </c>
      <c r="BI680">
        <v>1</v>
      </c>
      <c r="BJ680">
        <v>0.2</v>
      </c>
      <c r="BK680">
        <v>1</v>
      </c>
      <c r="BL680">
        <v>89.23</v>
      </c>
      <c r="BM680">
        <v>13.38</v>
      </c>
      <c r="BN680">
        <v>102.61</v>
      </c>
      <c r="BO680">
        <v>102.61</v>
      </c>
      <c r="BQ680" t="s">
        <v>70</v>
      </c>
      <c r="BR680" t="s">
        <v>71</v>
      </c>
      <c r="BS680" s="1">
        <v>43944</v>
      </c>
      <c r="BT680" s="2">
        <v>0.41666666666666669</v>
      </c>
      <c r="BU680" t="s">
        <v>904</v>
      </c>
      <c r="BV680" t="s">
        <v>80</v>
      </c>
      <c r="BY680">
        <v>1200</v>
      </c>
      <c r="CC680" t="s">
        <v>902</v>
      </c>
      <c r="CD680">
        <v>6506</v>
      </c>
      <c r="CE680" t="s">
        <v>73</v>
      </c>
      <c r="CF680" s="1">
        <v>43951</v>
      </c>
      <c r="CI680">
        <v>1</v>
      </c>
      <c r="CJ680">
        <v>1</v>
      </c>
      <c r="CK680">
        <v>23</v>
      </c>
      <c r="CL680" t="s">
        <v>74</v>
      </c>
    </row>
    <row r="681" spans="1:90" x14ac:dyDescent="0.25">
      <c r="A681" t="s">
        <v>61</v>
      </c>
      <c r="B681" t="s">
        <v>62</v>
      </c>
      <c r="C681" t="s">
        <v>63</v>
      </c>
      <c r="E681" t="str">
        <f>"FES1162745049"</f>
        <v>FES1162745049</v>
      </c>
      <c r="F681" s="1">
        <v>43943</v>
      </c>
      <c r="G681">
        <v>202010</v>
      </c>
      <c r="H681" t="s">
        <v>64</v>
      </c>
      <c r="I681" t="s">
        <v>65</v>
      </c>
      <c r="J681" t="s">
        <v>66</v>
      </c>
      <c r="K681" t="s">
        <v>67</v>
      </c>
      <c r="L681" t="s">
        <v>116</v>
      </c>
      <c r="M681" t="s">
        <v>117</v>
      </c>
      <c r="N681" t="s">
        <v>118</v>
      </c>
      <c r="O681" t="s">
        <v>69</v>
      </c>
      <c r="P681" t="str">
        <f>"2170736253                    "</f>
        <v xml:space="preserve">2170736253                    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11.78</v>
      </c>
      <c r="AN681">
        <v>0</v>
      </c>
      <c r="AO681">
        <v>0</v>
      </c>
      <c r="AP681">
        <v>0</v>
      </c>
      <c r="AQ681">
        <v>0</v>
      </c>
      <c r="AR681">
        <v>0</v>
      </c>
      <c r="AS681">
        <v>0</v>
      </c>
      <c r="AT681">
        <v>0</v>
      </c>
      <c r="AU681">
        <v>0</v>
      </c>
      <c r="AV681">
        <v>0</v>
      </c>
      <c r="AW681">
        <v>0</v>
      </c>
      <c r="AX681">
        <v>0</v>
      </c>
      <c r="AY681">
        <v>0</v>
      </c>
      <c r="AZ681">
        <v>0</v>
      </c>
      <c r="BA681">
        <v>0</v>
      </c>
      <c r="BB681">
        <v>0</v>
      </c>
      <c r="BG681">
        <v>0</v>
      </c>
      <c r="BH681">
        <v>1</v>
      </c>
      <c r="BI681">
        <v>2.9</v>
      </c>
      <c r="BJ681">
        <v>1</v>
      </c>
      <c r="BK681">
        <v>3</v>
      </c>
      <c r="BL681">
        <v>129.54</v>
      </c>
      <c r="BM681">
        <v>19.43</v>
      </c>
      <c r="BN681">
        <v>148.97</v>
      </c>
      <c r="BO681">
        <v>148.97</v>
      </c>
      <c r="BQ681" t="s">
        <v>78</v>
      </c>
      <c r="BR681" t="s">
        <v>71</v>
      </c>
      <c r="BS681" s="1">
        <v>43944</v>
      </c>
      <c r="BT681" s="2">
        <v>0.41666666666666669</v>
      </c>
      <c r="BU681" t="s">
        <v>119</v>
      </c>
      <c r="BV681" t="s">
        <v>80</v>
      </c>
      <c r="BY681">
        <v>4898.04</v>
      </c>
      <c r="CC681" t="s">
        <v>117</v>
      </c>
      <c r="CD681">
        <v>7300</v>
      </c>
      <c r="CE681" t="s">
        <v>91</v>
      </c>
      <c r="CF681" s="1">
        <v>43945</v>
      </c>
      <c r="CI681">
        <v>1</v>
      </c>
      <c r="CJ681">
        <v>1</v>
      </c>
      <c r="CK681">
        <v>23</v>
      </c>
      <c r="CL681" t="s">
        <v>74</v>
      </c>
    </row>
    <row r="682" spans="1:90" x14ac:dyDescent="0.25">
      <c r="A682" t="s">
        <v>61</v>
      </c>
      <c r="B682" t="s">
        <v>62</v>
      </c>
      <c r="C682" t="s">
        <v>63</v>
      </c>
      <c r="E682" t="str">
        <f>"FES1162745009"</f>
        <v>FES1162745009</v>
      </c>
      <c r="F682" s="1">
        <v>43943</v>
      </c>
      <c r="G682">
        <v>202010</v>
      </c>
      <c r="H682" t="s">
        <v>64</v>
      </c>
      <c r="I682" t="s">
        <v>65</v>
      </c>
      <c r="J682" t="s">
        <v>66</v>
      </c>
      <c r="K682" t="s">
        <v>67</v>
      </c>
      <c r="L682" t="s">
        <v>120</v>
      </c>
      <c r="M682" t="s">
        <v>121</v>
      </c>
      <c r="N682" t="s">
        <v>572</v>
      </c>
      <c r="O682" t="s">
        <v>69</v>
      </c>
      <c r="P682" t="str">
        <f>"2170736211                    "</f>
        <v xml:space="preserve">2170736211                    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0</v>
      </c>
      <c r="AM682">
        <v>4.1900000000000004</v>
      </c>
      <c r="AN682">
        <v>0</v>
      </c>
      <c r="AO682">
        <v>0</v>
      </c>
      <c r="AP682">
        <v>0</v>
      </c>
      <c r="AQ682">
        <v>0</v>
      </c>
      <c r="AR682">
        <v>0</v>
      </c>
      <c r="AS682">
        <v>0</v>
      </c>
      <c r="AT682">
        <v>0</v>
      </c>
      <c r="AU682">
        <v>0</v>
      </c>
      <c r="AV682">
        <v>0</v>
      </c>
      <c r="AW682">
        <v>0</v>
      </c>
      <c r="AX682">
        <v>0</v>
      </c>
      <c r="AY682">
        <v>0</v>
      </c>
      <c r="AZ682">
        <v>0</v>
      </c>
      <c r="BA682">
        <v>0</v>
      </c>
      <c r="BB682">
        <v>0</v>
      </c>
      <c r="BG682">
        <v>0</v>
      </c>
      <c r="BH682">
        <v>1</v>
      </c>
      <c r="BI682">
        <v>1.4</v>
      </c>
      <c r="BJ682">
        <v>0.9</v>
      </c>
      <c r="BK682">
        <v>1.5</v>
      </c>
      <c r="BL682">
        <v>46.06</v>
      </c>
      <c r="BM682">
        <v>6.91</v>
      </c>
      <c r="BN682">
        <v>52.97</v>
      </c>
      <c r="BO682">
        <v>52.97</v>
      </c>
      <c r="BQ682" t="s">
        <v>78</v>
      </c>
      <c r="BR682" t="s">
        <v>71</v>
      </c>
      <c r="BS682" s="1">
        <v>43944</v>
      </c>
      <c r="BT682" s="2">
        <v>0.5395833333333333</v>
      </c>
      <c r="BU682" t="s">
        <v>436</v>
      </c>
      <c r="BV682" t="s">
        <v>74</v>
      </c>
      <c r="BW682" t="s">
        <v>85</v>
      </c>
      <c r="BX682" t="s">
        <v>735</v>
      </c>
      <c r="BY682">
        <v>4499.7299999999996</v>
      </c>
      <c r="CA682" t="s">
        <v>574</v>
      </c>
      <c r="CC682" t="s">
        <v>121</v>
      </c>
      <c r="CD682">
        <v>4051</v>
      </c>
      <c r="CE682" t="s">
        <v>91</v>
      </c>
      <c r="CF682" s="1">
        <v>43945</v>
      </c>
      <c r="CI682">
        <v>1</v>
      </c>
      <c r="CJ682">
        <v>1</v>
      </c>
      <c r="CK682">
        <v>21</v>
      </c>
      <c r="CL682" t="s">
        <v>74</v>
      </c>
    </row>
    <row r="683" spans="1:90" x14ac:dyDescent="0.25">
      <c r="A683" t="s">
        <v>61</v>
      </c>
      <c r="B683" t="s">
        <v>62</v>
      </c>
      <c r="C683" t="s">
        <v>63</v>
      </c>
      <c r="E683" t="str">
        <f>"FES1162745217"</f>
        <v>FES1162745217</v>
      </c>
      <c r="F683" s="1">
        <v>43943</v>
      </c>
      <c r="G683">
        <v>202010</v>
      </c>
      <c r="H683" t="s">
        <v>64</v>
      </c>
      <c r="I683" t="s">
        <v>65</v>
      </c>
      <c r="J683" t="s">
        <v>66</v>
      </c>
      <c r="K683" t="s">
        <v>67</v>
      </c>
      <c r="L683" t="s">
        <v>92</v>
      </c>
      <c r="M683" t="s">
        <v>93</v>
      </c>
      <c r="N683" t="s">
        <v>905</v>
      </c>
      <c r="O683" t="s">
        <v>69</v>
      </c>
      <c r="P683" t="str">
        <f>"2170733009                    "</f>
        <v xml:space="preserve">2170733009                    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0</v>
      </c>
      <c r="AM683">
        <v>16.739999999999998</v>
      </c>
      <c r="AN683">
        <v>0</v>
      </c>
      <c r="AO683">
        <v>0</v>
      </c>
      <c r="AP683">
        <v>0</v>
      </c>
      <c r="AQ683">
        <v>0</v>
      </c>
      <c r="AR683">
        <v>0</v>
      </c>
      <c r="AS683">
        <v>0</v>
      </c>
      <c r="AT683">
        <v>0</v>
      </c>
      <c r="AU683">
        <v>0</v>
      </c>
      <c r="AV683">
        <v>0</v>
      </c>
      <c r="AW683">
        <v>0</v>
      </c>
      <c r="AX683">
        <v>0</v>
      </c>
      <c r="AY683">
        <v>0</v>
      </c>
      <c r="AZ683">
        <v>0</v>
      </c>
      <c r="BA683">
        <v>0</v>
      </c>
      <c r="BB683">
        <v>0</v>
      </c>
      <c r="BG683">
        <v>0</v>
      </c>
      <c r="BH683">
        <v>1</v>
      </c>
      <c r="BI683">
        <v>4.0999999999999996</v>
      </c>
      <c r="BJ683">
        <v>8</v>
      </c>
      <c r="BK683">
        <v>8</v>
      </c>
      <c r="BL683">
        <v>184.13</v>
      </c>
      <c r="BM683">
        <v>27.62</v>
      </c>
      <c r="BN683">
        <v>211.75</v>
      </c>
      <c r="BO683">
        <v>211.75</v>
      </c>
      <c r="BQ683" t="s">
        <v>78</v>
      </c>
      <c r="BR683" t="s">
        <v>71</v>
      </c>
      <c r="BS683" s="1">
        <v>43944</v>
      </c>
      <c r="BT683" s="2">
        <v>0.41666666666666669</v>
      </c>
      <c r="BU683" t="s">
        <v>906</v>
      </c>
      <c r="BV683" t="s">
        <v>80</v>
      </c>
      <c r="BY683">
        <v>40245.35</v>
      </c>
      <c r="CC683" t="s">
        <v>93</v>
      </c>
      <c r="CD683">
        <v>7580</v>
      </c>
      <c r="CE683" t="s">
        <v>73</v>
      </c>
      <c r="CF683" s="1">
        <v>43945</v>
      </c>
      <c r="CI683">
        <v>1</v>
      </c>
      <c r="CJ683">
        <v>1</v>
      </c>
      <c r="CK683">
        <v>21</v>
      </c>
      <c r="CL683" t="s">
        <v>74</v>
      </c>
    </row>
    <row r="684" spans="1:90" x14ac:dyDescent="0.25">
      <c r="A684" t="s">
        <v>61</v>
      </c>
      <c r="B684" t="s">
        <v>62</v>
      </c>
      <c r="C684" t="s">
        <v>63</v>
      </c>
      <c r="E684" t="str">
        <f>"FES1162745186"</f>
        <v>FES1162745186</v>
      </c>
      <c r="F684" s="1">
        <v>43943</v>
      </c>
      <c r="G684">
        <v>202010</v>
      </c>
      <c r="H684" t="s">
        <v>64</v>
      </c>
      <c r="I684" t="s">
        <v>65</v>
      </c>
      <c r="J684" t="s">
        <v>66</v>
      </c>
      <c r="K684" t="s">
        <v>67</v>
      </c>
      <c r="L684" t="s">
        <v>212</v>
      </c>
      <c r="M684" t="s">
        <v>213</v>
      </c>
      <c r="N684" t="s">
        <v>191</v>
      </c>
      <c r="O684" t="s">
        <v>69</v>
      </c>
      <c r="P684" t="str">
        <f>"2170736314                    "</f>
        <v xml:space="preserve">2170736314                    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0</v>
      </c>
      <c r="AM684">
        <v>4.1900000000000004</v>
      </c>
      <c r="AN684">
        <v>0</v>
      </c>
      <c r="AO684">
        <v>0</v>
      </c>
      <c r="AP684">
        <v>0</v>
      </c>
      <c r="AQ684">
        <v>0</v>
      </c>
      <c r="AR684">
        <v>0</v>
      </c>
      <c r="AS684">
        <v>0</v>
      </c>
      <c r="AT684">
        <v>0</v>
      </c>
      <c r="AU684">
        <v>0</v>
      </c>
      <c r="AV684">
        <v>0</v>
      </c>
      <c r="AW684">
        <v>0</v>
      </c>
      <c r="AX684">
        <v>0</v>
      </c>
      <c r="AY684">
        <v>0</v>
      </c>
      <c r="AZ684">
        <v>0</v>
      </c>
      <c r="BA684">
        <v>0</v>
      </c>
      <c r="BB684">
        <v>0</v>
      </c>
      <c r="BG684">
        <v>0</v>
      </c>
      <c r="BH684">
        <v>1</v>
      </c>
      <c r="BI684">
        <v>1.3</v>
      </c>
      <c r="BJ684">
        <v>1</v>
      </c>
      <c r="BK684">
        <v>1.5</v>
      </c>
      <c r="BL684">
        <v>46.06</v>
      </c>
      <c r="BM684">
        <v>6.91</v>
      </c>
      <c r="BN684">
        <v>52.97</v>
      </c>
      <c r="BO684">
        <v>52.97</v>
      </c>
      <c r="BQ684" t="s">
        <v>78</v>
      </c>
      <c r="BR684" t="s">
        <v>71</v>
      </c>
      <c r="BS684" s="1">
        <v>43944</v>
      </c>
      <c r="BT684" s="2">
        <v>0.4284722222222222</v>
      </c>
      <c r="BU684" t="s">
        <v>907</v>
      </c>
      <c r="BV684" t="s">
        <v>80</v>
      </c>
      <c r="BY684">
        <v>5213.3599999999997</v>
      </c>
      <c r="CA684" t="s">
        <v>711</v>
      </c>
      <c r="CC684" t="s">
        <v>213</v>
      </c>
      <c r="CD684">
        <v>3610</v>
      </c>
      <c r="CE684" t="s">
        <v>91</v>
      </c>
      <c r="CF684" s="1">
        <v>43945</v>
      </c>
      <c r="CI684">
        <v>1</v>
      </c>
      <c r="CJ684">
        <v>1</v>
      </c>
      <c r="CK684">
        <v>21</v>
      </c>
      <c r="CL684" t="s">
        <v>74</v>
      </c>
    </row>
    <row r="685" spans="1:90" x14ac:dyDescent="0.25">
      <c r="A685" t="s">
        <v>61</v>
      </c>
      <c r="B685" t="s">
        <v>62</v>
      </c>
      <c r="C685" t="s">
        <v>63</v>
      </c>
      <c r="E685" t="str">
        <f>"FES1162745254"</f>
        <v>FES1162745254</v>
      </c>
      <c r="F685" s="1">
        <v>43943</v>
      </c>
      <c r="G685">
        <v>202010</v>
      </c>
      <c r="H685" t="s">
        <v>64</v>
      </c>
      <c r="I685" t="s">
        <v>65</v>
      </c>
      <c r="J685" t="s">
        <v>66</v>
      </c>
      <c r="K685" t="s">
        <v>67</v>
      </c>
      <c r="L685" t="s">
        <v>99</v>
      </c>
      <c r="M685" t="s">
        <v>100</v>
      </c>
      <c r="N685" t="s">
        <v>859</v>
      </c>
      <c r="O685" t="s">
        <v>69</v>
      </c>
      <c r="P685" t="str">
        <f>"2170734185                    "</f>
        <v xml:space="preserve">2170734185                    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0</v>
      </c>
      <c r="AM685">
        <v>8.11</v>
      </c>
      <c r="AN685">
        <v>0</v>
      </c>
      <c r="AO685">
        <v>0</v>
      </c>
      <c r="AP685">
        <v>0</v>
      </c>
      <c r="AQ685">
        <v>0</v>
      </c>
      <c r="AR685">
        <v>0</v>
      </c>
      <c r="AS685">
        <v>0</v>
      </c>
      <c r="AT685">
        <v>0</v>
      </c>
      <c r="AU685">
        <v>0</v>
      </c>
      <c r="AV685">
        <v>0</v>
      </c>
      <c r="AW685">
        <v>0</v>
      </c>
      <c r="AX685">
        <v>0</v>
      </c>
      <c r="AY685">
        <v>0</v>
      </c>
      <c r="AZ685">
        <v>0</v>
      </c>
      <c r="BA685">
        <v>0</v>
      </c>
      <c r="BB685">
        <v>0</v>
      </c>
      <c r="BG685">
        <v>0</v>
      </c>
      <c r="BH685">
        <v>1</v>
      </c>
      <c r="BI685">
        <v>1.3</v>
      </c>
      <c r="BJ685">
        <v>1.5</v>
      </c>
      <c r="BK685">
        <v>1.5</v>
      </c>
      <c r="BL685">
        <v>89.23</v>
      </c>
      <c r="BM685">
        <v>13.38</v>
      </c>
      <c r="BN685">
        <v>102.61</v>
      </c>
      <c r="BO685">
        <v>102.61</v>
      </c>
      <c r="BQ685" t="s">
        <v>78</v>
      </c>
      <c r="BR685" t="s">
        <v>71</v>
      </c>
      <c r="BS685" s="1">
        <v>43945</v>
      </c>
      <c r="BT685" s="2">
        <v>0.50486111111111109</v>
      </c>
      <c r="BU685" t="s">
        <v>860</v>
      </c>
      <c r="BV685" t="s">
        <v>80</v>
      </c>
      <c r="BY685">
        <v>7529.46</v>
      </c>
      <c r="CA685" t="s">
        <v>103</v>
      </c>
      <c r="CC685" t="s">
        <v>100</v>
      </c>
      <c r="CD685">
        <v>6850</v>
      </c>
      <c r="CE685" t="s">
        <v>91</v>
      </c>
      <c r="CF685" s="1">
        <v>43950</v>
      </c>
      <c r="CI685">
        <v>3</v>
      </c>
      <c r="CJ685">
        <v>2</v>
      </c>
      <c r="CK685">
        <v>23</v>
      </c>
      <c r="CL685" t="s">
        <v>74</v>
      </c>
    </row>
    <row r="686" spans="1:90" x14ac:dyDescent="0.25">
      <c r="A686" t="s">
        <v>61</v>
      </c>
      <c r="B686" t="s">
        <v>62</v>
      </c>
      <c r="C686" t="s">
        <v>63</v>
      </c>
      <c r="E686" t="str">
        <f>"FES1162745236"</f>
        <v>FES1162745236</v>
      </c>
      <c r="F686" s="1">
        <v>43943</v>
      </c>
      <c r="G686">
        <v>202010</v>
      </c>
      <c r="H686" t="s">
        <v>64</v>
      </c>
      <c r="I686" t="s">
        <v>65</v>
      </c>
      <c r="J686" t="s">
        <v>66</v>
      </c>
      <c r="K686" t="s">
        <v>67</v>
      </c>
      <c r="L686" t="s">
        <v>104</v>
      </c>
      <c r="M686" t="s">
        <v>105</v>
      </c>
      <c r="N686" t="s">
        <v>106</v>
      </c>
      <c r="O686" t="s">
        <v>69</v>
      </c>
      <c r="P686" t="str">
        <f>"2170736161                    "</f>
        <v xml:space="preserve">2170736161                    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0</v>
      </c>
      <c r="AM686">
        <v>14.49</v>
      </c>
      <c r="AN686">
        <v>0</v>
      </c>
      <c r="AO686">
        <v>0</v>
      </c>
      <c r="AP686">
        <v>0</v>
      </c>
      <c r="AQ686">
        <v>0</v>
      </c>
      <c r="AR686">
        <v>0</v>
      </c>
      <c r="AS686">
        <v>0</v>
      </c>
      <c r="AT686">
        <v>0</v>
      </c>
      <c r="AU686">
        <v>0</v>
      </c>
      <c r="AV686">
        <v>0</v>
      </c>
      <c r="AW686">
        <v>0</v>
      </c>
      <c r="AX686">
        <v>0</v>
      </c>
      <c r="AY686">
        <v>0</v>
      </c>
      <c r="AZ686">
        <v>0</v>
      </c>
      <c r="BA686">
        <v>0</v>
      </c>
      <c r="BB686">
        <v>0</v>
      </c>
      <c r="BG686">
        <v>0</v>
      </c>
      <c r="BH686">
        <v>1</v>
      </c>
      <c r="BI686">
        <v>4.5999999999999996</v>
      </c>
      <c r="BJ686">
        <v>1.6</v>
      </c>
      <c r="BK686">
        <v>5</v>
      </c>
      <c r="BL686">
        <v>159.41</v>
      </c>
      <c r="BM686">
        <v>23.91</v>
      </c>
      <c r="BN686">
        <v>183.32</v>
      </c>
      <c r="BO686">
        <v>183.32</v>
      </c>
      <c r="BQ686" t="s">
        <v>78</v>
      </c>
      <c r="BR686" t="s">
        <v>71</v>
      </c>
      <c r="BS686" s="1">
        <v>43944</v>
      </c>
      <c r="BT686" s="2">
        <v>0.34027777777777773</v>
      </c>
      <c r="BU686" t="s">
        <v>107</v>
      </c>
      <c r="BV686" t="s">
        <v>80</v>
      </c>
      <c r="BY686">
        <v>8223.66</v>
      </c>
      <c r="CC686" t="s">
        <v>105</v>
      </c>
      <c r="CD686">
        <v>1759</v>
      </c>
      <c r="CE686" t="s">
        <v>91</v>
      </c>
      <c r="CF686" s="1">
        <v>43945</v>
      </c>
      <c r="CI686">
        <v>1</v>
      </c>
      <c r="CJ686">
        <v>1</v>
      </c>
      <c r="CK686">
        <v>24</v>
      </c>
      <c r="CL686" t="s">
        <v>74</v>
      </c>
    </row>
    <row r="687" spans="1:90" x14ac:dyDescent="0.25">
      <c r="A687" t="s">
        <v>61</v>
      </c>
      <c r="B687" t="s">
        <v>62</v>
      </c>
      <c r="C687" t="s">
        <v>63</v>
      </c>
      <c r="E687" t="str">
        <f>"FES1162745243"</f>
        <v>FES1162745243</v>
      </c>
      <c r="F687" s="1">
        <v>43943</v>
      </c>
      <c r="G687">
        <v>202010</v>
      </c>
      <c r="H687" t="s">
        <v>64</v>
      </c>
      <c r="I687" t="s">
        <v>65</v>
      </c>
      <c r="J687" t="s">
        <v>66</v>
      </c>
      <c r="K687" t="s">
        <v>67</v>
      </c>
      <c r="L687" t="s">
        <v>385</v>
      </c>
      <c r="M687" t="s">
        <v>386</v>
      </c>
      <c r="N687" t="s">
        <v>387</v>
      </c>
      <c r="O687" t="s">
        <v>69</v>
      </c>
      <c r="P687" t="str">
        <f>"23170736231                   "</f>
        <v xml:space="preserve">23170736231                   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0</v>
      </c>
      <c r="AM687">
        <v>14.49</v>
      </c>
      <c r="AN687">
        <v>0</v>
      </c>
      <c r="AO687">
        <v>0</v>
      </c>
      <c r="AP687">
        <v>0</v>
      </c>
      <c r="AQ687">
        <v>0</v>
      </c>
      <c r="AR687">
        <v>0</v>
      </c>
      <c r="AS687">
        <v>0</v>
      </c>
      <c r="AT687">
        <v>0</v>
      </c>
      <c r="AU687">
        <v>0</v>
      </c>
      <c r="AV687">
        <v>0</v>
      </c>
      <c r="AW687">
        <v>0</v>
      </c>
      <c r="AX687">
        <v>0</v>
      </c>
      <c r="AY687">
        <v>0</v>
      </c>
      <c r="AZ687">
        <v>0</v>
      </c>
      <c r="BA687">
        <v>0</v>
      </c>
      <c r="BB687">
        <v>0</v>
      </c>
      <c r="BG687">
        <v>0</v>
      </c>
      <c r="BH687">
        <v>1</v>
      </c>
      <c r="BI687">
        <v>4.5999999999999996</v>
      </c>
      <c r="BJ687">
        <v>1.6</v>
      </c>
      <c r="BK687">
        <v>5</v>
      </c>
      <c r="BL687">
        <v>159.41</v>
      </c>
      <c r="BM687">
        <v>23.91</v>
      </c>
      <c r="BN687">
        <v>183.32</v>
      </c>
      <c r="BO687">
        <v>183.32</v>
      </c>
      <c r="BQ687" t="s">
        <v>109</v>
      </c>
      <c r="BR687" t="s">
        <v>71</v>
      </c>
      <c r="BS687" s="1">
        <v>43944</v>
      </c>
      <c r="BT687" s="2">
        <v>0.375</v>
      </c>
      <c r="BU687" t="s">
        <v>813</v>
      </c>
      <c r="BV687" t="s">
        <v>80</v>
      </c>
      <c r="BY687">
        <v>7989.1</v>
      </c>
      <c r="CC687" t="s">
        <v>386</v>
      </c>
      <c r="CD687">
        <v>1871</v>
      </c>
      <c r="CE687" t="s">
        <v>91</v>
      </c>
      <c r="CF687" s="1">
        <v>43945</v>
      </c>
      <c r="CI687">
        <v>1</v>
      </c>
      <c r="CJ687">
        <v>1</v>
      </c>
      <c r="CK687">
        <v>24</v>
      </c>
      <c r="CL687" t="s">
        <v>74</v>
      </c>
    </row>
    <row r="688" spans="1:90" x14ac:dyDescent="0.25">
      <c r="A688" t="s">
        <v>61</v>
      </c>
      <c r="B688" t="s">
        <v>62</v>
      </c>
      <c r="C688" t="s">
        <v>63</v>
      </c>
      <c r="E688" t="str">
        <f>"FES1162745226"</f>
        <v>FES1162745226</v>
      </c>
      <c r="F688" s="1">
        <v>43943</v>
      </c>
      <c r="G688">
        <v>202010</v>
      </c>
      <c r="H688" t="s">
        <v>64</v>
      </c>
      <c r="I688" t="s">
        <v>65</v>
      </c>
      <c r="J688" t="s">
        <v>66</v>
      </c>
      <c r="K688" t="s">
        <v>67</v>
      </c>
      <c r="L688" t="s">
        <v>92</v>
      </c>
      <c r="M688" t="s">
        <v>93</v>
      </c>
      <c r="N688" t="s">
        <v>905</v>
      </c>
      <c r="O688" t="s">
        <v>69</v>
      </c>
      <c r="P688" t="str">
        <f>"2170736432                    "</f>
        <v xml:space="preserve">2170736432                    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27.2</v>
      </c>
      <c r="AN688">
        <v>0</v>
      </c>
      <c r="AO688">
        <v>0</v>
      </c>
      <c r="AP688">
        <v>0</v>
      </c>
      <c r="AQ688">
        <v>0</v>
      </c>
      <c r="AR688">
        <v>0</v>
      </c>
      <c r="AS688">
        <v>0</v>
      </c>
      <c r="AT688">
        <v>0</v>
      </c>
      <c r="AU688">
        <v>0</v>
      </c>
      <c r="AV688">
        <v>0</v>
      </c>
      <c r="AW688">
        <v>0</v>
      </c>
      <c r="AX688">
        <v>0</v>
      </c>
      <c r="AY688">
        <v>0</v>
      </c>
      <c r="AZ688">
        <v>0</v>
      </c>
      <c r="BA688">
        <v>0</v>
      </c>
      <c r="BB688">
        <v>0</v>
      </c>
      <c r="BG688">
        <v>0</v>
      </c>
      <c r="BH688">
        <v>1</v>
      </c>
      <c r="BI688">
        <v>3.7</v>
      </c>
      <c r="BJ688">
        <v>12.7</v>
      </c>
      <c r="BK688">
        <v>13</v>
      </c>
      <c r="BL688">
        <v>299.19</v>
      </c>
      <c r="BM688">
        <v>44.88</v>
      </c>
      <c r="BN688">
        <v>344.07</v>
      </c>
      <c r="BO688">
        <v>344.07</v>
      </c>
      <c r="BQ688" t="s">
        <v>78</v>
      </c>
      <c r="BR688" t="s">
        <v>71</v>
      </c>
      <c r="BS688" s="1">
        <v>43944</v>
      </c>
      <c r="BT688" s="2">
        <v>0.41666666666666669</v>
      </c>
      <c r="BU688" t="s">
        <v>906</v>
      </c>
      <c r="BV688" t="s">
        <v>80</v>
      </c>
      <c r="BY688">
        <v>63492.33</v>
      </c>
      <c r="CC688" t="s">
        <v>93</v>
      </c>
      <c r="CD688">
        <v>7580</v>
      </c>
      <c r="CE688" t="s">
        <v>91</v>
      </c>
      <c r="CF688" s="1">
        <v>43945</v>
      </c>
      <c r="CI688">
        <v>1</v>
      </c>
      <c r="CJ688">
        <v>1</v>
      </c>
      <c r="CK688">
        <v>21</v>
      </c>
      <c r="CL688" t="s">
        <v>74</v>
      </c>
    </row>
    <row r="689" spans="1:90" x14ac:dyDescent="0.25">
      <c r="A689" t="s">
        <v>61</v>
      </c>
      <c r="B689" t="s">
        <v>62</v>
      </c>
      <c r="C689" t="s">
        <v>63</v>
      </c>
      <c r="E689" t="str">
        <f>"FES1162745218"</f>
        <v>FES1162745218</v>
      </c>
      <c r="F689" s="1">
        <v>43943</v>
      </c>
      <c r="G689">
        <v>202010</v>
      </c>
      <c r="H689" t="s">
        <v>64</v>
      </c>
      <c r="I689" t="s">
        <v>65</v>
      </c>
      <c r="J689" t="s">
        <v>66</v>
      </c>
      <c r="K689" t="s">
        <v>67</v>
      </c>
      <c r="L689" t="s">
        <v>92</v>
      </c>
      <c r="M689" t="s">
        <v>93</v>
      </c>
      <c r="N689" t="s">
        <v>905</v>
      </c>
      <c r="O689" t="s">
        <v>69</v>
      </c>
      <c r="P689" t="str">
        <f>"2170733033                    "</f>
        <v xml:space="preserve">2170733033                    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0</v>
      </c>
      <c r="AM689">
        <v>28.25</v>
      </c>
      <c r="AN689">
        <v>0</v>
      </c>
      <c r="AO689">
        <v>0</v>
      </c>
      <c r="AP689">
        <v>0</v>
      </c>
      <c r="AQ689">
        <v>0</v>
      </c>
      <c r="AR689">
        <v>0</v>
      </c>
      <c r="AS689">
        <v>0</v>
      </c>
      <c r="AT689">
        <v>0</v>
      </c>
      <c r="AU689">
        <v>0</v>
      </c>
      <c r="AV689">
        <v>0</v>
      </c>
      <c r="AW689">
        <v>0</v>
      </c>
      <c r="AX689">
        <v>0</v>
      </c>
      <c r="AY689">
        <v>0</v>
      </c>
      <c r="AZ689">
        <v>0</v>
      </c>
      <c r="BA689">
        <v>0</v>
      </c>
      <c r="BB689">
        <v>0</v>
      </c>
      <c r="BG689">
        <v>0</v>
      </c>
      <c r="BH689">
        <v>1</v>
      </c>
      <c r="BI689">
        <v>13.5</v>
      </c>
      <c r="BJ689">
        <v>7.6</v>
      </c>
      <c r="BK689">
        <v>13.5</v>
      </c>
      <c r="BL689">
        <v>310.7</v>
      </c>
      <c r="BM689">
        <v>46.61</v>
      </c>
      <c r="BN689">
        <v>357.31</v>
      </c>
      <c r="BO689">
        <v>357.31</v>
      </c>
      <c r="BR689" t="s">
        <v>71</v>
      </c>
      <c r="BS689" s="1">
        <v>43944</v>
      </c>
      <c r="BT689" s="2">
        <v>0.41666666666666669</v>
      </c>
      <c r="BU689" t="s">
        <v>906</v>
      </c>
      <c r="BV689" t="s">
        <v>80</v>
      </c>
      <c r="BY689">
        <v>38039.78</v>
      </c>
      <c r="CC689" t="s">
        <v>93</v>
      </c>
      <c r="CD689">
        <v>7580</v>
      </c>
      <c r="CE689" t="s">
        <v>91</v>
      </c>
      <c r="CF689" s="1">
        <v>43945</v>
      </c>
      <c r="CI689">
        <v>1</v>
      </c>
      <c r="CJ689">
        <v>1</v>
      </c>
      <c r="CK689">
        <v>21</v>
      </c>
      <c r="CL689" t="s">
        <v>74</v>
      </c>
    </row>
    <row r="690" spans="1:90" x14ac:dyDescent="0.25">
      <c r="A690" t="s">
        <v>61</v>
      </c>
      <c r="B690" t="s">
        <v>62</v>
      </c>
      <c r="C690" t="s">
        <v>63</v>
      </c>
      <c r="E690" t="str">
        <f>"FES1162745215"</f>
        <v>FES1162745215</v>
      </c>
      <c r="F690" s="1">
        <v>43943</v>
      </c>
      <c r="G690">
        <v>202010</v>
      </c>
      <c r="H690" t="s">
        <v>64</v>
      </c>
      <c r="I690" t="s">
        <v>65</v>
      </c>
      <c r="J690" t="s">
        <v>66</v>
      </c>
      <c r="K690" t="s">
        <v>67</v>
      </c>
      <c r="L690" t="s">
        <v>177</v>
      </c>
      <c r="M690" t="s">
        <v>178</v>
      </c>
      <c r="N690" t="s">
        <v>179</v>
      </c>
      <c r="O690" t="s">
        <v>69</v>
      </c>
      <c r="P690" t="str">
        <f>"2170736294                    "</f>
        <v xml:space="preserve">2170736294                    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6.28</v>
      </c>
      <c r="AN690">
        <v>0</v>
      </c>
      <c r="AO690">
        <v>0</v>
      </c>
      <c r="AP690">
        <v>0</v>
      </c>
      <c r="AQ690">
        <v>0</v>
      </c>
      <c r="AR690">
        <v>0</v>
      </c>
      <c r="AS690">
        <v>0</v>
      </c>
      <c r="AT690">
        <v>0</v>
      </c>
      <c r="AU690">
        <v>0</v>
      </c>
      <c r="AV690">
        <v>0</v>
      </c>
      <c r="AW690">
        <v>0</v>
      </c>
      <c r="AX690">
        <v>0</v>
      </c>
      <c r="AY690">
        <v>0</v>
      </c>
      <c r="AZ690">
        <v>0</v>
      </c>
      <c r="BA690">
        <v>0</v>
      </c>
      <c r="BB690">
        <v>0</v>
      </c>
      <c r="BG690">
        <v>0</v>
      </c>
      <c r="BH690">
        <v>1</v>
      </c>
      <c r="BI690">
        <v>1.3</v>
      </c>
      <c r="BJ690">
        <v>3</v>
      </c>
      <c r="BK690">
        <v>3</v>
      </c>
      <c r="BL690">
        <v>69.069999999999993</v>
      </c>
      <c r="BM690">
        <v>10.36</v>
      </c>
      <c r="BN690">
        <v>79.430000000000007</v>
      </c>
      <c r="BO690">
        <v>79.430000000000007</v>
      </c>
      <c r="BQ690" t="s">
        <v>70</v>
      </c>
      <c r="BR690" t="s">
        <v>71</v>
      </c>
      <c r="BS690" s="1">
        <v>43944</v>
      </c>
      <c r="BT690" s="2">
        <v>0.54305555555555551</v>
      </c>
      <c r="BU690" t="s">
        <v>235</v>
      </c>
      <c r="BV690" t="s">
        <v>74</v>
      </c>
      <c r="BW690" t="s">
        <v>85</v>
      </c>
      <c r="BX690" t="s">
        <v>735</v>
      </c>
      <c r="BY690">
        <v>15048</v>
      </c>
      <c r="CA690" t="s">
        <v>741</v>
      </c>
      <c r="CC690" t="s">
        <v>178</v>
      </c>
      <c r="CD690">
        <v>4302</v>
      </c>
      <c r="CE690" t="s">
        <v>91</v>
      </c>
      <c r="CF690" s="1">
        <v>43945</v>
      </c>
      <c r="CI690">
        <v>1</v>
      </c>
      <c r="CJ690">
        <v>1</v>
      </c>
      <c r="CK690">
        <v>21</v>
      </c>
      <c r="CL690" t="s">
        <v>74</v>
      </c>
    </row>
    <row r="691" spans="1:90" x14ac:dyDescent="0.25">
      <c r="A691" t="s">
        <v>61</v>
      </c>
      <c r="B691" t="s">
        <v>62</v>
      </c>
      <c r="C691" t="s">
        <v>63</v>
      </c>
      <c r="E691" t="str">
        <f>"FES1162745212"</f>
        <v>FES1162745212</v>
      </c>
      <c r="F691" s="1">
        <v>43943</v>
      </c>
      <c r="G691">
        <v>202010</v>
      </c>
      <c r="H691" t="s">
        <v>64</v>
      </c>
      <c r="I691" t="s">
        <v>65</v>
      </c>
      <c r="J691" t="s">
        <v>66</v>
      </c>
      <c r="K691" t="s">
        <v>67</v>
      </c>
      <c r="L691" t="s">
        <v>212</v>
      </c>
      <c r="M691" t="s">
        <v>213</v>
      </c>
      <c r="N691" t="s">
        <v>889</v>
      </c>
      <c r="O691" t="s">
        <v>69</v>
      </c>
      <c r="P691" t="str">
        <f>"2170734548                    "</f>
        <v xml:space="preserve">2170734548                    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0</v>
      </c>
      <c r="AM691">
        <v>4.1900000000000004</v>
      </c>
      <c r="AN691">
        <v>0</v>
      </c>
      <c r="AO691">
        <v>0</v>
      </c>
      <c r="AP691">
        <v>0</v>
      </c>
      <c r="AQ691">
        <v>0</v>
      </c>
      <c r="AR691">
        <v>0</v>
      </c>
      <c r="AS691">
        <v>0</v>
      </c>
      <c r="AT691">
        <v>0</v>
      </c>
      <c r="AU691">
        <v>0</v>
      </c>
      <c r="AV691">
        <v>0</v>
      </c>
      <c r="AW691">
        <v>0</v>
      </c>
      <c r="AX691">
        <v>0</v>
      </c>
      <c r="AY691">
        <v>0</v>
      </c>
      <c r="AZ691">
        <v>0</v>
      </c>
      <c r="BA691">
        <v>0</v>
      </c>
      <c r="BB691">
        <v>0</v>
      </c>
      <c r="BG691">
        <v>0</v>
      </c>
      <c r="BH691">
        <v>1</v>
      </c>
      <c r="BI691">
        <v>1.4</v>
      </c>
      <c r="BJ691">
        <v>0.9</v>
      </c>
      <c r="BK691">
        <v>1.5</v>
      </c>
      <c r="BL691">
        <v>46.06</v>
      </c>
      <c r="BM691">
        <v>6.91</v>
      </c>
      <c r="BN691">
        <v>52.97</v>
      </c>
      <c r="BO691">
        <v>52.97</v>
      </c>
      <c r="BQ691" t="s">
        <v>268</v>
      </c>
      <c r="BR691" t="s">
        <v>71</v>
      </c>
      <c r="BS691" s="1">
        <v>43944</v>
      </c>
      <c r="BT691" s="2">
        <v>0.4368055555555555</v>
      </c>
      <c r="BU691" t="s">
        <v>890</v>
      </c>
      <c r="BV691" t="s">
        <v>80</v>
      </c>
      <c r="BY691">
        <v>4717.3</v>
      </c>
      <c r="CA691" t="s">
        <v>711</v>
      </c>
      <c r="CC691" t="s">
        <v>213</v>
      </c>
      <c r="CD691">
        <v>3610</v>
      </c>
      <c r="CE691" t="s">
        <v>91</v>
      </c>
      <c r="CF691" s="1">
        <v>43945</v>
      </c>
      <c r="CI691">
        <v>1</v>
      </c>
      <c r="CJ691">
        <v>1</v>
      </c>
      <c r="CK691">
        <v>21</v>
      </c>
      <c r="CL691" t="s">
        <v>74</v>
      </c>
    </row>
    <row r="692" spans="1:90" x14ac:dyDescent="0.25">
      <c r="A692" t="s">
        <v>61</v>
      </c>
      <c r="B692" t="s">
        <v>62</v>
      </c>
      <c r="C692" t="s">
        <v>63</v>
      </c>
      <c r="E692" t="str">
        <f>"FES1162745182"</f>
        <v>FES1162745182</v>
      </c>
      <c r="F692" s="1">
        <v>43943</v>
      </c>
      <c r="G692">
        <v>202010</v>
      </c>
      <c r="H692" t="s">
        <v>64</v>
      </c>
      <c r="I692" t="s">
        <v>65</v>
      </c>
      <c r="J692" t="s">
        <v>66</v>
      </c>
      <c r="K692" t="s">
        <v>67</v>
      </c>
      <c r="L692" t="s">
        <v>177</v>
      </c>
      <c r="M692" t="s">
        <v>178</v>
      </c>
      <c r="N692" t="s">
        <v>179</v>
      </c>
      <c r="O692" t="s">
        <v>69</v>
      </c>
      <c r="P692" t="str">
        <f>"2170736337                    "</f>
        <v xml:space="preserve">2170736337                    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23.02</v>
      </c>
      <c r="AN692">
        <v>0</v>
      </c>
      <c r="AO692">
        <v>0</v>
      </c>
      <c r="AP692">
        <v>0</v>
      </c>
      <c r="AQ692">
        <v>0</v>
      </c>
      <c r="AR692">
        <v>0</v>
      </c>
      <c r="AS692">
        <v>0</v>
      </c>
      <c r="AT692">
        <v>0</v>
      </c>
      <c r="AU692">
        <v>0</v>
      </c>
      <c r="AV692">
        <v>0</v>
      </c>
      <c r="AW692">
        <v>0</v>
      </c>
      <c r="AX692">
        <v>0</v>
      </c>
      <c r="AY692">
        <v>0</v>
      </c>
      <c r="AZ692">
        <v>0</v>
      </c>
      <c r="BA692">
        <v>0</v>
      </c>
      <c r="BB692">
        <v>0</v>
      </c>
      <c r="BG692">
        <v>0</v>
      </c>
      <c r="BH692">
        <v>2</v>
      </c>
      <c r="BI692">
        <v>10.6</v>
      </c>
      <c r="BJ692">
        <v>4.0999999999999996</v>
      </c>
      <c r="BK692">
        <v>11</v>
      </c>
      <c r="BL692">
        <v>253.17</v>
      </c>
      <c r="BM692">
        <v>37.979999999999997</v>
      </c>
      <c r="BN692">
        <v>291.14999999999998</v>
      </c>
      <c r="BO692">
        <v>291.14999999999998</v>
      </c>
      <c r="BQ692" t="s">
        <v>70</v>
      </c>
      <c r="BR692" t="s">
        <v>71</v>
      </c>
      <c r="BS692" s="1">
        <v>43944</v>
      </c>
      <c r="BT692" s="2">
        <v>0.47916666666666669</v>
      </c>
      <c r="BU692" t="s">
        <v>908</v>
      </c>
      <c r="BV692" t="s">
        <v>80</v>
      </c>
      <c r="BY692">
        <v>20255.810000000001</v>
      </c>
      <c r="CC692" t="s">
        <v>178</v>
      </c>
      <c r="CD692">
        <v>4302</v>
      </c>
      <c r="CE692" t="s">
        <v>381</v>
      </c>
      <c r="CF692" s="1">
        <v>43945</v>
      </c>
      <c r="CI692">
        <v>1</v>
      </c>
      <c r="CJ692">
        <v>1</v>
      </c>
      <c r="CK692">
        <v>21</v>
      </c>
      <c r="CL692" t="s">
        <v>74</v>
      </c>
    </row>
    <row r="693" spans="1:90" x14ac:dyDescent="0.25">
      <c r="A693" t="s">
        <v>61</v>
      </c>
      <c r="B693" t="s">
        <v>62</v>
      </c>
      <c r="C693" t="s">
        <v>63</v>
      </c>
      <c r="E693" t="str">
        <f>"FES1162745216"</f>
        <v>FES1162745216</v>
      </c>
      <c r="F693" s="1">
        <v>43943</v>
      </c>
      <c r="G693">
        <v>202010</v>
      </c>
      <c r="H693" t="s">
        <v>64</v>
      </c>
      <c r="I693" t="s">
        <v>65</v>
      </c>
      <c r="J693" t="s">
        <v>66</v>
      </c>
      <c r="K693" t="s">
        <v>67</v>
      </c>
      <c r="L693" t="s">
        <v>177</v>
      </c>
      <c r="M693" t="s">
        <v>178</v>
      </c>
      <c r="N693" t="s">
        <v>179</v>
      </c>
      <c r="O693" t="s">
        <v>69</v>
      </c>
      <c r="P693" t="str">
        <f>"2170736293                    "</f>
        <v xml:space="preserve">2170736293                    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6.28</v>
      </c>
      <c r="AN693">
        <v>0</v>
      </c>
      <c r="AO693">
        <v>0</v>
      </c>
      <c r="AP693">
        <v>0</v>
      </c>
      <c r="AQ693">
        <v>0</v>
      </c>
      <c r="AR693">
        <v>0</v>
      </c>
      <c r="AS693">
        <v>0</v>
      </c>
      <c r="AT693">
        <v>0</v>
      </c>
      <c r="AU693">
        <v>0</v>
      </c>
      <c r="AV693">
        <v>0</v>
      </c>
      <c r="AW693">
        <v>0</v>
      </c>
      <c r="AX693">
        <v>0</v>
      </c>
      <c r="AY693">
        <v>0</v>
      </c>
      <c r="AZ693">
        <v>0</v>
      </c>
      <c r="BA693">
        <v>0</v>
      </c>
      <c r="BB693">
        <v>0</v>
      </c>
      <c r="BG693">
        <v>0</v>
      </c>
      <c r="BH693">
        <v>1</v>
      </c>
      <c r="BI693">
        <v>2.2999999999999998</v>
      </c>
      <c r="BJ693">
        <v>2.6</v>
      </c>
      <c r="BK693">
        <v>3</v>
      </c>
      <c r="BL693">
        <v>69.069999999999993</v>
      </c>
      <c r="BM693">
        <v>10.36</v>
      </c>
      <c r="BN693">
        <v>79.430000000000007</v>
      </c>
      <c r="BO693">
        <v>79.430000000000007</v>
      </c>
      <c r="BQ693" t="s">
        <v>70</v>
      </c>
      <c r="BR693" t="s">
        <v>71</v>
      </c>
      <c r="BS693" s="1">
        <v>43944</v>
      </c>
      <c r="BT693" s="2">
        <v>0.54375000000000007</v>
      </c>
      <c r="BU693" t="s">
        <v>235</v>
      </c>
      <c r="BV693" t="s">
        <v>74</v>
      </c>
      <c r="BW693" t="s">
        <v>85</v>
      </c>
      <c r="BX693" t="s">
        <v>735</v>
      </c>
      <c r="BY693">
        <v>13108.81</v>
      </c>
      <c r="CA693" t="s">
        <v>741</v>
      </c>
      <c r="CC693" t="s">
        <v>178</v>
      </c>
      <c r="CD693">
        <v>4302</v>
      </c>
      <c r="CE693" t="s">
        <v>91</v>
      </c>
      <c r="CF693" s="1">
        <v>43945</v>
      </c>
      <c r="CI693">
        <v>1</v>
      </c>
      <c r="CJ693">
        <v>1</v>
      </c>
      <c r="CK693">
        <v>21</v>
      </c>
      <c r="CL693" t="s">
        <v>74</v>
      </c>
    </row>
    <row r="694" spans="1:90" x14ac:dyDescent="0.25">
      <c r="A694" t="s">
        <v>61</v>
      </c>
      <c r="B694" t="s">
        <v>62</v>
      </c>
      <c r="C694" t="s">
        <v>63</v>
      </c>
      <c r="E694" t="str">
        <f>"FES1162745247"</f>
        <v>FES1162745247</v>
      </c>
      <c r="F694" s="1">
        <v>43943</v>
      </c>
      <c r="G694">
        <v>202010</v>
      </c>
      <c r="H694" t="s">
        <v>64</v>
      </c>
      <c r="I694" t="s">
        <v>65</v>
      </c>
      <c r="J694" t="s">
        <v>66</v>
      </c>
      <c r="K694" t="s">
        <v>67</v>
      </c>
      <c r="L694" t="s">
        <v>81</v>
      </c>
      <c r="M694" t="s">
        <v>82</v>
      </c>
      <c r="N694" t="s">
        <v>83</v>
      </c>
      <c r="O694" t="s">
        <v>69</v>
      </c>
      <c r="P694" t="str">
        <f>"2170736469                    "</f>
        <v xml:space="preserve">2170736469                    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4.1900000000000004</v>
      </c>
      <c r="AN694">
        <v>0</v>
      </c>
      <c r="AO694">
        <v>0</v>
      </c>
      <c r="AP694">
        <v>0</v>
      </c>
      <c r="AQ694">
        <v>0</v>
      </c>
      <c r="AR694">
        <v>0</v>
      </c>
      <c r="AS694">
        <v>0</v>
      </c>
      <c r="AT694">
        <v>0</v>
      </c>
      <c r="AU694">
        <v>0</v>
      </c>
      <c r="AV694">
        <v>0</v>
      </c>
      <c r="AW694">
        <v>0</v>
      </c>
      <c r="AX694">
        <v>0</v>
      </c>
      <c r="AY694">
        <v>0</v>
      </c>
      <c r="AZ694">
        <v>0</v>
      </c>
      <c r="BA694">
        <v>0</v>
      </c>
      <c r="BB694">
        <v>0</v>
      </c>
      <c r="BG694">
        <v>0</v>
      </c>
      <c r="BH694">
        <v>1</v>
      </c>
      <c r="BI694">
        <v>1</v>
      </c>
      <c r="BJ694">
        <v>0.2</v>
      </c>
      <c r="BK694">
        <v>1</v>
      </c>
      <c r="BL694">
        <v>46.06</v>
      </c>
      <c r="BM694">
        <v>6.91</v>
      </c>
      <c r="BN694">
        <v>52.97</v>
      </c>
      <c r="BO694">
        <v>52.97</v>
      </c>
      <c r="BQ694" t="s">
        <v>78</v>
      </c>
      <c r="BR694" t="s">
        <v>71</v>
      </c>
      <c r="BS694" s="1">
        <v>43950</v>
      </c>
      <c r="BT694" s="2">
        <v>0.41666666666666669</v>
      </c>
      <c r="BU694" t="s">
        <v>909</v>
      </c>
      <c r="BV694" t="s">
        <v>74</v>
      </c>
      <c r="BY694">
        <v>1200</v>
      </c>
      <c r="CC694" t="s">
        <v>82</v>
      </c>
      <c r="CD694">
        <v>9300</v>
      </c>
      <c r="CE694" t="s">
        <v>73</v>
      </c>
      <c r="CI694">
        <v>1</v>
      </c>
      <c r="CJ694">
        <v>5</v>
      </c>
      <c r="CK694">
        <v>21</v>
      </c>
      <c r="CL694" t="s">
        <v>74</v>
      </c>
    </row>
    <row r="695" spans="1:90" x14ac:dyDescent="0.25">
      <c r="A695" t="s">
        <v>61</v>
      </c>
      <c r="B695" t="s">
        <v>62</v>
      </c>
      <c r="C695" t="s">
        <v>63</v>
      </c>
      <c r="E695" t="str">
        <f>"FES1162745231"</f>
        <v>FES1162745231</v>
      </c>
      <c r="F695" s="1">
        <v>43943</v>
      </c>
      <c r="G695">
        <v>202010</v>
      </c>
      <c r="H695" t="s">
        <v>64</v>
      </c>
      <c r="I695" t="s">
        <v>65</v>
      </c>
      <c r="J695" t="s">
        <v>66</v>
      </c>
      <c r="K695" t="s">
        <v>67</v>
      </c>
      <c r="L695" t="s">
        <v>92</v>
      </c>
      <c r="M695" t="s">
        <v>93</v>
      </c>
      <c r="N695" t="s">
        <v>905</v>
      </c>
      <c r="O695" t="s">
        <v>69</v>
      </c>
      <c r="P695" t="str">
        <f>"2170732416                    "</f>
        <v xml:space="preserve">2170732416                    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0</v>
      </c>
      <c r="AM695">
        <v>4.1900000000000004</v>
      </c>
      <c r="AN695">
        <v>0</v>
      </c>
      <c r="AO695">
        <v>0</v>
      </c>
      <c r="AP695">
        <v>0</v>
      </c>
      <c r="AQ695">
        <v>0</v>
      </c>
      <c r="AR695">
        <v>0</v>
      </c>
      <c r="AS695">
        <v>0</v>
      </c>
      <c r="AT695">
        <v>0</v>
      </c>
      <c r="AU695">
        <v>0</v>
      </c>
      <c r="AV695">
        <v>0</v>
      </c>
      <c r="AW695">
        <v>0</v>
      </c>
      <c r="AX695">
        <v>0</v>
      </c>
      <c r="AY695">
        <v>0</v>
      </c>
      <c r="AZ695">
        <v>0</v>
      </c>
      <c r="BA695">
        <v>0</v>
      </c>
      <c r="BB695">
        <v>0</v>
      </c>
      <c r="BG695">
        <v>0</v>
      </c>
      <c r="BH695">
        <v>1</v>
      </c>
      <c r="BI695">
        <v>1</v>
      </c>
      <c r="BJ695">
        <v>0.2</v>
      </c>
      <c r="BK695">
        <v>1</v>
      </c>
      <c r="BL695">
        <v>46.06</v>
      </c>
      <c r="BM695">
        <v>6.91</v>
      </c>
      <c r="BN695">
        <v>52.97</v>
      </c>
      <c r="BO695">
        <v>52.97</v>
      </c>
      <c r="BQ695" t="s">
        <v>78</v>
      </c>
      <c r="BR695" t="s">
        <v>71</v>
      </c>
      <c r="BS695" s="1">
        <v>43944</v>
      </c>
      <c r="BT695" s="2">
        <v>0.41666666666666669</v>
      </c>
      <c r="BU695" t="s">
        <v>906</v>
      </c>
      <c r="BV695" t="s">
        <v>80</v>
      </c>
      <c r="BY695">
        <v>1200</v>
      </c>
      <c r="CC695" t="s">
        <v>93</v>
      </c>
      <c r="CD695">
        <v>7580</v>
      </c>
      <c r="CE695" t="s">
        <v>73</v>
      </c>
      <c r="CF695" s="1">
        <v>43945</v>
      </c>
      <c r="CI695">
        <v>1</v>
      </c>
      <c r="CJ695">
        <v>1</v>
      </c>
      <c r="CK695">
        <v>21</v>
      </c>
      <c r="CL695" t="s">
        <v>74</v>
      </c>
    </row>
    <row r="696" spans="1:90" x14ac:dyDescent="0.25">
      <c r="A696" t="s">
        <v>61</v>
      </c>
      <c r="B696" t="s">
        <v>62</v>
      </c>
      <c r="C696" t="s">
        <v>63</v>
      </c>
      <c r="E696" t="str">
        <f>"FES1162745082"</f>
        <v>FES1162745082</v>
      </c>
      <c r="F696" s="1">
        <v>43943</v>
      </c>
      <c r="G696">
        <v>202010</v>
      </c>
      <c r="H696" t="s">
        <v>64</v>
      </c>
      <c r="I696" t="s">
        <v>65</v>
      </c>
      <c r="J696" t="s">
        <v>66</v>
      </c>
      <c r="K696" t="s">
        <v>67</v>
      </c>
      <c r="L696" t="s">
        <v>151</v>
      </c>
      <c r="M696" t="s">
        <v>152</v>
      </c>
      <c r="N696" t="s">
        <v>823</v>
      </c>
      <c r="O696" t="s">
        <v>69</v>
      </c>
      <c r="P696" t="str">
        <f>"2170735025                    "</f>
        <v xml:space="preserve">2170735025                    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0</v>
      </c>
      <c r="AM696">
        <v>4.1900000000000004</v>
      </c>
      <c r="AN696">
        <v>0</v>
      </c>
      <c r="AO696">
        <v>0</v>
      </c>
      <c r="AP696">
        <v>0</v>
      </c>
      <c r="AQ696">
        <v>0</v>
      </c>
      <c r="AR696">
        <v>0</v>
      </c>
      <c r="AS696">
        <v>0</v>
      </c>
      <c r="AT696">
        <v>0</v>
      </c>
      <c r="AU696">
        <v>0</v>
      </c>
      <c r="AV696">
        <v>0</v>
      </c>
      <c r="AW696">
        <v>0</v>
      </c>
      <c r="AX696">
        <v>0</v>
      </c>
      <c r="AY696">
        <v>0</v>
      </c>
      <c r="AZ696">
        <v>0</v>
      </c>
      <c r="BA696">
        <v>0</v>
      </c>
      <c r="BB696">
        <v>0</v>
      </c>
      <c r="BG696">
        <v>0</v>
      </c>
      <c r="BH696">
        <v>1</v>
      </c>
      <c r="BI696">
        <v>1</v>
      </c>
      <c r="BJ696">
        <v>0.2</v>
      </c>
      <c r="BK696">
        <v>1</v>
      </c>
      <c r="BL696">
        <v>46.06</v>
      </c>
      <c r="BM696">
        <v>6.91</v>
      </c>
      <c r="BN696">
        <v>52.97</v>
      </c>
      <c r="BO696">
        <v>52.97</v>
      </c>
      <c r="BQ696" t="s">
        <v>78</v>
      </c>
      <c r="BR696" t="s">
        <v>71</v>
      </c>
      <c r="BS696" s="1">
        <v>43944</v>
      </c>
      <c r="BT696" s="2">
        <v>0.41666666666666669</v>
      </c>
      <c r="BU696" t="s">
        <v>824</v>
      </c>
      <c r="BV696" t="s">
        <v>80</v>
      </c>
      <c r="BY696">
        <v>1200</v>
      </c>
      <c r="CC696" t="s">
        <v>152</v>
      </c>
      <c r="CD696">
        <v>3201</v>
      </c>
      <c r="CE696" t="s">
        <v>73</v>
      </c>
      <c r="CF696" s="1">
        <v>43945</v>
      </c>
      <c r="CI696">
        <v>1</v>
      </c>
      <c r="CJ696">
        <v>1</v>
      </c>
      <c r="CK696">
        <v>21</v>
      </c>
      <c r="CL696" t="s">
        <v>74</v>
      </c>
    </row>
    <row r="697" spans="1:90" x14ac:dyDescent="0.25">
      <c r="A697" t="s">
        <v>61</v>
      </c>
      <c r="B697" t="s">
        <v>62</v>
      </c>
      <c r="C697" t="s">
        <v>63</v>
      </c>
      <c r="E697" t="str">
        <f>"FES1162745184"</f>
        <v>FES1162745184</v>
      </c>
      <c r="F697" s="1">
        <v>43943</v>
      </c>
      <c r="G697">
        <v>202010</v>
      </c>
      <c r="H697" t="s">
        <v>64</v>
      </c>
      <c r="I697" t="s">
        <v>65</v>
      </c>
      <c r="J697" t="s">
        <v>66</v>
      </c>
      <c r="K697" t="s">
        <v>67</v>
      </c>
      <c r="L697" t="s">
        <v>151</v>
      </c>
      <c r="M697" t="s">
        <v>152</v>
      </c>
      <c r="N697" t="s">
        <v>153</v>
      </c>
      <c r="O697" t="s">
        <v>69</v>
      </c>
      <c r="P697" t="str">
        <f>"2170736425                    "</f>
        <v xml:space="preserve">2170736425                    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4.1900000000000004</v>
      </c>
      <c r="AN697">
        <v>0</v>
      </c>
      <c r="AO697">
        <v>0</v>
      </c>
      <c r="AP697">
        <v>0</v>
      </c>
      <c r="AQ697">
        <v>0</v>
      </c>
      <c r="AR697">
        <v>0</v>
      </c>
      <c r="AS697">
        <v>0</v>
      </c>
      <c r="AT697">
        <v>0</v>
      </c>
      <c r="AU697">
        <v>0</v>
      </c>
      <c r="AV697">
        <v>0</v>
      </c>
      <c r="AW697">
        <v>0</v>
      </c>
      <c r="AX697">
        <v>0</v>
      </c>
      <c r="AY697">
        <v>0</v>
      </c>
      <c r="AZ697">
        <v>0</v>
      </c>
      <c r="BA697">
        <v>0</v>
      </c>
      <c r="BB697">
        <v>0</v>
      </c>
      <c r="BG697">
        <v>0</v>
      </c>
      <c r="BH697">
        <v>1</v>
      </c>
      <c r="BI697">
        <v>1</v>
      </c>
      <c r="BJ697">
        <v>0.2</v>
      </c>
      <c r="BK697">
        <v>1</v>
      </c>
      <c r="BL697">
        <v>46.06</v>
      </c>
      <c r="BM697">
        <v>6.91</v>
      </c>
      <c r="BN697">
        <v>52.97</v>
      </c>
      <c r="BO697">
        <v>52.97</v>
      </c>
      <c r="BQ697" t="s">
        <v>78</v>
      </c>
      <c r="BR697" t="s">
        <v>71</v>
      </c>
      <c r="BS697" s="1">
        <v>43946</v>
      </c>
      <c r="BT697" s="2">
        <v>0.5</v>
      </c>
      <c r="BU697" t="s">
        <v>261</v>
      </c>
      <c r="BV697" t="s">
        <v>74</v>
      </c>
      <c r="BY697">
        <v>1200</v>
      </c>
      <c r="CC697" t="s">
        <v>152</v>
      </c>
      <c r="CD697">
        <v>3699</v>
      </c>
      <c r="CE697" t="s">
        <v>73</v>
      </c>
      <c r="CF697" s="1">
        <v>43949</v>
      </c>
      <c r="CI697">
        <v>1</v>
      </c>
      <c r="CJ697">
        <v>2</v>
      </c>
      <c r="CK697">
        <v>21</v>
      </c>
      <c r="CL697" t="s">
        <v>74</v>
      </c>
    </row>
    <row r="698" spans="1:90" x14ac:dyDescent="0.25">
      <c r="A698" t="s">
        <v>61</v>
      </c>
      <c r="B698" t="s">
        <v>62</v>
      </c>
      <c r="C698" t="s">
        <v>63</v>
      </c>
      <c r="E698" t="str">
        <f>"FES1162745077"</f>
        <v>FES1162745077</v>
      </c>
      <c r="F698" s="1">
        <v>43943</v>
      </c>
      <c r="G698">
        <v>202010</v>
      </c>
      <c r="H698" t="s">
        <v>64</v>
      </c>
      <c r="I698" t="s">
        <v>65</v>
      </c>
      <c r="J698" t="s">
        <v>66</v>
      </c>
      <c r="K698" t="s">
        <v>67</v>
      </c>
      <c r="L698" t="s">
        <v>120</v>
      </c>
      <c r="M698" t="s">
        <v>121</v>
      </c>
      <c r="N698" t="s">
        <v>910</v>
      </c>
      <c r="O698" t="s">
        <v>69</v>
      </c>
      <c r="P698" t="str">
        <f>"2170736297                    "</f>
        <v xml:space="preserve">2170736297                    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4.1900000000000004</v>
      </c>
      <c r="AN698">
        <v>0</v>
      </c>
      <c r="AO698">
        <v>0</v>
      </c>
      <c r="AP698">
        <v>0</v>
      </c>
      <c r="AQ698">
        <v>0</v>
      </c>
      <c r="AR698">
        <v>0</v>
      </c>
      <c r="AS698">
        <v>0</v>
      </c>
      <c r="AT698">
        <v>0</v>
      </c>
      <c r="AU698">
        <v>0</v>
      </c>
      <c r="AV698">
        <v>0</v>
      </c>
      <c r="AW698">
        <v>0</v>
      </c>
      <c r="AX698">
        <v>0</v>
      </c>
      <c r="AY698">
        <v>0</v>
      </c>
      <c r="AZ698">
        <v>0</v>
      </c>
      <c r="BA698">
        <v>0</v>
      </c>
      <c r="BB698">
        <v>0</v>
      </c>
      <c r="BG698">
        <v>0</v>
      </c>
      <c r="BH698">
        <v>1</v>
      </c>
      <c r="BI698">
        <v>1</v>
      </c>
      <c r="BJ698">
        <v>0.2</v>
      </c>
      <c r="BK698">
        <v>1</v>
      </c>
      <c r="BL698">
        <v>46.06</v>
      </c>
      <c r="BM698">
        <v>6.91</v>
      </c>
      <c r="BN698">
        <v>52.97</v>
      </c>
      <c r="BO698">
        <v>52.97</v>
      </c>
      <c r="BQ698" t="s">
        <v>78</v>
      </c>
      <c r="BR698" t="s">
        <v>71</v>
      </c>
      <c r="BS698" s="1">
        <v>43944</v>
      </c>
      <c r="BT698" s="2">
        <v>0.49861111111111112</v>
      </c>
      <c r="BU698" t="s">
        <v>911</v>
      </c>
      <c r="BV698" t="s">
        <v>74</v>
      </c>
      <c r="BW698" t="s">
        <v>85</v>
      </c>
      <c r="BX698" t="s">
        <v>735</v>
      </c>
      <c r="BY698">
        <v>1200</v>
      </c>
      <c r="CA698" t="s">
        <v>811</v>
      </c>
      <c r="CC698" t="s">
        <v>121</v>
      </c>
      <c r="CD698">
        <v>4052</v>
      </c>
      <c r="CE698" t="s">
        <v>73</v>
      </c>
      <c r="CF698" s="1">
        <v>43945</v>
      </c>
      <c r="CI698">
        <v>1</v>
      </c>
      <c r="CJ698">
        <v>1</v>
      </c>
      <c r="CK698">
        <v>21</v>
      </c>
      <c r="CL698" t="s">
        <v>74</v>
      </c>
    </row>
    <row r="699" spans="1:90" x14ac:dyDescent="0.25">
      <c r="A699" t="s">
        <v>61</v>
      </c>
      <c r="B699" t="s">
        <v>62</v>
      </c>
      <c r="C699" t="s">
        <v>63</v>
      </c>
      <c r="E699" t="str">
        <f>"FES1162745078"</f>
        <v>FES1162745078</v>
      </c>
      <c r="F699" s="1">
        <v>43943</v>
      </c>
      <c r="G699">
        <v>202010</v>
      </c>
      <c r="H699" t="s">
        <v>64</v>
      </c>
      <c r="I699" t="s">
        <v>65</v>
      </c>
      <c r="J699" t="s">
        <v>66</v>
      </c>
      <c r="K699" t="s">
        <v>67</v>
      </c>
      <c r="L699" t="s">
        <v>120</v>
      </c>
      <c r="M699" t="s">
        <v>121</v>
      </c>
      <c r="N699" t="s">
        <v>910</v>
      </c>
      <c r="O699" t="s">
        <v>69</v>
      </c>
      <c r="P699" t="str">
        <f>"2170736298                    "</f>
        <v xml:space="preserve">2170736298                    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4.1900000000000004</v>
      </c>
      <c r="AN699">
        <v>0</v>
      </c>
      <c r="AO699">
        <v>0</v>
      </c>
      <c r="AP699">
        <v>0</v>
      </c>
      <c r="AQ699">
        <v>0</v>
      </c>
      <c r="AR699">
        <v>0</v>
      </c>
      <c r="AS699">
        <v>0</v>
      </c>
      <c r="AT699">
        <v>0</v>
      </c>
      <c r="AU699">
        <v>0</v>
      </c>
      <c r="AV699">
        <v>0</v>
      </c>
      <c r="AW699">
        <v>0</v>
      </c>
      <c r="AX699">
        <v>0</v>
      </c>
      <c r="AY699">
        <v>0</v>
      </c>
      <c r="AZ699">
        <v>0</v>
      </c>
      <c r="BA699">
        <v>0</v>
      </c>
      <c r="BB699">
        <v>0</v>
      </c>
      <c r="BG699">
        <v>0</v>
      </c>
      <c r="BH699">
        <v>1</v>
      </c>
      <c r="BI699">
        <v>1</v>
      </c>
      <c r="BJ699">
        <v>0.2</v>
      </c>
      <c r="BK699">
        <v>1</v>
      </c>
      <c r="BL699">
        <v>46.06</v>
      </c>
      <c r="BM699">
        <v>6.91</v>
      </c>
      <c r="BN699">
        <v>52.97</v>
      </c>
      <c r="BO699">
        <v>52.97</v>
      </c>
      <c r="BQ699" t="s">
        <v>78</v>
      </c>
      <c r="BR699" t="s">
        <v>71</v>
      </c>
      <c r="BS699" s="1">
        <v>43944</v>
      </c>
      <c r="BT699" s="2">
        <v>0.49861111111111112</v>
      </c>
      <c r="BU699" t="s">
        <v>911</v>
      </c>
      <c r="BV699" t="s">
        <v>74</v>
      </c>
      <c r="BW699" t="s">
        <v>85</v>
      </c>
      <c r="BX699" t="s">
        <v>735</v>
      </c>
      <c r="BY699">
        <v>1200</v>
      </c>
      <c r="CA699" t="s">
        <v>811</v>
      </c>
      <c r="CC699" t="s">
        <v>121</v>
      </c>
      <c r="CD699">
        <v>4052</v>
      </c>
      <c r="CE699" t="s">
        <v>73</v>
      </c>
      <c r="CF699" s="1">
        <v>43945</v>
      </c>
      <c r="CI699">
        <v>1</v>
      </c>
      <c r="CJ699">
        <v>1</v>
      </c>
      <c r="CK699">
        <v>21</v>
      </c>
      <c r="CL699" t="s">
        <v>74</v>
      </c>
    </row>
    <row r="700" spans="1:90" x14ac:dyDescent="0.25">
      <c r="A700" t="s">
        <v>61</v>
      </c>
      <c r="B700" t="s">
        <v>62</v>
      </c>
      <c r="C700" t="s">
        <v>63</v>
      </c>
      <c r="E700" t="str">
        <f>"FES1162744957"</f>
        <v>FES1162744957</v>
      </c>
      <c r="F700" s="1">
        <v>43943</v>
      </c>
      <c r="G700">
        <v>202010</v>
      </c>
      <c r="H700" t="s">
        <v>64</v>
      </c>
      <c r="I700" t="s">
        <v>65</v>
      </c>
      <c r="J700" t="s">
        <v>66</v>
      </c>
      <c r="K700" t="s">
        <v>67</v>
      </c>
      <c r="L700" t="s">
        <v>168</v>
      </c>
      <c r="M700" t="s">
        <v>169</v>
      </c>
      <c r="N700" t="s">
        <v>372</v>
      </c>
      <c r="O700" t="s">
        <v>69</v>
      </c>
      <c r="P700" t="str">
        <f>"2170734399                    "</f>
        <v xml:space="preserve">2170734399                    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4.1900000000000004</v>
      </c>
      <c r="AN700">
        <v>0</v>
      </c>
      <c r="AO700">
        <v>0</v>
      </c>
      <c r="AP700">
        <v>0</v>
      </c>
      <c r="AQ700">
        <v>0</v>
      </c>
      <c r="AR700">
        <v>0</v>
      </c>
      <c r="AS700">
        <v>0</v>
      </c>
      <c r="AT700">
        <v>0</v>
      </c>
      <c r="AU700">
        <v>0</v>
      </c>
      <c r="AV700">
        <v>0</v>
      </c>
      <c r="AW700">
        <v>0</v>
      </c>
      <c r="AX700">
        <v>0</v>
      </c>
      <c r="AY700">
        <v>0</v>
      </c>
      <c r="AZ700">
        <v>0</v>
      </c>
      <c r="BA700">
        <v>0</v>
      </c>
      <c r="BB700">
        <v>0</v>
      </c>
      <c r="BG700">
        <v>0</v>
      </c>
      <c r="BH700">
        <v>1</v>
      </c>
      <c r="BI700">
        <v>1</v>
      </c>
      <c r="BJ700">
        <v>0.2</v>
      </c>
      <c r="BK700">
        <v>1</v>
      </c>
      <c r="BL700">
        <v>46.06</v>
      </c>
      <c r="BM700">
        <v>6.91</v>
      </c>
      <c r="BN700">
        <v>52.97</v>
      </c>
      <c r="BO700">
        <v>52.97</v>
      </c>
      <c r="BQ700" t="s">
        <v>78</v>
      </c>
      <c r="BR700" t="s">
        <v>71</v>
      </c>
      <c r="BS700" s="1">
        <v>43944</v>
      </c>
      <c r="BT700" s="2">
        <v>0.59652777777777777</v>
      </c>
      <c r="BU700" t="s">
        <v>912</v>
      </c>
      <c r="BV700" t="s">
        <v>74</v>
      </c>
      <c r="BW700" t="s">
        <v>85</v>
      </c>
      <c r="BX700" t="s">
        <v>735</v>
      </c>
      <c r="BY700">
        <v>1200</v>
      </c>
      <c r="CA700" t="s">
        <v>811</v>
      </c>
      <c r="CC700" t="s">
        <v>169</v>
      </c>
      <c r="CD700">
        <v>4026</v>
      </c>
      <c r="CE700" t="s">
        <v>73</v>
      </c>
      <c r="CF700" s="1">
        <v>43945</v>
      </c>
      <c r="CI700">
        <v>1</v>
      </c>
      <c r="CJ700">
        <v>1</v>
      </c>
      <c r="CK700">
        <v>21</v>
      </c>
      <c r="CL700" t="s">
        <v>74</v>
      </c>
    </row>
    <row r="701" spans="1:90" x14ac:dyDescent="0.25">
      <c r="A701" t="s">
        <v>61</v>
      </c>
      <c r="B701" t="s">
        <v>62</v>
      </c>
      <c r="C701" t="s">
        <v>63</v>
      </c>
      <c r="E701" t="str">
        <f>"FES1162745129"</f>
        <v>FES1162745129</v>
      </c>
      <c r="F701" s="1">
        <v>43943</v>
      </c>
      <c r="G701">
        <v>202010</v>
      </c>
      <c r="H701" t="s">
        <v>64</v>
      </c>
      <c r="I701" t="s">
        <v>65</v>
      </c>
      <c r="J701" t="s">
        <v>66</v>
      </c>
      <c r="K701" t="s">
        <v>67</v>
      </c>
      <c r="L701" t="s">
        <v>158</v>
      </c>
      <c r="M701" t="s">
        <v>159</v>
      </c>
      <c r="N701" t="s">
        <v>913</v>
      </c>
      <c r="O701" t="s">
        <v>69</v>
      </c>
      <c r="P701" t="str">
        <f>"2170736308                    "</f>
        <v xml:space="preserve">2170736308                    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0</v>
      </c>
      <c r="AM701">
        <v>4.1900000000000004</v>
      </c>
      <c r="AN701">
        <v>0</v>
      </c>
      <c r="AO701">
        <v>0</v>
      </c>
      <c r="AP701">
        <v>0</v>
      </c>
      <c r="AQ701">
        <v>0</v>
      </c>
      <c r="AR701">
        <v>0</v>
      </c>
      <c r="AS701">
        <v>0</v>
      </c>
      <c r="AT701">
        <v>0</v>
      </c>
      <c r="AU701">
        <v>0</v>
      </c>
      <c r="AV701">
        <v>0</v>
      </c>
      <c r="AW701">
        <v>0</v>
      </c>
      <c r="AX701">
        <v>0</v>
      </c>
      <c r="AY701">
        <v>0</v>
      </c>
      <c r="AZ701">
        <v>0</v>
      </c>
      <c r="BA701">
        <v>0</v>
      </c>
      <c r="BB701">
        <v>0</v>
      </c>
      <c r="BG701">
        <v>0</v>
      </c>
      <c r="BH701">
        <v>1</v>
      </c>
      <c r="BI701">
        <v>1</v>
      </c>
      <c r="BJ701">
        <v>0.2</v>
      </c>
      <c r="BK701">
        <v>1</v>
      </c>
      <c r="BL701">
        <v>46.06</v>
      </c>
      <c r="BM701">
        <v>6.91</v>
      </c>
      <c r="BN701">
        <v>52.97</v>
      </c>
      <c r="BO701">
        <v>52.97</v>
      </c>
      <c r="BQ701" t="s">
        <v>70</v>
      </c>
      <c r="BR701" t="s">
        <v>71</v>
      </c>
      <c r="BS701" s="1">
        <v>43945</v>
      </c>
      <c r="BT701" s="2">
        <v>0.41666666666666669</v>
      </c>
      <c r="BU701" t="s">
        <v>914</v>
      </c>
      <c r="BV701" t="s">
        <v>74</v>
      </c>
      <c r="BY701">
        <v>1200</v>
      </c>
      <c r="CC701" t="s">
        <v>159</v>
      </c>
      <c r="CD701">
        <v>3280</v>
      </c>
      <c r="CE701" t="s">
        <v>73</v>
      </c>
      <c r="CF701" s="1">
        <v>43949</v>
      </c>
      <c r="CI701">
        <v>1</v>
      </c>
      <c r="CJ701">
        <v>2</v>
      </c>
      <c r="CK701">
        <v>21</v>
      </c>
      <c r="CL701" t="s">
        <v>74</v>
      </c>
    </row>
    <row r="702" spans="1:90" x14ac:dyDescent="0.25">
      <c r="A702" t="s">
        <v>61</v>
      </c>
      <c r="B702" t="s">
        <v>62</v>
      </c>
      <c r="C702" t="s">
        <v>63</v>
      </c>
      <c r="E702" t="str">
        <f>"FES1162745069"</f>
        <v>FES1162745069</v>
      </c>
      <c r="F702" s="1">
        <v>43943</v>
      </c>
      <c r="G702">
        <v>202010</v>
      </c>
      <c r="H702" t="s">
        <v>64</v>
      </c>
      <c r="I702" t="s">
        <v>65</v>
      </c>
      <c r="J702" t="s">
        <v>66</v>
      </c>
      <c r="K702" t="s">
        <v>67</v>
      </c>
      <c r="L702" t="s">
        <v>168</v>
      </c>
      <c r="M702" t="s">
        <v>169</v>
      </c>
      <c r="N702" t="s">
        <v>372</v>
      </c>
      <c r="O702" t="s">
        <v>69</v>
      </c>
      <c r="P702" t="str">
        <f>"2170736284                    "</f>
        <v xml:space="preserve">2170736284                    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4.1900000000000004</v>
      </c>
      <c r="AN702">
        <v>0</v>
      </c>
      <c r="AO702">
        <v>0</v>
      </c>
      <c r="AP702">
        <v>0</v>
      </c>
      <c r="AQ702">
        <v>0</v>
      </c>
      <c r="AR702">
        <v>0</v>
      </c>
      <c r="AS702">
        <v>0</v>
      </c>
      <c r="AT702">
        <v>0</v>
      </c>
      <c r="AU702">
        <v>0</v>
      </c>
      <c r="AV702">
        <v>0</v>
      </c>
      <c r="AW702">
        <v>0</v>
      </c>
      <c r="AX702">
        <v>0</v>
      </c>
      <c r="AY702">
        <v>0</v>
      </c>
      <c r="AZ702">
        <v>0</v>
      </c>
      <c r="BA702">
        <v>0</v>
      </c>
      <c r="BB702">
        <v>0</v>
      </c>
      <c r="BG702">
        <v>0</v>
      </c>
      <c r="BH702">
        <v>1</v>
      </c>
      <c r="BI702">
        <v>1</v>
      </c>
      <c r="BJ702">
        <v>0.2</v>
      </c>
      <c r="BK702">
        <v>1</v>
      </c>
      <c r="BL702">
        <v>46.06</v>
      </c>
      <c r="BM702">
        <v>6.91</v>
      </c>
      <c r="BN702">
        <v>52.97</v>
      </c>
      <c r="BO702">
        <v>52.97</v>
      </c>
      <c r="BQ702" t="s">
        <v>78</v>
      </c>
      <c r="BR702" t="s">
        <v>71</v>
      </c>
      <c r="BS702" s="1">
        <v>43944</v>
      </c>
      <c r="BT702" s="2">
        <v>0.59652777777777777</v>
      </c>
      <c r="BU702" t="s">
        <v>912</v>
      </c>
      <c r="BV702" t="s">
        <v>74</v>
      </c>
      <c r="BW702" t="s">
        <v>85</v>
      </c>
      <c r="BX702" t="s">
        <v>735</v>
      </c>
      <c r="BY702">
        <v>1200</v>
      </c>
      <c r="CA702" t="s">
        <v>811</v>
      </c>
      <c r="CC702" t="s">
        <v>169</v>
      </c>
      <c r="CD702">
        <v>4026</v>
      </c>
      <c r="CE702" t="s">
        <v>73</v>
      </c>
      <c r="CF702" s="1">
        <v>43945</v>
      </c>
      <c r="CI702">
        <v>1</v>
      </c>
      <c r="CJ702">
        <v>1</v>
      </c>
      <c r="CK702">
        <v>21</v>
      </c>
      <c r="CL702" t="s">
        <v>74</v>
      </c>
    </row>
    <row r="703" spans="1:90" x14ac:dyDescent="0.25">
      <c r="A703" t="s">
        <v>61</v>
      </c>
      <c r="B703" t="s">
        <v>62</v>
      </c>
      <c r="C703" t="s">
        <v>63</v>
      </c>
      <c r="E703" t="str">
        <f>"FES1162745222"</f>
        <v>FES1162745222</v>
      </c>
      <c r="F703" s="1">
        <v>43943</v>
      </c>
      <c r="G703">
        <v>202010</v>
      </c>
      <c r="H703" t="s">
        <v>64</v>
      </c>
      <c r="I703" t="s">
        <v>65</v>
      </c>
      <c r="J703" t="s">
        <v>66</v>
      </c>
      <c r="K703" t="s">
        <v>67</v>
      </c>
      <c r="L703" t="s">
        <v>92</v>
      </c>
      <c r="M703" t="s">
        <v>93</v>
      </c>
      <c r="N703" t="s">
        <v>905</v>
      </c>
      <c r="O703" t="s">
        <v>69</v>
      </c>
      <c r="P703" t="str">
        <f>"2170736205                    "</f>
        <v xml:space="preserve">2170736205                    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4.1900000000000004</v>
      </c>
      <c r="AN703">
        <v>0</v>
      </c>
      <c r="AO703">
        <v>0</v>
      </c>
      <c r="AP703">
        <v>0</v>
      </c>
      <c r="AQ703">
        <v>0</v>
      </c>
      <c r="AR703">
        <v>0</v>
      </c>
      <c r="AS703">
        <v>0</v>
      </c>
      <c r="AT703">
        <v>0</v>
      </c>
      <c r="AU703">
        <v>0</v>
      </c>
      <c r="AV703">
        <v>0</v>
      </c>
      <c r="AW703">
        <v>0</v>
      </c>
      <c r="AX703">
        <v>0</v>
      </c>
      <c r="AY703">
        <v>0</v>
      </c>
      <c r="AZ703">
        <v>0</v>
      </c>
      <c r="BA703">
        <v>0</v>
      </c>
      <c r="BB703">
        <v>0</v>
      </c>
      <c r="BG703">
        <v>0</v>
      </c>
      <c r="BH703">
        <v>1</v>
      </c>
      <c r="BI703">
        <v>1</v>
      </c>
      <c r="BJ703">
        <v>0.2</v>
      </c>
      <c r="BK703">
        <v>1</v>
      </c>
      <c r="BL703">
        <v>46.06</v>
      </c>
      <c r="BM703">
        <v>6.91</v>
      </c>
      <c r="BN703">
        <v>52.97</v>
      </c>
      <c r="BO703">
        <v>52.97</v>
      </c>
      <c r="BQ703" t="s">
        <v>78</v>
      </c>
      <c r="BR703" t="s">
        <v>71</v>
      </c>
      <c r="BS703" s="1">
        <v>43944</v>
      </c>
      <c r="BT703" s="2">
        <v>0.41666666666666669</v>
      </c>
      <c r="BU703" t="s">
        <v>906</v>
      </c>
      <c r="BV703" t="s">
        <v>80</v>
      </c>
      <c r="BY703">
        <v>1200</v>
      </c>
      <c r="CC703" t="s">
        <v>93</v>
      </c>
      <c r="CD703">
        <v>7580</v>
      </c>
      <c r="CE703" t="s">
        <v>73</v>
      </c>
      <c r="CF703" s="1">
        <v>43945</v>
      </c>
      <c r="CI703">
        <v>1</v>
      </c>
      <c r="CJ703">
        <v>1</v>
      </c>
      <c r="CK703">
        <v>21</v>
      </c>
      <c r="CL703" t="s">
        <v>74</v>
      </c>
    </row>
    <row r="704" spans="1:90" x14ac:dyDescent="0.25">
      <c r="A704" t="s">
        <v>61</v>
      </c>
      <c r="B704" t="s">
        <v>62</v>
      </c>
      <c r="C704" t="s">
        <v>63</v>
      </c>
      <c r="E704" t="str">
        <f>"FES1162745022"</f>
        <v>FES1162745022</v>
      </c>
      <c r="F704" s="1">
        <v>43943</v>
      </c>
      <c r="G704">
        <v>202010</v>
      </c>
      <c r="H704" t="s">
        <v>64</v>
      </c>
      <c r="I704" t="s">
        <v>65</v>
      </c>
      <c r="J704" t="s">
        <v>66</v>
      </c>
      <c r="K704" t="s">
        <v>67</v>
      </c>
      <c r="L704" t="s">
        <v>120</v>
      </c>
      <c r="M704" t="s">
        <v>121</v>
      </c>
      <c r="N704" t="s">
        <v>138</v>
      </c>
      <c r="O704" t="s">
        <v>69</v>
      </c>
      <c r="P704" t="str">
        <f>"2170734475                    "</f>
        <v xml:space="preserve">2170734475                    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0</v>
      </c>
      <c r="AM704">
        <v>4.1900000000000004</v>
      </c>
      <c r="AN704">
        <v>0</v>
      </c>
      <c r="AO704">
        <v>0</v>
      </c>
      <c r="AP704">
        <v>0</v>
      </c>
      <c r="AQ704">
        <v>0</v>
      </c>
      <c r="AR704">
        <v>0</v>
      </c>
      <c r="AS704">
        <v>0</v>
      </c>
      <c r="AT704">
        <v>0</v>
      </c>
      <c r="AU704">
        <v>0</v>
      </c>
      <c r="AV704">
        <v>0</v>
      </c>
      <c r="AW704">
        <v>0</v>
      </c>
      <c r="AX704">
        <v>0</v>
      </c>
      <c r="AY704">
        <v>0</v>
      </c>
      <c r="AZ704">
        <v>0</v>
      </c>
      <c r="BA704">
        <v>0</v>
      </c>
      <c r="BB704">
        <v>0</v>
      </c>
      <c r="BG704">
        <v>0</v>
      </c>
      <c r="BH704">
        <v>1</v>
      </c>
      <c r="BI704">
        <v>1</v>
      </c>
      <c r="BJ704">
        <v>0.2</v>
      </c>
      <c r="BK704">
        <v>1</v>
      </c>
      <c r="BL704">
        <v>46.06</v>
      </c>
      <c r="BM704">
        <v>6.91</v>
      </c>
      <c r="BN704">
        <v>52.97</v>
      </c>
      <c r="BO704">
        <v>52.97</v>
      </c>
      <c r="BQ704" t="s">
        <v>78</v>
      </c>
      <c r="BR704" t="s">
        <v>71</v>
      </c>
      <c r="BS704" s="1">
        <v>43944</v>
      </c>
      <c r="BT704" s="2">
        <v>0.56527777777777777</v>
      </c>
      <c r="BU704" t="s">
        <v>139</v>
      </c>
      <c r="BV704" t="s">
        <v>74</v>
      </c>
      <c r="BW704" t="s">
        <v>85</v>
      </c>
      <c r="BX704" t="s">
        <v>735</v>
      </c>
      <c r="BY704">
        <v>1200</v>
      </c>
      <c r="CA704" t="s">
        <v>140</v>
      </c>
      <c r="CC704" t="s">
        <v>121</v>
      </c>
      <c r="CD704">
        <v>4001</v>
      </c>
      <c r="CE704" t="s">
        <v>73</v>
      </c>
      <c r="CF704" s="1">
        <v>43945</v>
      </c>
      <c r="CI704">
        <v>1</v>
      </c>
      <c r="CJ704">
        <v>1</v>
      </c>
      <c r="CK704">
        <v>21</v>
      </c>
      <c r="CL704" t="s">
        <v>74</v>
      </c>
    </row>
    <row r="705" spans="1:90" x14ac:dyDescent="0.25">
      <c r="A705" t="s">
        <v>61</v>
      </c>
      <c r="B705" t="s">
        <v>62</v>
      </c>
      <c r="C705" t="s">
        <v>63</v>
      </c>
      <c r="E705" t="str">
        <f>"FES1162745211"</f>
        <v>FES1162745211</v>
      </c>
      <c r="F705" s="1">
        <v>43943</v>
      </c>
      <c r="G705">
        <v>202010</v>
      </c>
      <c r="H705" t="s">
        <v>64</v>
      </c>
      <c r="I705" t="s">
        <v>65</v>
      </c>
      <c r="J705" t="s">
        <v>66</v>
      </c>
      <c r="K705" t="s">
        <v>67</v>
      </c>
      <c r="L705" t="s">
        <v>895</v>
      </c>
      <c r="M705" t="s">
        <v>896</v>
      </c>
      <c r="N705" t="s">
        <v>897</v>
      </c>
      <c r="O705" t="s">
        <v>69</v>
      </c>
      <c r="P705" t="str">
        <f>"2170732591                    "</f>
        <v xml:space="preserve">2170732591                    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0</v>
      </c>
      <c r="AM705">
        <v>8.11</v>
      </c>
      <c r="AN705">
        <v>0</v>
      </c>
      <c r="AO705">
        <v>0</v>
      </c>
      <c r="AP705">
        <v>0</v>
      </c>
      <c r="AQ705">
        <v>0</v>
      </c>
      <c r="AR705">
        <v>0</v>
      </c>
      <c r="AS705">
        <v>0</v>
      </c>
      <c r="AT705">
        <v>0</v>
      </c>
      <c r="AU705">
        <v>0</v>
      </c>
      <c r="AV705">
        <v>0</v>
      </c>
      <c r="AW705">
        <v>0</v>
      </c>
      <c r="AX705">
        <v>0</v>
      </c>
      <c r="AY705">
        <v>0</v>
      </c>
      <c r="AZ705">
        <v>0</v>
      </c>
      <c r="BA705">
        <v>0</v>
      </c>
      <c r="BB705">
        <v>0</v>
      </c>
      <c r="BG705">
        <v>0</v>
      </c>
      <c r="BH705">
        <v>1</v>
      </c>
      <c r="BI705">
        <v>1</v>
      </c>
      <c r="BJ705">
        <v>0.2</v>
      </c>
      <c r="BK705">
        <v>1</v>
      </c>
      <c r="BL705">
        <v>89.23</v>
      </c>
      <c r="BM705">
        <v>13.38</v>
      </c>
      <c r="BN705">
        <v>102.61</v>
      </c>
      <c r="BO705">
        <v>102.61</v>
      </c>
      <c r="BQ705" t="s">
        <v>70</v>
      </c>
      <c r="BR705" t="s">
        <v>71</v>
      </c>
      <c r="BS705" s="1">
        <v>43945</v>
      </c>
      <c r="BT705" s="2">
        <v>0.47916666666666669</v>
      </c>
      <c r="BU705" t="s">
        <v>898</v>
      </c>
      <c r="BV705" t="s">
        <v>74</v>
      </c>
      <c r="BW705" t="s">
        <v>85</v>
      </c>
      <c r="BX705" t="s">
        <v>128</v>
      </c>
      <c r="BY705">
        <v>1200</v>
      </c>
      <c r="CA705" t="s">
        <v>899</v>
      </c>
      <c r="CC705" t="s">
        <v>896</v>
      </c>
      <c r="CD705">
        <v>4170</v>
      </c>
      <c r="CE705" t="s">
        <v>73</v>
      </c>
      <c r="CF705" s="1">
        <v>43945</v>
      </c>
      <c r="CI705">
        <v>1</v>
      </c>
      <c r="CJ705">
        <v>2</v>
      </c>
      <c r="CK705">
        <v>23</v>
      </c>
      <c r="CL705" t="s">
        <v>74</v>
      </c>
    </row>
    <row r="706" spans="1:90" x14ac:dyDescent="0.25">
      <c r="A706" t="s">
        <v>61</v>
      </c>
      <c r="B706" t="s">
        <v>62</v>
      </c>
      <c r="C706" t="s">
        <v>63</v>
      </c>
      <c r="E706" t="str">
        <f>"FES1162745237"</f>
        <v>FES1162745237</v>
      </c>
      <c r="F706" s="1">
        <v>43943</v>
      </c>
      <c r="G706">
        <v>202010</v>
      </c>
      <c r="H706" t="s">
        <v>64</v>
      </c>
      <c r="I706" t="s">
        <v>65</v>
      </c>
      <c r="J706" t="s">
        <v>66</v>
      </c>
      <c r="K706" t="s">
        <v>67</v>
      </c>
      <c r="L706" t="s">
        <v>64</v>
      </c>
      <c r="M706" t="s">
        <v>65</v>
      </c>
      <c r="N706" t="s">
        <v>313</v>
      </c>
      <c r="O706" t="s">
        <v>69</v>
      </c>
      <c r="P706" t="str">
        <f>"2170736460                    "</f>
        <v xml:space="preserve">2170736460                    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0</v>
      </c>
      <c r="AM706">
        <v>3.27</v>
      </c>
      <c r="AN706">
        <v>0</v>
      </c>
      <c r="AO706">
        <v>0</v>
      </c>
      <c r="AP706">
        <v>0</v>
      </c>
      <c r="AQ706">
        <v>0</v>
      </c>
      <c r="AR706">
        <v>0</v>
      </c>
      <c r="AS706">
        <v>0</v>
      </c>
      <c r="AT706">
        <v>0</v>
      </c>
      <c r="AU706">
        <v>0</v>
      </c>
      <c r="AV706">
        <v>0</v>
      </c>
      <c r="AW706">
        <v>0</v>
      </c>
      <c r="AX706">
        <v>0</v>
      </c>
      <c r="AY706">
        <v>0</v>
      </c>
      <c r="AZ706">
        <v>0</v>
      </c>
      <c r="BA706">
        <v>0</v>
      </c>
      <c r="BB706">
        <v>0</v>
      </c>
      <c r="BG706">
        <v>0</v>
      </c>
      <c r="BH706">
        <v>1</v>
      </c>
      <c r="BI706">
        <v>1</v>
      </c>
      <c r="BJ706">
        <v>0.2</v>
      </c>
      <c r="BK706">
        <v>1</v>
      </c>
      <c r="BL706">
        <v>35.979999999999997</v>
      </c>
      <c r="BM706">
        <v>5.4</v>
      </c>
      <c r="BN706">
        <v>41.38</v>
      </c>
      <c r="BO706">
        <v>41.38</v>
      </c>
      <c r="BQ706" t="s">
        <v>78</v>
      </c>
      <c r="BR706" t="s">
        <v>71</v>
      </c>
      <c r="BS706" s="1">
        <v>43944</v>
      </c>
      <c r="BT706" s="2">
        <v>0.45833333333333331</v>
      </c>
      <c r="BU706" t="s">
        <v>915</v>
      </c>
      <c r="BV706" t="s">
        <v>74</v>
      </c>
      <c r="BW706" t="s">
        <v>85</v>
      </c>
      <c r="BX706" t="s">
        <v>606</v>
      </c>
      <c r="BY706">
        <v>1200</v>
      </c>
      <c r="CC706" t="s">
        <v>65</v>
      </c>
      <c r="CD706">
        <v>1624</v>
      </c>
      <c r="CE706" t="s">
        <v>73</v>
      </c>
      <c r="CF706" s="1">
        <v>43945</v>
      </c>
      <c r="CI706">
        <v>1</v>
      </c>
      <c r="CJ706">
        <v>1</v>
      </c>
      <c r="CK706">
        <v>22</v>
      </c>
      <c r="CL706" t="s">
        <v>74</v>
      </c>
    </row>
    <row r="707" spans="1:90" x14ac:dyDescent="0.25">
      <c r="A707" t="s">
        <v>61</v>
      </c>
      <c r="B707" t="s">
        <v>62</v>
      </c>
      <c r="C707" t="s">
        <v>63</v>
      </c>
      <c r="E707" t="str">
        <f>"FES1162745203"</f>
        <v>FES1162745203</v>
      </c>
      <c r="F707" s="1">
        <v>43943</v>
      </c>
      <c r="G707">
        <v>202010</v>
      </c>
      <c r="H707" t="s">
        <v>64</v>
      </c>
      <c r="I707" t="s">
        <v>65</v>
      </c>
      <c r="J707" t="s">
        <v>66</v>
      </c>
      <c r="K707" t="s">
        <v>67</v>
      </c>
      <c r="L707" t="s">
        <v>368</v>
      </c>
      <c r="M707" t="s">
        <v>369</v>
      </c>
      <c r="N707" t="s">
        <v>916</v>
      </c>
      <c r="O707" t="s">
        <v>69</v>
      </c>
      <c r="P707" t="str">
        <f>"2170736442                    "</f>
        <v xml:space="preserve">2170736442                    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0</v>
      </c>
      <c r="AM707">
        <v>3.27</v>
      </c>
      <c r="AN707">
        <v>0</v>
      </c>
      <c r="AO707">
        <v>0</v>
      </c>
      <c r="AP707">
        <v>0</v>
      </c>
      <c r="AQ707">
        <v>0</v>
      </c>
      <c r="AR707">
        <v>0</v>
      </c>
      <c r="AS707">
        <v>0</v>
      </c>
      <c r="AT707">
        <v>0</v>
      </c>
      <c r="AU707">
        <v>0</v>
      </c>
      <c r="AV707">
        <v>0</v>
      </c>
      <c r="AW707">
        <v>0</v>
      </c>
      <c r="AX707">
        <v>0</v>
      </c>
      <c r="AY707">
        <v>0</v>
      </c>
      <c r="AZ707">
        <v>0</v>
      </c>
      <c r="BA707">
        <v>0</v>
      </c>
      <c r="BB707">
        <v>0</v>
      </c>
      <c r="BG707">
        <v>0</v>
      </c>
      <c r="BH707">
        <v>1</v>
      </c>
      <c r="BI707">
        <v>1</v>
      </c>
      <c r="BJ707">
        <v>0.2</v>
      </c>
      <c r="BK707">
        <v>1</v>
      </c>
      <c r="BL707">
        <v>35.979999999999997</v>
      </c>
      <c r="BM707">
        <v>5.4</v>
      </c>
      <c r="BN707">
        <v>41.38</v>
      </c>
      <c r="BO707">
        <v>41.38</v>
      </c>
      <c r="BQ707" t="s">
        <v>78</v>
      </c>
      <c r="BR707" t="s">
        <v>71</v>
      </c>
      <c r="BS707" s="1">
        <v>43944</v>
      </c>
      <c r="BT707" s="2">
        <v>0.64930555555555558</v>
      </c>
      <c r="BU707" t="s">
        <v>917</v>
      </c>
      <c r="BV707" t="s">
        <v>74</v>
      </c>
      <c r="BW707" t="s">
        <v>85</v>
      </c>
      <c r="BX707" t="s">
        <v>606</v>
      </c>
      <c r="BY707">
        <v>1200</v>
      </c>
      <c r="CA707" t="s">
        <v>918</v>
      </c>
      <c r="CC707" t="s">
        <v>369</v>
      </c>
      <c r="CD707">
        <v>1401</v>
      </c>
      <c r="CE707" t="s">
        <v>73</v>
      </c>
      <c r="CF707" s="1">
        <v>43945</v>
      </c>
      <c r="CI707">
        <v>1</v>
      </c>
      <c r="CJ707">
        <v>1</v>
      </c>
      <c r="CK707">
        <v>22</v>
      </c>
      <c r="CL707" t="s">
        <v>74</v>
      </c>
    </row>
    <row r="708" spans="1:90" x14ac:dyDescent="0.25">
      <c r="A708" t="s">
        <v>61</v>
      </c>
      <c r="B708" t="s">
        <v>62</v>
      </c>
      <c r="C708" t="s">
        <v>63</v>
      </c>
      <c r="E708" t="str">
        <f>"FES1162745155"</f>
        <v>FES1162745155</v>
      </c>
      <c r="F708" s="1">
        <v>43943</v>
      </c>
      <c r="G708">
        <v>202010</v>
      </c>
      <c r="H708" t="s">
        <v>64</v>
      </c>
      <c r="I708" t="s">
        <v>65</v>
      </c>
      <c r="J708" t="s">
        <v>66</v>
      </c>
      <c r="K708" t="s">
        <v>67</v>
      </c>
      <c r="L708" t="s">
        <v>104</v>
      </c>
      <c r="M708" t="s">
        <v>105</v>
      </c>
      <c r="N708" t="s">
        <v>251</v>
      </c>
      <c r="O708" t="s">
        <v>69</v>
      </c>
      <c r="P708" t="str">
        <f>"2170736365                    "</f>
        <v xml:space="preserve">2170736365                    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0</v>
      </c>
      <c r="AM708">
        <v>5.89</v>
      </c>
      <c r="AN708">
        <v>0</v>
      </c>
      <c r="AO708">
        <v>0</v>
      </c>
      <c r="AP708">
        <v>0</v>
      </c>
      <c r="AQ708">
        <v>0</v>
      </c>
      <c r="AR708">
        <v>0</v>
      </c>
      <c r="AS708">
        <v>0</v>
      </c>
      <c r="AT708">
        <v>0</v>
      </c>
      <c r="AU708">
        <v>0</v>
      </c>
      <c r="AV708">
        <v>0</v>
      </c>
      <c r="AW708">
        <v>0</v>
      </c>
      <c r="AX708">
        <v>0</v>
      </c>
      <c r="AY708">
        <v>0</v>
      </c>
      <c r="AZ708">
        <v>0</v>
      </c>
      <c r="BA708">
        <v>0</v>
      </c>
      <c r="BB708">
        <v>0</v>
      </c>
      <c r="BG708">
        <v>0</v>
      </c>
      <c r="BH708">
        <v>1</v>
      </c>
      <c r="BI708">
        <v>1</v>
      </c>
      <c r="BJ708">
        <v>0.2</v>
      </c>
      <c r="BK708">
        <v>1</v>
      </c>
      <c r="BL708">
        <v>64.77</v>
      </c>
      <c r="BM708">
        <v>9.7200000000000006</v>
      </c>
      <c r="BN708">
        <v>74.489999999999995</v>
      </c>
      <c r="BO708">
        <v>74.489999999999995</v>
      </c>
      <c r="BQ708" t="s">
        <v>70</v>
      </c>
      <c r="BR708" t="s">
        <v>71</v>
      </c>
      <c r="BS708" s="1">
        <v>43944</v>
      </c>
      <c r="BT708" s="2">
        <v>0.37847222222222227</v>
      </c>
      <c r="BU708" t="s">
        <v>919</v>
      </c>
      <c r="BV708" t="s">
        <v>80</v>
      </c>
      <c r="BY708">
        <v>1200</v>
      </c>
      <c r="CC708" t="s">
        <v>105</v>
      </c>
      <c r="CD708">
        <v>1759</v>
      </c>
      <c r="CE708" t="s">
        <v>73</v>
      </c>
      <c r="CF708" s="1">
        <v>43945</v>
      </c>
      <c r="CI708">
        <v>1</v>
      </c>
      <c r="CJ708">
        <v>1</v>
      </c>
      <c r="CK708">
        <v>24</v>
      </c>
      <c r="CL708" t="s">
        <v>74</v>
      </c>
    </row>
    <row r="709" spans="1:90" x14ac:dyDescent="0.25">
      <c r="A709" t="s">
        <v>61</v>
      </c>
      <c r="B709" t="s">
        <v>62</v>
      </c>
      <c r="C709" t="s">
        <v>63</v>
      </c>
      <c r="E709" t="str">
        <f>"FES1162745193"</f>
        <v>FES1162745193</v>
      </c>
      <c r="F709" s="1">
        <v>43943</v>
      </c>
      <c r="G709">
        <v>202010</v>
      </c>
      <c r="H709" t="s">
        <v>64</v>
      </c>
      <c r="I709" t="s">
        <v>65</v>
      </c>
      <c r="J709" t="s">
        <v>66</v>
      </c>
      <c r="K709" t="s">
        <v>67</v>
      </c>
      <c r="L709" t="s">
        <v>64</v>
      </c>
      <c r="M709" t="s">
        <v>65</v>
      </c>
      <c r="N709" t="s">
        <v>313</v>
      </c>
      <c r="O709" t="s">
        <v>69</v>
      </c>
      <c r="P709" t="str">
        <f>"2170736373                    "</f>
        <v xml:space="preserve">2170736373                    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0</v>
      </c>
      <c r="AM709">
        <v>3.27</v>
      </c>
      <c r="AN709">
        <v>0</v>
      </c>
      <c r="AO709">
        <v>0</v>
      </c>
      <c r="AP709">
        <v>0</v>
      </c>
      <c r="AQ709">
        <v>0</v>
      </c>
      <c r="AR709">
        <v>0</v>
      </c>
      <c r="AS709">
        <v>0</v>
      </c>
      <c r="AT709">
        <v>0</v>
      </c>
      <c r="AU709">
        <v>0</v>
      </c>
      <c r="AV709">
        <v>0</v>
      </c>
      <c r="AW709">
        <v>0</v>
      </c>
      <c r="AX709">
        <v>0</v>
      </c>
      <c r="AY709">
        <v>0</v>
      </c>
      <c r="AZ709">
        <v>0</v>
      </c>
      <c r="BA709">
        <v>0</v>
      </c>
      <c r="BB709">
        <v>0</v>
      </c>
      <c r="BG709">
        <v>0</v>
      </c>
      <c r="BH709">
        <v>1</v>
      </c>
      <c r="BI709">
        <v>1</v>
      </c>
      <c r="BJ709">
        <v>0.2</v>
      </c>
      <c r="BK709">
        <v>1</v>
      </c>
      <c r="BL709">
        <v>35.979999999999997</v>
      </c>
      <c r="BM709">
        <v>5.4</v>
      </c>
      <c r="BN709">
        <v>41.38</v>
      </c>
      <c r="BO709">
        <v>41.38</v>
      </c>
      <c r="BQ709" t="s">
        <v>78</v>
      </c>
      <c r="BR709" t="s">
        <v>71</v>
      </c>
      <c r="BS709" s="1">
        <v>43944</v>
      </c>
      <c r="BT709" s="2">
        <v>0.5</v>
      </c>
      <c r="BU709" t="s">
        <v>915</v>
      </c>
      <c r="BV709" t="s">
        <v>74</v>
      </c>
      <c r="BW709" t="s">
        <v>85</v>
      </c>
      <c r="BX709" t="s">
        <v>606</v>
      </c>
      <c r="BY709">
        <v>1200</v>
      </c>
      <c r="CC709" t="s">
        <v>65</v>
      </c>
      <c r="CD709">
        <v>1624</v>
      </c>
      <c r="CE709" t="s">
        <v>73</v>
      </c>
      <c r="CF709" s="1">
        <v>43945</v>
      </c>
      <c r="CI709">
        <v>1</v>
      </c>
      <c r="CJ709">
        <v>1</v>
      </c>
      <c r="CK709">
        <v>22</v>
      </c>
      <c r="CL709" t="s">
        <v>74</v>
      </c>
    </row>
    <row r="710" spans="1:90" x14ac:dyDescent="0.25">
      <c r="A710" t="s">
        <v>61</v>
      </c>
      <c r="B710" t="s">
        <v>62</v>
      </c>
      <c r="C710" t="s">
        <v>63</v>
      </c>
      <c r="E710" t="str">
        <f>"FES1162745194"</f>
        <v>FES1162745194</v>
      </c>
      <c r="F710" s="1">
        <v>43943</v>
      </c>
      <c r="G710">
        <v>202010</v>
      </c>
      <c r="H710" t="s">
        <v>64</v>
      </c>
      <c r="I710" t="s">
        <v>65</v>
      </c>
      <c r="J710" t="s">
        <v>66</v>
      </c>
      <c r="K710" t="s">
        <v>67</v>
      </c>
      <c r="L710" t="s">
        <v>298</v>
      </c>
      <c r="M710" t="s">
        <v>299</v>
      </c>
      <c r="N710" t="s">
        <v>300</v>
      </c>
      <c r="O710" t="s">
        <v>69</v>
      </c>
      <c r="P710" t="str">
        <f>"2170736433                    "</f>
        <v xml:space="preserve">2170736433                    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0</v>
      </c>
      <c r="AM710">
        <v>59.41</v>
      </c>
      <c r="AN710">
        <v>0</v>
      </c>
      <c r="AO710">
        <v>0</v>
      </c>
      <c r="AP710">
        <v>0</v>
      </c>
      <c r="AQ710">
        <v>0</v>
      </c>
      <c r="AR710">
        <v>0</v>
      </c>
      <c r="AS710">
        <v>0</v>
      </c>
      <c r="AT710">
        <v>0</v>
      </c>
      <c r="AU710">
        <v>0</v>
      </c>
      <c r="AV710">
        <v>0</v>
      </c>
      <c r="AW710">
        <v>0</v>
      </c>
      <c r="AX710">
        <v>0</v>
      </c>
      <c r="AY710">
        <v>0</v>
      </c>
      <c r="AZ710">
        <v>0</v>
      </c>
      <c r="BA710">
        <v>0</v>
      </c>
      <c r="BB710">
        <v>0</v>
      </c>
      <c r="BG710">
        <v>0</v>
      </c>
      <c r="BH710">
        <v>1</v>
      </c>
      <c r="BI710">
        <v>16</v>
      </c>
      <c r="BJ710">
        <v>11.4</v>
      </c>
      <c r="BK710">
        <v>16</v>
      </c>
      <c r="BL710">
        <v>653.49</v>
      </c>
      <c r="BM710">
        <v>98.02</v>
      </c>
      <c r="BN710">
        <v>751.51</v>
      </c>
      <c r="BO710">
        <v>751.51</v>
      </c>
      <c r="BQ710" t="s">
        <v>78</v>
      </c>
      <c r="BR710" t="s">
        <v>71</v>
      </c>
      <c r="BS710" s="1">
        <v>43944</v>
      </c>
      <c r="BT710" s="2">
        <v>0.54027777777777775</v>
      </c>
      <c r="BU710" t="s">
        <v>436</v>
      </c>
      <c r="BV710" t="s">
        <v>80</v>
      </c>
      <c r="BY710">
        <v>57029.2</v>
      </c>
      <c r="CA710" t="s">
        <v>574</v>
      </c>
      <c r="CC710" t="s">
        <v>299</v>
      </c>
      <c r="CD710">
        <v>4380</v>
      </c>
      <c r="CE710" t="s">
        <v>91</v>
      </c>
      <c r="CF710" s="1">
        <v>43945</v>
      </c>
      <c r="CI710">
        <v>1</v>
      </c>
      <c r="CJ710">
        <v>1</v>
      </c>
      <c r="CK710">
        <v>23</v>
      </c>
      <c r="CL710" t="s">
        <v>74</v>
      </c>
    </row>
    <row r="711" spans="1:90" x14ac:dyDescent="0.25">
      <c r="A711" t="s">
        <v>61</v>
      </c>
      <c r="B711" t="s">
        <v>62</v>
      </c>
      <c r="C711" t="s">
        <v>63</v>
      </c>
      <c r="E711" t="str">
        <f>"FES1162745207"</f>
        <v>FES1162745207</v>
      </c>
      <c r="F711" s="1">
        <v>43943</v>
      </c>
      <c r="G711">
        <v>202010</v>
      </c>
      <c r="H711" t="s">
        <v>64</v>
      </c>
      <c r="I711" t="s">
        <v>65</v>
      </c>
      <c r="J711" t="s">
        <v>66</v>
      </c>
      <c r="K711" t="s">
        <v>67</v>
      </c>
      <c r="L711" t="s">
        <v>225</v>
      </c>
      <c r="M711" t="s">
        <v>226</v>
      </c>
      <c r="N711" t="s">
        <v>227</v>
      </c>
      <c r="O711" t="s">
        <v>69</v>
      </c>
      <c r="P711" t="str">
        <f>"2170734291                    "</f>
        <v xml:space="preserve">2170734291                    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0</v>
      </c>
      <c r="AM711">
        <v>30.1</v>
      </c>
      <c r="AN711">
        <v>0</v>
      </c>
      <c r="AO711">
        <v>0</v>
      </c>
      <c r="AP711">
        <v>0</v>
      </c>
      <c r="AQ711">
        <v>0</v>
      </c>
      <c r="AR711">
        <v>0</v>
      </c>
      <c r="AS711">
        <v>0</v>
      </c>
      <c r="AT711">
        <v>0</v>
      </c>
      <c r="AU711">
        <v>0</v>
      </c>
      <c r="AV711">
        <v>0</v>
      </c>
      <c r="AW711">
        <v>0</v>
      </c>
      <c r="AX711">
        <v>0</v>
      </c>
      <c r="AY711">
        <v>0</v>
      </c>
      <c r="AZ711">
        <v>0</v>
      </c>
      <c r="BA711">
        <v>0</v>
      </c>
      <c r="BB711">
        <v>0</v>
      </c>
      <c r="BG711">
        <v>0</v>
      </c>
      <c r="BH711">
        <v>1</v>
      </c>
      <c r="BI711">
        <v>7.6</v>
      </c>
      <c r="BJ711">
        <v>3.9</v>
      </c>
      <c r="BK711">
        <v>8</v>
      </c>
      <c r="BL711">
        <v>331.06</v>
      </c>
      <c r="BM711">
        <v>49.66</v>
      </c>
      <c r="BN711">
        <v>380.72</v>
      </c>
      <c r="BO711">
        <v>380.72</v>
      </c>
      <c r="BQ711" t="s">
        <v>78</v>
      </c>
      <c r="BR711" t="s">
        <v>71</v>
      </c>
      <c r="BS711" s="1">
        <v>43944</v>
      </c>
      <c r="BT711" s="2">
        <v>0.41666666666666669</v>
      </c>
      <c r="BU711" t="s">
        <v>920</v>
      </c>
      <c r="BV711" t="s">
        <v>80</v>
      </c>
      <c r="BY711">
        <v>19347.87</v>
      </c>
      <c r="CA711" t="s">
        <v>183</v>
      </c>
      <c r="CC711" t="s">
        <v>226</v>
      </c>
      <c r="CD711">
        <v>1947</v>
      </c>
      <c r="CE711" t="s">
        <v>91</v>
      </c>
      <c r="CF711" s="1">
        <v>43945</v>
      </c>
      <c r="CI711">
        <v>1</v>
      </c>
      <c r="CJ711">
        <v>1</v>
      </c>
      <c r="CK711">
        <v>23</v>
      </c>
      <c r="CL711" t="s">
        <v>74</v>
      </c>
    </row>
    <row r="712" spans="1:90" x14ac:dyDescent="0.25">
      <c r="A712" t="s">
        <v>61</v>
      </c>
      <c r="B712" t="s">
        <v>62</v>
      </c>
      <c r="C712" t="s">
        <v>63</v>
      </c>
      <c r="E712" t="str">
        <f>"FES1162745209"</f>
        <v>FES1162745209</v>
      </c>
      <c r="F712" s="1">
        <v>43943</v>
      </c>
      <c r="G712">
        <v>202010</v>
      </c>
      <c r="H712" t="s">
        <v>64</v>
      </c>
      <c r="I712" t="s">
        <v>65</v>
      </c>
      <c r="J712" t="s">
        <v>66</v>
      </c>
      <c r="K712" t="s">
        <v>67</v>
      </c>
      <c r="L712" t="s">
        <v>81</v>
      </c>
      <c r="M712" t="s">
        <v>82</v>
      </c>
      <c r="N712" t="s">
        <v>83</v>
      </c>
      <c r="O712" t="s">
        <v>69</v>
      </c>
      <c r="P712" t="str">
        <f>"2170736446                    "</f>
        <v xml:space="preserve">2170736446                    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4.1900000000000004</v>
      </c>
      <c r="AN712">
        <v>0</v>
      </c>
      <c r="AO712">
        <v>0</v>
      </c>
      <c r="AP712">
        <v>0</v>
      </c>
      <c r="AQ712">
        <v>0</v>
      </c>
      <c r="AR712">
        <v>0</v>
      </c>
      <c r="AS712">
        <v>0</v>
      </c>
      <c r="AT712">
        <v>0</v>
      </c>
      <c r="AU712">
        <v>0</v>
      </c>
      <c r="AV712">
        <v>0</v>
      </c>
      <c r="AW712">
        <v>0</v>
      </c>
      <c r="AX712">
        <v>0</v>
      </c>
      <c r="AY712">
        <v>0</v>
      </c>
      <c r="AZ712">
        <v>0</v>
      </c>
      <c r="BA712">
        <v>0</v>
      </c>
      <c r="BB712">
        <v>0</v>
      </c>
      <c r="BG712">
        <v>0</v>
      </c>
      <c r="BH712">
        <v>1</v>
      </c>
      <c r="BI712">
        <v>0.2</v>
      </c>
      <c r="BJ712">
        <v>1.2</v>
      </c>
      <c r="BK712">
        <v>1.5</v>
      </c>
      <c r="BL712">
        <v>46.06</v>
      </c>
      <c r="BM712">
        <v>6.91</v>
      </c>
      <c r="BN712">
        <v>52.97</v>
      </c>
      <c r="BO712">
        <v>52.97</v>
      </c>
      <c r="BQ712" t="s">
        <v>78</v>
      </c>
      <c r="BR712" t="s">
        <v>71</v>
      </c>
      <c r="BS712" s="1">
        <v>43950</v>
      </c>
      <c r="BT712" s="2">
        <v>0.375</v>
      </c>
      <c r="BU712" t="s">
        <v>589</v>
      </c>
      <c r="BV712" t="s">
        <v>74</v>
      </c>
      <c r="BY712">
        <v>5918.88</v>
      </c>
      <c r="CC712" t="s">
        <v>82</v>
      </c>
      <c r="CD712">
        <v>9300</v>
      </c>
      <c r="CE712" t="s">
        <v>91</v>
      </c>
      <c r="CI712">
        <v>1</v>
      </c>
      <c r="CJ712">
        <v>5</v>
      </c>
      <c r="CK712">
        <v>21</v>
      </c>
      <c r="CL712" t="s">
        <v>74</v>
      </c>
    </row>
    <row r="713" spans="1:90" x14ac:dyDescent="0.25">
      <c r="A713" t="s">
        <v>61</v>
      </c>
      <c r="B713" t="s">
        <v>62</v>
      </c>
      <c r="C713" t="s">
        <v>63</v>
      </c>
      <c r="E713" t="str">
        <f>"FES1162744939"</f>
        <v>FES1162744939</v>
      </c>
      <c r="F713" s="1">
        <v>43943</v>
      </c>
      <c r="G713">
        <v>202010</v>
      </c>
      <c r="H713" t="s">
        <v>64</v>
      </c>
      <c r="I713" t="s">
        <v>65</v>
      </c>
      <c r="J713" t="s">
        <v>66</v>
      </c>
      <c r="K713" t="s">
        <v>67</v>
      </c>
      <c r="L713" t="s">
        <v>64</v>
      </c>
      <c r="M713" t="s">
        <v>65</v>
      </c>
      <c r="N713" t="s">
        <v>313</v>
      </c>
      <c r="O713" t="s">
        <v>69</v>
      </c>
      <c r="P713" t="str">
        <f>"2170736184                    "</f>
        <v xml:space="preserve">2170736184                    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3.66</v>
      </c>
      <c r="AN713">
        <v>0</v>
      </c>
      <c r="AO713">
        <v>0</v>
      </c>
      <c r="AP713">
        <v>0</v>
      </c>
      <c r="AQ713">
        <v>0</v>
      </c>
      <c r="AR713">
        <v>0</v>
      </c>
      <c r="AS713">
        <v>0</v>
      </c>
      <c r="AT713">
        <v>0</v>
      </c>
      <c r="AU713">
        <v>0</v>
      </c>
      <c r="AV713">
        <v>0</v>
      </c>
      <c r="AW713">
        <v>0</v>
      </c>
      <c r="AX713">
        <v>0</v>
      </c>
      <c r="AY713">
        <v>0</v>
      </c>
      <c r="AZ713">
        <v>0</v>
      </c>
      <c r="BA713">
        <v>0</v>
      </c>
      <c r="BB713">
        <v>0</v>
      </c>
      <c r="BG713">
        <v>0</v>
      </c>
      <c r="BH713">
        <v>1</v>
      </c>
      <c r="BI713">
        <v>2.2999999999999998</v>
      </c>
      <c r="BJ713">
        <v>1.2</v>
      </c>
      <c r="BK713">
        <v>2.5</v>
      </c>
      <c r="BL713">
        <v>40.29</v>
      </c>
      <c r="BM713">
        <v>6.04</v>
      </c>
      <c r="BN713">
        <v>46.33</v>
      </c>
      <c r="BO713">
        <v>46.33</v>
      </c>
      <c r="BQ713" t="s">
        <v>78</v>
      </c>
      <c r="BR713" t="s">
        <v>71</v>
      </c>
      <c r="BS713" s="1">
        <v>43944</v>
      </c>
      <c r="BT713" s="2">
        <v>0.41666666666666669</v>
      </c>
      <c r="BU713" t="s">
        <v>775</v>
      </c>
      <c r="BV713" t="s">
        <v>80</v>
      </c>
      <c r="BY713">
        <v>5857.6</v>
      </c>
      <c r="CC713" t="s">
        <v>65</v>
      </c>
      <c r="CD713">
        <v>1624</v>
      </c>
      <c r="CE713" t="s">
        <v>91</v>
      </c>
      <c r="CF713" s="1">
        <v>43945</v>
      </c>
      <c r="CI713">
        <v>1</v>
      </c>
      <c r="CJ713">
        <v>1</v>
      </c>
      <c r="CK713">
        <v>22</v>
      </c>
      <c r="CL713" t="s">
        <v>74</v>
      </c>
    </row>
    <row r="714" spans="1:90" x14ac:dyDescent="0.25">
      <c r="A714" t="s">
        <v>61</v>
      </c>
      <c r="B714" t="s">
        <v>62</v>
      </c>
      <c r="C714" t="s">
        <v>63</v>
      </c>
      <c r="E714" t="str">
        <f>"FES1162745169"</f>
        <v>FES1162745169</v>
      </c>
      <c r="F714" s="1">
        <v>43943</v>
      </c>
      <c r="G714">
        <v>202010</v>
      </c>
      <c r="H714" t="s">
        <v>64</v>
      </c>
      <c r="I714" t="s">
        <v>65</v>
      </c>
      <c r="J714" t="s">
        <v>66</v>
      </c>
      <c r="K714" t="s">
        <v>67</v>
      </c>
      <c r="L714" t="s">
        <v>406</v>
      </c>
      <c r="M714" t="s">
        <v>407</v>
      </c>
      <c r="N714" t="s">
        <v>921</v>
      </c>
      <c r="O714" t="s">
        <v>69</v>
      </c>
      <c r="P714" t="str">
        <f>"2170736413                    "</f>
        <v xml:space="preserve">2170736413                    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3.27</v>
      </c>
      <c r="AN714">
        <v>0</v>
      </c>
      <c r="AO714">
        <v>0</v>
      </c>
      <c r="AP714">
        <v>0</v>
      </c>
      <c r="AQ714">
        <v>0</v>
      </c>
      <c r="AR714">
        <v>0</v>
      </c>
      <c r="AS714">
        <v>0</v>
      </c>
      <c r="AT714">
        <v>0</v>
      </c>
      <c r="AU714">
        <v>0</v>
      </c>
      <c r="AV714">
        <v>0</v>
      </c>
      <c r="AW714">
        <v>0</v>
      </c>
      <c r="AX714">
        <v>0</v>
      </c>
      <c r="AY714">
        <v>0</v>
      </c>
      <c r="AZ714">
        <v>0</v>
      </c>
      <c r="BA714">
        <v>0</v>
      </c>
      <c r="BB714">
        <v>0</v>
      </c>
      <c r="BG714">
        <v>0</v>
      </c>
      <c r="BH714">
        <v>1</v>
      </c>
      <c r="BI714">
        <v>1</v>
      </c>
      <c r="BJ714">
        <v>0.2</v>
      </c>
      <c r="BK714">
        <v>1</v>
      </c>
      <c r="BL714">
        <v>35.979999999999997</v>
      </c>
      <c r="BM714">
        <v>5.4</v>
      </c>
      <c r="BN714">
        <v>41.38</v>
      </c>
      <c r="BO714">
        <v>41.38</v>
      </c>
      <c r="BQ714" t="s">
        <v>268</v>
      </c>
      <c r="BR714" t="s">
        <v>71</v>
      </c>
      <c r="BS714" s="1">
        <v>43944</v>
      </c>
      <c r="BT714" s="2">
        <v>0.41666666666666669</v>
      </c>
      <c r="BU714" t="s">
        <v>922</v>
      </c>
      <c r="BV714" t="s">
        <v>80</v>
      </c>
      <c r="BY714">
        <v>1200</v>
      </c>
      <c r="CA714" t="s">
        <v>183</v>
      </c>
      <c r="CC714" t="s">
        <v>407</v>
      </c>
      <c r="CD714">
        <v>2162</v>
      </c>
      <c r="CE714" t="s">
        <v>73</v>
      </c>
      <c r="CF714" s="1">
        <v>43945</v>
      </c>
      <c r="CI714">
        <v>1</v>
      </c>
      <c r="CJ714">
        <v>1</v>
      </c>
      <c r="CK714">
        <v>22</v>
      </c>
      <c r="CL714" t="s">
        <v>74</v>
      </c>
    </row>
    <row r="715" spans="1:90" x14ac:dyDescent="0.25">
      <c r="A715" t="s">
        <v>61</v>
      </c>
      <c r="B715" t="s">
        <v>62</v>
      </c>
      <c r="C715" t="s">
        <v>63</v>
      </c>
      <c r="E715" t="str">
        <f>"FES1162745167"</f>
        <v>FES1162745167</v>
      </c>
      <c r="F715" s="1">
        <v>43943</v>
      </c>
      <c r="G715">
        <v>202010</v>
      </c>
      <c r="H715" t="s">
        <v>64</v>
      </c>
      <c r="I715" t="s">
        <v>65</v>
      </c>
      <c r="J715" t="s">
        <v>66</v>
      </c>
      <c r="K715" t="s">
        <v>67</v>
      </c>
      <c r="L715" t="s">
        <v>406</v>
      </c>
      <c r="M715" t="s">
        <v>407</v>
      </c>
      <c r="N715" t="s">
        <v>921</v>
      </c>
      <c r="O715" t="s">
        <v>69</v>
      </c>
      <c r="P715" t="str">
        <f>"2170736410                    "</f>
        <v xml:space="preserve">2170736410                    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3.27</v>
      </c>
      <c r="AN715">
        <v>0</v>
      </c>
      <c r="AO715">
        <v>0</v>
      </c>
      <c r="AP715">
        <v>0</v>
      </c>
      <c r="AQ715">
        <v>0</v>
      </c>
      <c r="AR715">
        <v>0</v>
      </c>
      <c r="AS715">
        <v>0</v>
      </c>
      <c r="AT715">
        <v>0</v>
      </c>
      <c r="AU715">
        <v>0</v>
      </c>
      <c r="AV715">
        <v>0</v>
      </c>
      <c r="AW715">
        <v>0</v>
      </c>
      <c r="AX715">
        <v>0</v>
      </c>
      <c r="AY715">
        <v>0</v>
      </c>
      <c r="AZ715">
        <v>0</v>
      </c>
      <c r="BA715">
        <v>0</v>
      </c>
      <c r="BB715">
        <v>0</v>
      </c>
      <c r="BG715">
        <v>0</v>
      </c>
      <c r="BH715">
        <v>1</v>
      </c>
      <c r="BI715">
        <v>1</v>
      </c>
      <c r="BJ715">
        <v>0.2</v>
      </c>
      <c r="BK715">
        <v>1</v>
      </c>
      <c r="BL715">
        <v>35.979999999999997</v>
      </c>
      <c r="BM715">
        <v>5.4</v>
      </c>
      <c r="BN715">
        <v>41.38</v>
      </c>
      <c r="BO715">
        <v>41.38</v>
      </c>
      <c r="BQ715" t="s">
        <v>268</v>
      </c>
      <c r="BR715" t="s">
        <v>71</v>
      </c>
      <c r="BS715" s="1">
        <v>43944</v>
      </c>
      <c r="BT715" s="2">
        <v>0.41666666666666669</v>
      </c>
      <c r="BU715" t="s">
        <v>923</v>
      </c>
      <c r="BV715" t="s">
        <v>80</v>
      </c>
      <c r="BY715">
        <v>1200</v>
      </c>
      <c r="CA715" t="s">
        <v>183</v>
      </c>
      <c r="CC715" t="s">
        <v>407</v>
      </c>
      <c r="CD715">
        <v>2162</v>
      </c>
      <c r="CE715" t="s">
        <v>73</v>
      </c>
      <c r="CF715" s="1">
        <v>43945</v>
      </c>
      <c r="CI715">
        <v>1</v>
      </c>
      <c r="CJ715">
        <v>1</v>
      </c>
      <c r="CK715">
        <v>22</v>
      </c>
      <c r="CL715" t="s">
        <v>74</v>
      </c>
    </row>
    <row r="716" spans="1:90" x14ac:dyDescent="0.25">
      <c r="A716" t="s">
        <v>61</v>
      </c>
      <c r="B716" t="s">
        <v>62</v>
      </c>
      <c r="C716" t="s">
        <v>63</v>
      </c>
      <c r="E716" t="str">
        <f>"FES1162745166"</f>
        <v>FES1162745166</v>
      </c>
      <c r="F716" s="1">
        <v>43943</v>
      </c>
      <c r="G716">
        <v>202010</v>
      </c>
      <c r="H716" t="s">
        <v>64</v>
      </c>
      <c r="I716" t="s">
        <v>65</v>
      </c>
      <c r="J716" t="s">
        <v>66</v>
      </c>
      <c r="K716" t="s">
        <v>67</v>
      </c>
      <c r="L716" t="s">
        <v>406</v>
      </c>
      <c r="M716" t="s">
        <v>407</v>
      </c>
      <c r="N716" t="s">
        <v>921</v>
      </c>
      <c r="O716" t="s">
        <v>69</v>
      </c>
      <c r="P716" t="str">
        <f>"2170732280                    "</f>
        <v xml:space="preserve">2170732280                    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3.27</v>
      </c>
      <c r="AN716">
        <v>0</v>
      </c>
      <c r="AO716">
        <v>0</v>
      </c>
      <c r="AP716">
        <v>0</v>
      </c>
      <c r="AQ716">
        <v>0</v>
      </c>
      <c r="AR716">
        <v>0</v>
      </c>
      <c r="AS716">
        <v>0</v>
      </c>
      <c r="AT716">
        <v>0</v>
      </c>
      <c r="AU716">
        <v>0</v>
      </c>
      <c r="AV716">
        <v>0</v>
      </c>
      <c r="AW716">
        <v>0</v>
      </c>
      <c r="AX716">
        <v>0</v>
      </c>
      <c r="AY716">
        <v>0</v>
      </c>
      <c r="AZ716">
        <v>0</v>
      </c>
      <c r="BA716">
        <v>0</v>
      </c>
      <c r="BB716">
        <v>0</v>
      </c>
      <c r="BG716">
        <v>0</v>
      </c>
      <c r="BH716">
        <v>1</v>
      </c>
      <c r="BI716">
        <v>0.2</v>
      </c>
      <c r="BJ716">
        <v>1.5</v>
      </c>
      <c r="BK716">
        <v>1.5</v>
      </c>
      <c r="BL716">
        <v>35.979999999999997</v>
      </c>
      <c r="BM716">
        <v>5.4</v>
      </c>
      <c r="BN716">
        <v>41.38</v>
      </c>
      <c r="BO716">
        <v>41.38</v>
      </c>
      <c r="BQ716" t="s">
        <v>268</v>
      </c>
      <c r="BR716" t="s">
        <v>71</v>
      </c>
      <c r="BS716" s="1">
        <v>43944</v>
      </c>
      <c r="BT716" s="2">
        <v>0.41666666666666669</v>
      </c>
      <c r="BU716" t="s">
        <v>922</v>
      </c>
      <c r="BV716" t="s">
        <v>80</v>
      </c>
      <c r="BY716">
        <v>7250.75</v>
      </c>
      <c r="CA716" t="s">
        <v>183</v>
      </c>
      <c r="CC716" t="s">
        <v>407</v>
      </c>
      <c r="CD716">
        <v>2162</v>
      </c>
      <c r="CE716" t="s">
        <v>73</v>
      </c>
      <c r="CF716" s="1">
        <v>43945</v>
      </c>
      <c r="CI716">
        <v>1</v>
      </c>
      <c r="CJ716">
        <v>1</v>
      </c>
      <c r="CK716">
        <v>22</v>
      </c>
      <c r="CL716" t="s">
        <v>74</v>
      </c>
    </row>
    <row r="717" spans="1:90" x14ac:dyDescent="0.25">
      <c r="A717" t="s">
        <v>61</v>
      </c>
      <c r="B717" t="s">
        <v>62</v>
      </c>
      <c r="C717" t="s">
        <v>63</v>
      </c>
      <c r="E717" t="str">
        <f>"FES1162745188"</f>
        <v>FES1162745188</v>
      </c>
      <c r="F717" s="1">
        <v>43943</v>
      </c>
      <c r="G717">
        <v>202010</v>
      </c>
      <c r="H717" t="s">
        <v>64</v>
      </c>
      <c r="I717" t="s">
        <v>65</v>
      </c>
      <c r="J717" t="s">
        <v>66</v>
      </c>
      <c r="K717" t="s">
        <v>67</v>
      </c>
      <c r="L717" t="s">
        <v>92</v>
      </c>
      <c r="M717" t="s">
        <v>93</v>
      </c>
      <c r="N717" t="s">
        <v>144</v>
      </c>
      <c r="O717" t="s">
        <v>69</v>
      </c>
      <c r="P717" t="str">
        <f>"2170735379                    "</f>
        <v xml:space="preserve">2170735379                    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4.1900000000000004</v>
      </c>
      <c r="AN717">
        <v>0</v>
      </c>
      <c r="AO717">
        <v>0</v>
      </c>
      <c r="AP717">
        <v>0</v>
      </c>
      <c r="AQ717">
        <v>0</v>
      </c>
      <c r="AR717">
        <v>0</v>
      </c>
      <c r="AS717">
        <v>0</v>
      </c>
      <c r="AT717">
        <v>0</v>
      </c>
      <c r="AU717">
        <v>0</v>
      </c>
      <c r="AV717">
        <v>0</v>
      </c>
      <c r="AW717">
        <v>0</v>
      </c>
      <c r="AX717">
        <v>0</v>
      </c>
      <c r="AY717">
        <v>0</v>
      </c>
      <c r="AZ717">
        <v>0</v>
      </c>
      <c r="BA717">
        <v>0</v>
      </c>
      <c r="BB717">
        <v>0</v>
      </c>
      <c r="BG717">
        <v>0</v>
      </c>
      <c r="BH717">
        <v>1</v>
      </c>
      <c r="BI717">
        <v>1</v>
      </c>
      <c r="BJ717">
        <v>0.2</v>
      </c>
      <c r="BK717">
        <v>1</v>
      </c>
      <c r="BL717">
        <v>46.06</v>
      </c>
      <c r="BM717">
        <v>6.91</v>
      </c>
      <c r="BN717">
        <v>52.97</v>
      </c>
      <c r="BO717">
        <v>52.97</v>
      </c>
      <c r="BQ717" t="s">
        <v>78</v>
      </c>
      <c r="BR717" t="s">
        <v>71</v>
      </c>
      <c r="BS717" s="1">
        <v>43944</v>
      </c>
      <c r="BT717" s="2">
        <v>0.41666666666666669</v>
      </c>
      <c r="BU717" t="s">
        <v>924</v>
      </c>
      <c r="BV717" t="s">
        <v>80</v>
      </c>
      <c r="BY717">
        <v>1200</v>
      </c>
      <c r="CC717" t="s">
        <v>93</v>
      </c>
      <c r="CD717">
        <v>7530</v>
      </c>
      <c r="CE717" t="s">
        <v>73</v>
      </c>
      <c r="CF717" s="1">
        <v>43945</v>
      </c>
      <c r="CI717">
        <v>1</v>
      </c>
      <c r="CJ717">
        <v>1</v>
      </c>
      <c r="CK717">
        <v>21</v>
      </c>
      <c r="CL717" t="s">
        <v>74</v>
      </c>
    </row>
    <row r="718" spans="1:90" x14ac:dyDescent="0.25">
      <c r="A718" t="s">
        <v>61</v>
      </c>
      <c r="B718" t="s">
        <v>62</v>
      </c>
      <c r="C718" t="s">
        <v>63</v>
      </c>
      <c r="E718" t="str">
        <f>"FES1162745185"</f>
        <v>FES1162745185</v>
      </c>
      <c r="F718" s="1">
        <v>43943</v>
      </c>
      <c r="G718">
        <v>202010</v>
      </c>
      <c r="H718" t="s">
        <v>64</v>
      </c>
      <c r="I718" t="s">
        <v>65</v>
      </c>
      <c r="J718" t="s">
        <v>66</v>
      </c>
      <c r="K718" t="s">
        <v>67</v>
      </c>
      <c r="L718" t="s">
        <v>92</v>
      </c>
      <c r="M718" t="s">
        <v>93</v>
      </c>
      <c r="N718" t="s">
        <v>925</v>
      </c>
      <c r="O718" t="s">
        <v>69</v>
      </c>
      <c r="P718" t="str">
        <f>"2170736427                    "</f>
        <v xml:space="preserve">2170736427                    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4.1900000000000004</v>
      </c>
      <c r="AN718">
        <v>0</v>
      </c>
      <c r="AO718">
        <v>0</v>
      </c>
      <c r="AP718">
        <v>0</v>
      </c>
      <c r="AQ718">
        <v>0</v>
      </c>
      <c r="AR718">
        <v>0</v>
      </c>
      <c r="AS718">
        <v>0</v>
      </c>
      <c r="AT718">
        <v>0</v>
      </c>
      <c r="AU718">
        <v>0</v>
      </c>
      <c r="AV718">
        <v>0</v>
      </c>
      <c r="AW718">
        <v>0</v>
      </c>
      <c r="AX718">
        <v>0</v>
      </c>
      <c r="AY718">
        <v>0</v>
      </c>
      <c r="AZ718">
        <v>0</v>
      </c>
      <c r="BA718">
        <v>0</v>
      </c>
      <c r="BB718">
        <v>0</v>
      </c>
      <c r="BG718">
        <v>0</v>
      </c>
      <c r="BH718">
        <v>1</v>
      </c>
      <c r="BI718">
        <v>1</v>
      </c>
      <c r="BJ718">
        <v>0.2</v>
      </c>
      <c r="BK718">
        <v>1</v>
      </c>
      <c r="BL718">
        <v>46.06</v>
      </c>
      <c r="BM718">
        <v>6.91</v>
      </c>
      <c r="BN718">
        <v>52.97</v>
      </c>
      <c r="BO718">
        <v>52.97</v>
      </c>
      <c r="BQ718" t="s">
        <v>78</v>
      </c>
      <c r="BR718" t="s">
        <v>71</v>
      </c>
      <c r="BS718" s="1">
        <v>43944</v>
      </c>
      <c r="BT718" s="2">
        <v>0.42777777777777781</v>
      </c>
      <c r="BU718" t="s">
        <v>926</v>
      </c>
      <c r="BV718" t="s">
        <v>80</v>
      </c>
      <c r="BY718">
        <v>1200</v>
      </c>
      <c r="CA718" t="s">
        <v>98</v>
      </c>
      <c r="CC718" t="s">
        <v>93</v>
      </c>
      <c r="CD718">
        <v>7925</v>
      </c>
      <c r="CE718" t="s">
        <v>73</v>
      </c>
      <c r="CF718" s="1">
        <v>43945</v>
      </c>
      <c r="CI718">
        <v>1</v>
      </c>
      <c r="CJ718">
        <v>1</v>
      </c>
      <c r="CK718">
        <v>21</v>
      </c>
      <c r="CL718" t="s">
        <v>74</v>
      </c>
    </row>
    <row r="719" spans="1:90" x14ac:dyDescent="0.25">
      <c r="A719" t="s">
        <v>61</v>
      </c>
      <c r="B719" t="s">
        <v>62</v>
      </c>
      <c r="C719" t="s">
        <v>63</v>
      </c>
      <c r="E719" t="str">
        <f>"FES1162745199"</f>
        <v>FES1162745199</v>
      </c>
      <c r="F719" s="1">
        <v>43943</v>
      </c>
      <c r="G719">
        <v>202010</v>
      </c>
      <c r="H719" t="s">
        <v>64</v>
      </c>
      <c r="I719" t="s">
        <v>65</v>
      </c>
      <c r="J719" t="s">
        <v>66</v>
      </c>
      <c r="K719" t="s">
        <v>67</v>
      </c>
      <c r="L719" t="s">
        <v>791</v>
      </c>
      <c r="M719" t="s">
        <v>792</v>
      </c>
      <c r="N719" t="s">
        <v>793</v>
      </c>
      <c r="O719" t="s">
        <v>69</v>
      </c>
      <c r="P719" t="str">
        <f>"2170736418                    "</f>
        <v xml:space="preserve">2170736418                    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8.11</v>
      </c>
      <c r="AN719">
        <v>0</v>
      </c>
      <c r="AO719">
        <v>0</v>
      </c>
      <c r="AP719">
        <v>0</v>
      </c>
      <c r="AQ719">
        <v>0</v>
      </c>
      <c r="AR719">
        <v>0</v>
      </c>
      <c r="AS719">
        <v>0</v>
      </c>
      <c r="AT719">
        <v>0</v>
      </c>
      <c r="AU719">
        <v>0</v>
      </c>
      <c r="AV719">
        <v>0</v>
      </c>
      <c r="AW719">
        <v>0</v>
      </c>
      <c r="AX719">
        <v>0</v>
      </c>
      <c r="AY719">
        <v>0</v>
      </c>
      <c r="AZ719">
        <v>0</v>
      </c>
      <c r="BA719">
        <v>0</v>
      </c>
      <c r="BB719">
        <v>0</v>
      </c>
      <c r="BG719">
        <v>0</v>
      </c>
      <c r="BH719">
        <v>1</v>
      </c>
      <c r="BI719">
        <v>1</v>
      </c>
      <c r="BJ719">
        <v>0.2</v>
      </c>
      <c r="BK719">
        <v>1</v>
      </c>
      <c r="BL719">
        <v>89.23</v>
      </c>
      <c r="BM719">
        <v>13.38</v>
      </c>
      <c r="BN719">
        <v>102.61</v>
      </c>
      <c r="BO719">
        <v>102.61</v>
      </c>
      <c r="BQ719" t="s">
        <v>78</v>
      </c>
      <c r="BR719" t="s">
        <v>71</v>
      </c>
      <c r="BS719" s="1">
        <v>43945</v>
      </c>
      <c r="BT719" s="2">
        <v>0.37013888888888885</v>
      </c>
      <c r="BU719" t="s">
        <v>927</v>
      </c>
      <c r="BV719" t="s">
        <v>80</v>
      </c>
      <c r="BY719">
        <v>1200</v>
      </c>
      <c r="CA719" t="s">
        <v>795</v>
      </c>
      <c r="CC719" t="s">
        <v>792</v>
      </c>
      <c r="CD719">
        <v>7160</v>
      </c>
      <c r="CE719" t="s">
        <v>73</v>
      </c>
      <c r="CI719">
        <v>3</v>
      </c>
      <c r="CJ719">
        <v>2</v>
      </c>
      <c r="CK719">
        <v>23</v>
      </c>
      <c r="CL719" t="s">
        <v>74</v>
      </c>
    </row>
    <row r="720" spans="1:90" x14ac:dyDescent="0.25">
      <c r="A720" t="s">
        <v>61</v>
      </c>
      <c r="B720" t="s">
        <v>62</v>
      </c>
      <c r="C720" t="s">
        <v>63</v>
      </c>
      <c r="E720" t="str">
        <f>"FES1162745154"</f>
        <v>FES1162745154</v>
      </c>
      <c r="F720" s="1">
        <v>43943</v>
      </c>
      <c r="G720">
        <v>202010</v>
      </c>
      <c r="H720" t="s">
        <v>64</v>
      </c>
      <c r="I720" t="s">
        <v>65</v>
      </c>
      <c r="J720" t="s">
        <v>66</v>
      </c>
      <c r="K720" t="s">
        <v>67</v>
      </c>
      <c r="L720" t="s">
        <v>99</v>
      </c>
      <c r="M720" t="s">
        <v>100</v>
      </c>
      <c r="N720" t="s">
        <v>512</v>
      </c>
      <c r="O720" t="s">
        <v>69</v>
      </c>
      <c r="P720" t="str">
        <f>"2170736362                    "</f>
        <v xml:space="preserve">2170736362                    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8.11</v>
      </c>
      <c r="AN720">
        <v>0</v>
      </c>
      <c r="AO720">
        <v>0</v>
      </c>
      <c r="AP720">
        <v>0</v>
      </c>
      <c r="AQ720">
        <v>0</v>
      </c>
      <c r="AR720">
        <v>0</v>
      </c>
      <c r="AS720">
        <v>0</v>
      </c>
      <c r="AT720">
        <v>0</v>
      </c>
      <c r="AU720">
        <v>0</v>
      </c>
      <c r="AV720">
        <v>0</v>
      </c>
      <c r="AW720">
        <v>0</v>
      </c>
      <c r="AX720">
        <v>0</v>
      </c>
      <c r="AY720">
        <v>0</v>
      </c>
      <c r="AZ720">
        <v>0</v>
      </c>
      <c r="BA720">
        <v>0</v>
      </c>
      <c r="BB720">
        <v>0</v>
      </c>
      <c r="BG720">
        <v>0</v>
      </c>
      <c r="BH720">
        <v>1</v>
      </c>
      <c r="BI720">
        <v>1</v>
      </c>
      <c r="BJ720">
        <v>0.2</v>
      </c>
      <c r="BK720">
        <v>1</v>
      </c>
      <c r="BL720">
        <v>89.23</v>
      </c>
      <c r="BM720">
        <v>13.38</v>
      </c>
      <c r="BN720">
        <v>102.61</v>
      </c>
      <c r="BO720">
        <v>102.61</v>
      </c>
      <c r="BQ720" t="s">
        <v>268</v>
      </c>
      <c r="BR720" t="s">
        <v>71</v>
      </c>
      <c r="BS720" s="1">
        <v>43945</v>
      </c>
      <c r="BT720" s="2">
        <v>0.50555555555555554</v>
      </c>
      <c r="BU720" t="s">
        <v>513</v>
      </c>
      <c r="BV720" t="s">
        <v>80</v>
      </c>
      <c r="BY720">
        <v>1200</v>
      </c>
      <c r="CA720" t="s">
        <v>103</v>
      </c>
      <c r="CC720" t="s">
        <v>100</v>
      </c>
      <c r="CD720">
        <v>6850</v>
      </c>
      <c r="CE720" t="s">
        <v>73</v>
      </c>
      <c r="CF720" s="1">
        <v>43950</v>
      </c>
      <c r="CI720">
        <v>3</v>
      </c>
      <c r="CJ720">
        <v>2</v>
      </c>
      <c r="CK720">
        <v>23</v>
      </c>
      <c r="CL720" t="s">
        <v>74</v>
      </c>
    </row>
    <row r="721" spans="1:90" x14ac:dyDescent="0.25">
      <c r="A721" t="s">
        <v>61</v>
      </c>
      <c r="B721" t="s">
        <v>62</v>
      </c>
      <c r="C721" t="s">
        <v>63</v>
      </c>
      <c r="E721" t="str">
        <f>"FES1162745149"</f>
        <v>FES1162745149</v>
      </c>
      <c r="F721" s="1">
        <v>43943</v>
      </c>
      <c r="G721">
        <v>202010</v>
      </c>
      <c r="H721" t="s">
        <v>64</v>
      </c>
      <c r="I721" t="s">
        <v>65</v>
      </c>
      <c r="J721" t="s">
        <v>66</v>
      </c>
      <c r="K721" t="s">
        <v>67</v>
      </c>
      <c r="L721" t="s">
        <v>212</v>
      </c>
      <c r="M721" t="s">
        <v>213</v>
      </c>
      <c r="N721" t="s">
        <v>689</v>
      </c>
      <c r="O721" t="s">
        <v>69</v>
      </c>
      <c r="P721" t="str">
        <f>"2170735356                    "</f>
        <v xml:space="preserve">2170735356                    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5.23</v>
      </c>
      <c r="AN721">
        <v>0</v>
      </c>
      <c r="AO721">
        <v>0</v>
      </c>
      <c r="AP721">
        <v>0</v>
      </c>
      <c r="AQ721">
        <v>0</v>
      </c>
      <c r="AR721">
        <v>0</v>
      </c>
      <c r="AS721">
        <v>0</v>
      </c>
      <c r="AT721">
        <v>0</v>
      </c>
      <c r="AU721">
        <v>0</v>
      </c>
      <c r="AV721">
        <v>0</v>
      </c>
      <c r="AW721">
        <v>0</v>
      </c>
      <c r="AX721">
        <v>0</v>
      </c>
      <c r="AY721">
        <v>0</v>
      </c>
      <c r="AZ721">
        <v>0</v>
      </c>
      <c r="BA721">
        <v>0</v>
      </c>
      <c r="BB721">
        <v>0</v>
      </c>
      <c r="BG721">
        <v>0</v>
      </c>
      <c r="BH721">
        <v>1</v>
      </c>
      <c r="BI721">
        <v>0.9</v>
      </c>
      <c r="BJ721">
        <v>2.2999999999999998</v>
      </c>
      <c r="BK721">
        <v>2.5</v>
      </c>
      <c r="BL721">
        <v>57.56</v>
      </c>
      <c r="BM721">
        <v>8.6300000000000008</v>
      </c>
      <c r="BN721">
        <v>66.19</v>
      </c>
      <c r="BO721">
        <v>66.19</v>
      </c>
      <c r="BQ721" t="s">
        <v>864</v>
      </c>
      <c r="BR721" t="s">
        <v>71</v>
      </c>
      <c r="BS721" s="1">
        <v>43944</v>
      </c>
      <c r="BT721" s="2">
        <v>0.47916666666666669</v>
      </c>
      <c r="BU721" t="s">
        <v>928</v>
      </c>
      <c r="BV721" t="s">
        <v>80</v>
      </c>
      <c r="BY721">
        <v>11648.34</v>
      </c>
      <c r="CC721" t="s">
        <v>213</v>
      </c>
      <c r="CD721">
        <v>3610</v>
      </c>
      <c r="CE721" t="s">
        <v>73</v>
      </c>
      <c r="CF721" s="1">
        <v>43945</v>
      </c>
      <c r="CI721">
        <v>1</v>
      </c>
      <c r="CJ721">
        <v>1</v>
      </c>
      <c r="CK721">
        <v>21</v>
      </c>
      <c r="CL721" t="s">
        <v>74</v>
      </c>
    </row>
    <row r="722" spans="1:90" x14ac:dyDescent="0.25">
      <c r="A722" t="s">
        <v>61</v>
      </c>
      <c r="B722" t="s">
        <v>62</v>
      </c>
      <c r="C722" t="s">
        <v>63</v>
      </c>
      <c r="E722" t="str">
        <f>"FES1162745162"</f>
        <v>FES1162745162</v>
      </c>
      <c r="F722" s="1">
        <v>43943</v>
      </c>
      <c r="G722">
        <v>202010</v>
      </c>
      <c r="H722" t="s">
        <v>64</v>
      </c>
      <c r="I722" t="s">
        <v>65</v>
      </c>
      <c r="J722" t="s">
        <v>66</v>
      </c>
      <c r="K722" t="s">
        <v>67</v>
      </c>
      <c r="L722" t="s">
        <v>194</v>
      </c>
      <c r="M722" t="s">
        <v>195</v>
      </c>
      <c r="N722" t="s">
        <v>196</v>
      </c>
      <c r="O722" t="s">
        <v>69</v>
      </c>
      <c r="P722" t="str">
        <f>"2170736401                    "</f>
        <v xml:space="preserve">2170736401                    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8.11</v>
      </c>
      <c r="AN722">
        <v>0</v>
      </c>
      <c r="AO722">
        <v>0</v>
      </c>
      <c r="AP722">
        <v>0</v>
      </c>
      <c r="AQ722">
        <v>0</v>
      </c>
      <c r="AR722">
        <v>0</v>
      </c>
      <c r="AS722">
        <v>0</v>
      </c>
      <c r="AT722">
        <v>0</v>
      </c>
      <c r="AU722">
        <v>0</v>
      </c>
      <c r="AV722">
        <v>0</v>
      </c>
      <c r="AW722">
        <v>0</v>
      </c>
      <c r="AX722">
        <v>0</v>
      </c>
      <c r="AY722">
        <v>0</v>
      </c>
      <c r="AZ722">
        <v>0</v>
      </c>
      <c r="BA722">
        <v>0</v>
      </c>
      <c r="BB722">
        <v>0</v>
      </c>
      <c r="BG722">
        <v>0</v>
      </c>
      <c r="BH722">
        <v>1</v>
      </c>
      <c r="BI722">
        <v>1</v>
      </c>
      <c r="BJ722">
        <v>0.2</v>
      </c>
      <c r="BK722">
        <v>1</v>
      </c>
      <c r="BL722">
        <v>89.23</v>
      </c>
      <c r="BM722">
        <v>13.38</v>
      </c>
      <c r="BN722">
        <v>102.61</v>
      </c>
      <c r="BO722">
        <v>102.61</v>
      </c>
      <c r="BQ722" t="s">
        <v>70</v>
      </c>
      <c r="BR722" t="s">
        <v>71</v>
      </c>
      <c r="BS722" s="1">
        <v>43944</v>
      </c>
      <c r="BT722" s="2">
        <v>0.39583333333333331</v>
      </c>
      <c r="BU722" t="s">
        <v>929</v>
      </c>
      <c r="BV722" t="s">
        <v>80</v>
      </c>
      <c r="BY722">
        <v>1200</v>
      </c>
      <c r="CC722" t="s">
        <v>195</v>
      </c>
      <c r="CD722">
        <v>9880</v>
      </c>
      <c r="CE722" t="s">
        <v>73</v>
      </c>
      <c r="CF722" s="1">
        <v>43950</v>
      </c>
      <c r="CI722">
        <v>1</v>
      </c>
      <c r="CJ722">
        <v>1</v>
      </c>
      <c r="CK722">
        <v>23</v>
      </c>
      <c r="CL722" t="s">
        <v>74</v>
      </c>
    </row>
    <row r="723" spans="1:90" x14ac:dyDescent="0.25">
      <c r="A723" t="s">
        <v>61</v>
      </c>
      <c r="B723" t="s">
        <v>62</v>
      </c>
      <c r="C723" t="s">
        <v>63</v>
      </c>
      <c r="E723" t="str">
        <f>"FES1162745195"</f>
        <v>FES1162745195</v>
      </c>
      <c r="F723" s="1">
        <v>43943</v>
      </c>
      <c r="G723">
        <v>202010</v>
      </c>
      <c r="H723" t="s">
        <v>64</v>
      </c>
      <c r="I723" t="s">
        <v>65</v>
      </c>
      <c r="J723" t="s">
        <v>66</v>
      </c>
      <c r="K723" t="s">
        <v>67</v>
      </c>
      <c r="L723" t="s">
        <v>64</v>
      </c>
      <c r="M723" t="s">
        <v>65</v>
      </c>
      <c r="N723" t="s">
        <v>930</v>
      </c>
      <c r="O723" t="s">
        <v>69</v>
      </c>
      <c r="P723" t="str">
        <f>"2170732650                    "</f>
        <v xml:space="preserve">2170732650                    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3.27</v>
      </c>
      <c r="AN723">
        <v>0</v>
      </c>
      <c r="AO723">
        <v>0</v>
      </c>
      <c r="AP723">
        <v>0</v>
      </c>
      <c r="AQ723">
        <v>0</v>
      </c>
      <c r="AR723">
        <v>0</v>
      </c>
      <c r="AS723">
        <v>0</v>
      </c>
      <c r="AT723">
        <v>0</v>
      </c>
      <c r="AU723">
        <v>0</v>
      </c>
      <c r="AV723">
        <v>0</v>
      </c>
      <c r="AW723">
        <v>0</v>
      </c>
      <c r="AX723">
        <v>0</v>
      </c>
      <c r="AY723">
        <v>0</v>
      </c>
      <c r="AZ723">
        <v>0</v>
      </c>
      <c r="BA723">
        <v>0</v>
      </c>
      <c r="BB723">
        <v>0</v>
      </c>
      <c r="BG723">
        <v>0</v>
      </c>
      <c r="BH723">
        <v>1</v>
      </c>
      <c r="BI723">
        <v>1</v>
      </c>
      <c r="BJ723">
        <v>0.2</v>
      </c>
      <c r="BK723">
        <v>1</v>
      </c>
      <c r="BL723">
        <v>35.979999999999997</v>
      </c>
      <c r="BM723">
        <v>5.4</v>
      </c>
      <c r="BN723">
        <v>41.38</v>
      </c>
      <c r="BO723">
        <v>41.38</v>
      </c>
      <c r="BQ723" t="s">
        <v>78</v>
      </c>
      <c r="BR723" t="s">
        <v>71</v>
      </c>
      <c r="BS723" s="1">
        <v>43944</v>
      </c>
      <c r="BT723" s="2">
        <v>0.42708333333333331</v>
      </c>
      <c r="BU723" t="s">
        <v>931</v>
      </c>
      <c r="BV723" t="s">
        <v>80</v>
      </c>
      <c r="BY723">
        <v>1200</v>
      </c>
      <c r="CC723" t="s">
        <v>65</v>
      </c>
      <c r="CD723">
        <v>1600</v>
      </c>
      <c r="CE723" t="s">
        <v>73</v>
      </c>
      <c r="CF723" s="1">
        <v>43945</v>
      </c>
      <c r="CI723">
        <v>1</v>
      </c>
      <c r="CJ723">
        <v>1</v>
      </c>
      <c r="CK723">
        <v>22</v>
      </c>
      <c r="CL723" t="s">
        <v>74</v>
      </c>
    </row>
    <row r="724" spans="1:90" x14ac:dyDescent="0.25">
      <c r="A724" t="s">
        <v>61</v>
      </c>
      <c r="B724" t="s">
        <v>62</v>
      </c>
      <c r="C724" t="s">
        <v>63</v>
      </c>
      <c r="E724" t="str">
        <f>"FES1162745110"</f>
        <v>FES1162745110</v>
      </c>
      <c r="F724" s="1">
        <v>43943</v>
      </c>
      <c r="G724">
        <v>202010</v>
      </c>
      <c r="H724" t="s">
        <v>64</v>
      </c>
      <c r="I724" t="s">
        <v>65</v>
      </c>
      <c r="J724" t="s">
        <v>66</v>
      </c>
      <c r="K724" t="s">
        <v>67</v>
      </c>
      <c r="L724" t="s">
        <v>212</v>
      </c>
      <c r="M724" t="s">
        <v>213</v>
      </c>
      <c r="N724" t="s">
        <v>889</v>
      </c>
      <c r="O724" t="s">
        <v>69</v>
      </c>
      <c r="P724" t="str">
        <f>"2170724748                    "</f>
        <v xml:space="preserve">2170724748                    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4.1900000000000004</v>
      </c>
      <c r="AN724">
        <v>0</v>
      </c>
      <c r="AO724">
        <v>0</v>
      </c>
      <c r="AP724">
        <v>0</v>
      </c>
      <c r="AQ724">
        <v>0</v>
      </c>
      <c r="AR724">
        <v>0</v>
      </c>
      <c r="AS724">
        <v>0</v>
      </c>
      <c r="AT724">
        <v>0</v>
      </c>
      <c r="AU724">
        <v>0</v>
      </c>
      <c r="AV724">
        <v>0</v>
      </c>
      <c r="AW724">
        <v>0</v>
      </c>
      <c r="AX724">
        <v>0</v>
      </c>
      <c r="AY724">
        <v>0</v>
      </c>
      <c r="AZ724">
        <v>0</v>
      </c>
      <c r="BA724">
        <v>0</v>
      </c>
      <c r="BB724">
        <v>0</v>
      </c>
      <c r="BG724">
        <v>0</v>
      </c>
      <c r="BH724">
        <v>1</v>
      </c>
      <c r="BI724">
        <v>1</v>
      </c>
      <c r="BJ724">
        <v>0.2</v>
      </c>
      <c r="BK724">
        <v>1</v>
      </c>
      <c r="BL724">
        <v>46.06</v>
      </c>
      <c r="BM724">
        <v>6.91</v>
      </c>
      <c r="BN724">
        <v>52.97</v>
      </c>
      <c r="BO724">
        <v>52.97</v>
      </c>
      <c r="BQ724" t="s">
        <v>268</v>
      </c>
      <c r="BR724" t="s">
        <v>71</v>
      </c>
      <c r="BS724" s="1">
        <v>43944</v>
      </c>
      <c r="BT724" s="2">
        <v>0.4368055555555555</v>
      </c>
      <c r="BU724" t="s">
        <v>890</v>
      </c>
      <c r="BV724" t="s">
        <v>80</v>
      </c>
      <c r="BY724">
        <v>1200</v>
      </c>
      <c r="CA724" t="s">
        <v>711</v>
      </c>
      <c r="CC724" t="s">
        <v>213</v>
      </c>
      <c r="CD724">
        <v>3610</v>
      </c>
      <c r="CE724" t="s">
        <v>73</v>
      </c>
      <c r="CF724" s="1">
        <v>43945</v>
      </c>
      <c r="CI724">
        <v>1</v>
      </c>
      <c r="CJ724">
        <v>1</v>
      </c>
      <c r="CK724">
        <v>21</v>
      </c>
      <c r="CL724" t="s">
        <v>74</v>
      </c>
    </row>
    <row r="725" spans="1:90" x14ac:dyDescent="0.25">
      <c r="A725" t="s">
        <v>61</v>
      </c>
      <c r="B725" t="s">
        <v>62</v>
      </c>
      <c r="C725" t="s">
        <v>63</v>
      </c>
      <c r="E725" t="str">
        <f>"FES1162745196"</f>
        <v>FES1162745196</v>
      </c>
      <c r="F725" s="1">
        <v>43943</v>
      </c>
      <c r="G725">
        <v>202010</v>
      </c>
      <c r="H725" t="s">
        <v>64</v>
      </c>
      <c r="I725" t="s">
        <v>65</v>
      </c>
      <c r="J725" t="s">
        <v>66</v>
      </c>
      <c r="K725" t="s">
        <v>67</v>
      </c>
      <c r="L725" t="s">
        <v>64</v>
      </c>
      <c r="M725" t="s">
        <v>65</v>
      </c>
      <c r="N725" t="s">
        <v>930</v>
      </c>
      <c r="O725" t="s">
        <v>69</v>
      </c>
      <c r="P725" t="str">
        <f>"2170732533                    "</f>
        <v xml:space="preserve">2170732533                    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3.27</v>
      </c>
      <c r="AN725">
        <v>0</v>
      </c>
      <c r="AO725">
        <v>0</v>
      </c>
      <c r="AP725">
        <v>0</v>
      </c>
      <c r="AQ725">
        <v>0</v>
      </c>
      <c r="AR725">
        <v>0</v>
      </c>
      <c r="AS725">
        <v>0</v>
      </c>
      <c r="AT725">
        <v>0</v>
      </c>
      <c r="AU725">
        <v>0</v>
      </c>
      <c r="AV725">
        <v>0</v>
      </c>
      <c r="AW725">
        <v>0</v>
      </c>
      <c r="AX725">
        <v>0</v>
      </c>
      <c r="AY725">
        <v>0</v>
      </c>
      <c r="AZ725">
        <v>0</v>
      </c>
      <c r="BA725">
        <v>0</v>
      </c>
      <c r="BB725">
        <v>0</v>
      </c>
      <c r="BG725">
        <v>0</v>
      </c>
      <c r="BH725">
        <v>1</v>
      </c>
      <c r="BI725">
        <v>1</v>
      </c>
      <c r="BJ725">
        <v>0.2</v>
      </c>
      <c r="BK725">
        <v>1</v>
      </c>
      <c r="BL725">
        <v>35.979999999999997</v>
      </c>
      <c r="BM725">
        <v>5.4</v>
      </c>
      <c r="BN725">
        <v>41.38</v>
      </c>
      <c r="BO725">
        <v>41.38</v>
      </c>
      <c r="BQ725" t="s">
        <v>78</v>
      </c>
      <c r="BR725" t="s">
        <v>71</v>
      </c>
      <c r="BS725" s="1">
        <v>43944</v>
      </c>
      <c r="BT725" s="2">
        <v>0.42708333333333331</v>
      </c>
      <c r="BU725" t="s">
        <v>932</v>
      </c>
      <c r="BV725" t="s">
        <v>80</v>
      </c>
      <c r="BY725">
        <v>1200</v>
      </c>
      <c r="CC725" t="s">
        <v>65</v>
      </c>
      <c r="CD725">
        <v>1600</v>
      </c>
      <c r="CE725" t="s">
        <v>73</v>
      </c>
      <c r="CF725" s="1">
        <v>43945</v>
      </c>
      <c r="CI725">
        <v>1</v>
      </c>
      <c r="CJ725">
        <v>1</v>
      </c>
      <c r="CK725">
        <v>22</v>
      </c>
      <c r="CL725" t="s">
        <v>74</v>
      </c>
    </row>
    <row r="726" spans="1:90" x14ac:dyDescent="0.25">
      <c r="A726" t="s">
        <v>61</v>
      </c>
      <c r="B726" t="s">
        <v>62</v>
      </c>
      <c r="C726" t="s">
        <v>63</v>
      </c>
      <c r="E726" t="str">
        <f>"FES1162745147"</f>
        <v>FES1162745147</v>
      </c>
      <c r="F726" s="1">
        <v>43943</v>
      </c>
      <c r="G726">
        <v>202010</v>
      </c>
      <c r="H726" t="s">
        <v>64</v>
      </c>
      <c r="I726" t="s">
        <v>65</v>
      </c>
      <c r="J726" t="s">
        <v>66</v>
      </c>
      <c r="K726" t="s">
        <v>67</v>
      </c>
      <c r="L726" t="s">
        <v>75</v>
      </c>
      <c r="M726" t="s">
        <v>76</v>
      </c>
      <c r="N726" t="s">
        <v>155</v>
      </c>
      <c r="O726" t="s">
        <v>69</v>
      </c>
      <c r="P726" t="str">
        <f>"2170735187                    "</f>
        <v xml:space="preserve">2170735187                    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3.27</v>
      </c>
      <c r="AN726">
        <v>0</v>
      </c>
      <c r="AO726">
        <v>0</v>
      </c>
      <c r="AP726">
        <v>0</v>
      </c>
      <c r="AQ726">
        <v>0</v>
      </c>
      <c r="AR726">
        <v>0</v>
      </c>
      <c r="AS726">
        <v>0</v>
      </c>
      <c r="AT726">
        <v>0</v>
      </c>
      <c r="AU726">
        <v>0</v>
      </c>
      <c r="AV726">
        <v>0</v>
      </c>
      <c r="AW726">
        <v>0</v>
      </c>
      <c r="AX726">
        <v>0</v>
      </c>
      <c r="AY726">
        <v>0</v>
      </c>
      <c r="AZ726">
        <v>0</v>
      </c>
      <c r="BA726">
        <v>0</v>
      </c>
      <c r="BB726">
        <v>0</v>
      </c>
      <c r="BG726">
        <v>0</v>
      </c>
      <c r="BH726">
        <v>1</v>
      </c>
      <c r="BI726">
        <v>1</v>
      </c>
      <c r="BJ726">
        <v>0.2</v>
      </c>
      <c r="BK726">
        <v>1</v>
      </c>
      <c r="BL726">
        <v>35.979999999999997</v>
      </c>
      <c r="BM726">
        <v>5.4</v>
      </c>
      <c r="BN726">
        <v>41.38</v>
      </c>
      <c r="BO726">
        <v>41.38</v>
      </c>
      <c r="BQ726" t="s">
        <v>78</v>
      </c>
      <c r="BR726" t="s">
        <v>71</v>
      </c>
      <c r="BS726" s="1">
        <v>43944</v>
      </c>
      <c r="BT726" s="2">
        <v>0.3576388888888889</v>
      </c>
      <c r="BU726" t="s">
        <v>845</v>
      </c>
      <c r="BV726" t="s">
        <v>80</v>
      </c>
      <c r="BY726">
        <v>1200</v>
      </c>
      <c r="CA726" t="s">
        <v>157</v>
      </c>
      <c r="CC726" t="s">
        <v>76</v>
      </c>
      <c r="CD726">
        <v>1459</v>
      </c>
      <c r="CE726" t="s">
        <v>73</v>
      </c>
      <c r="CF726" s="1">
        <v>43945</v>
      </c>
      <c r="CI726">
        <v>1</v>
      </c>
      <c r="CJ726">
        <v>1</v>
      </c>
      <c r="CK726">
        <v>22</v>
      </c>
      <c r="CL726" t="s">
        <v>74</v>
      </c>
    </row>
    <row r="727" spans="1:90" x14ac:dyDescent="0.25">
      <c r="A727" t="s">
        <v>61</v>
      </c>
      <c r="B727" t="s">
        <v>62</v>
      </c>
      <c r="C727" t="s">
        <v>63</v>
      </c>
      <c r="E727" t="str">
        <f>"FES1162745156"</f>
        <v>FES1162745156</v>
      </c>
      <c r="F727" s="1">
        <v>43943</v>
      </c>
      <c r="G727">
        <v>202010</v>
      </c>
      <c r="H727" t="s">
        <v>64</v>
      </c>
      <c r="I727" t="s">
        <v>65</v>
      </c>
      <c r="J727" t="s">
        <v>66</v>
      </c>
      <c r="K727" t="s">
        <v>67</v>
      </c>
      <c r="L727" t="s">
        <v>75</v>
      </c>
      <c r="M727" t="s">
        <v>76</v>
      </c>
      <c r="N727" t="s">
        <v>155</v>
      </c>
      <c r="O727" t="s">
        <v>69</v>
      </c>
      <c r="P727" t="str">
        <f>"2170736379                    "</f>
        <v xml:space="preserve">2170736379                    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3.27</v>
      </c>
      <c r="AN727">
        <v>0</v>
      </c>
      <c r="AO727">
        <v>0</v>
      </c>
      <c r="AP727">
        <v>0</v>
      </c>
      <c r="AQ727">
        <v>0</v>
      </c>
      <c r="AR727">
        <v>0</v>
      </c>
      <c r="AS727">
        <v>0</v>
      </c>
      <c r="AT727">
        <v>0</v>
      </c>
      <c r="AU727">
        <v>0</v>
      </c>
      <c r="AV727">
        <v>0</v>
      </c>
      <c r="AW727">
        <v>0</v>
      </c>
      <c r="AX727">
        <v>0</v>
      </c>
      <c r="AY727">
        <v>0</v>
      </c>
      <c r="AZ727">
        <v>0</v>
      </c>
      <c r="BA727">
        <v>0</v>
      </c>
      <c r="BB727">
        <v>0</v>
      </c>
      <c r="BG727">
        <v>0</v>
      </c>
      <c r="BH727">
        <v>1</v>
      </c>
      <c r="BI727">
        <v>1</v>
      </c>
      <c r="BJ727">
        <v>0.2</v>
      </c>
      <c r="BK727">
        <v>1</v>
      </c>
      <c r="BL727">
        <v>35.979999999999997</v>
      </c>
      <c r="BM727">
        <v>5.4</v>
      </c>
      <c r="BN727">
        <v>41.38</v>
      </c>
      <c r="BO727">
        <v>41.38</v>
      </c>
      <c r="BQ727" t="s">
        <v>78</v>
      </c>
      <c r="BR727" t="s">
        <v>71</v>
      </c>
      <c r="BS727" s="1">
        <v>43944</v>
      </c>
      <c r="BT727" s="2">
        <v>0.3576388888888889</v>
      </c>
      <c r="BU727" t="s">
        <v>845</v>
      </c>
      <c r="BV727" t="s">
        <v>80</v>
      </c>
      <c r="BY727">
        <v>1200</v>
      </c>
      <c r="CA727" t="s">
        <v>157</v>
      </c>
      <c r="CC727" t="s">
        <v>76</v>
      </c>
      <c r="CD727">
        <v>1459</v>
      </c>
      <c r="CE727" t="s">
        <v>73</v>
      </c>
      <c r="CF727" s="1">
        <v>43945</v>
      </c>
      <c r="CI727">
        <v>1</v>
      </c>
      <c r="CJ727">
        <v>1</v>
      </c>
      <c r="CK727">
        <v>22</v>
      </c>
      <c r="CL727" t="s">
        <v>74</v>
      </c>
    </row>
    <row r="728" spans="1:90" x14ac:dyDescent="0.25">
      <c r="A728" t="s">
        <v>61</v>
      </c>
      <c r="B728" t="s">
        <v>62</v>
      </c>
      <c r="C728" t="s">
        <v>63</v>
      </c>
      <c r="E728" t="str">
        <f>"FES1162745145"</f>
        <v>FES1162745145</v>
      </c>
      <c r="F728" s="1">
        <v>43943</v>
      </c>
      <c r="G728">
        <v>202010</v>
      </c>
      <c r="H728" t="s">
        <v>64</v>
      </c>
      <c r="I728" t="s">
        <v>65</v>
      </c>
      <c r="J728" t="s">
        <v>66</v>
      </c>
      <c r="K728" t="s">
        <v>67</v>
      </c>
      <c r="L728" t="s">
        <v>933</v>
      </c>
      <c r="M728" t="s">
        <v>934</v>
      </c>
      <c r="N728" t="s">
        <v>935</v>
      </c>
      <c r="O728" t="s">
        <v>69</v>
      </c>
      <c r="P728" t="str">
        <f>"2170735832                    "</f>
        <v xml:space="preserve">2170735832                    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4.1900000000000004</v>
      </c>
      <c r="AN728">
        <v>0</v>
      </c>
      <c r="AO728">
        <v>0</v>
      </c>
      <c r="AP728">
        <v>0</v>
      </c>
      <c r="AQ728">
        <v>0</v>
      </c>
      <c r="AR728">
        <v>0</v>
      </c>
      <c r="AS728">
        <v>0</v>
      </c>
      <c r="AT728">
        <v>0</v>
      </c>
      <c r="AU728">
        <v>0</v>
      </c>
      <c r="AV728">
        <v>0</v>
      </c>
      <c r="AW728">
        <v>0</v>
      </c>
      <c r="AX728">
        <v>0</v>
      </c>
      <c r="AY728">
        <v>0</v>
      </c>
      <c r="AZ728">
        <v>0</v>
      </c>
      <c r="BA728">
        <v>0</v>
      </c>
      <c r="BB728">
        <v>0</v>
      </c>
      <c r="BG728">
        <v>0</v>
      </c>
      <c r="BH728">
        <v>1</v>
      </c>
      <c r="BI728">
        <v>1</v>
      </c>
      <c r="BJ728">
        <v>0.2</v>
      </c>
      <c r="BK728">
        <v>1</v>
      </c>
      <c r="BL728">
        <v>46.06</v>
      </c>
      <c r="BM728">
        <v>6.91</v>
      </c>
      <c r="BN728">
        <v>52.97</v>
      </c>
      <c r="BO728">
        <v>52.97</v>
      </c>
      <c r="BQ728" t="s">
        <v>70</v>
      </c>
      <c r="BR728" t="s">
        <v>71</v>
      </c>
      <c r="BS728" s="1">
        <v>43945</v>
      </c>
      <c r="BT728" s="2">
        <v>0.41666666666666669</v>
      </c>
      <c r="BU728" t="s">
        <v>936</v>
      </c>
      <c r="BV728" t="s">
        <v>80</v>
      </c>
      <c r="BY728">
        <v>1200</v>
      </c>
      <c r="CA728" t="s">
        <v>937</v>
      </c>
      <c r="CC728" t="s">
        <v>934</v>
      </c>
      <c r="CD728">
        <v>3867</v>
      </c>
      <c r="CE728" t="s">
        <v>73</v>
      </c>
      <c r="CF728" s="1">
        <v>43949</v>
      </c>
      <c r="CI728">
        <v>4</v>
      </c>
      <c r="CJ728">
        <v>2</v>
      </c>
      <c r="CK728">
        <v>21</v>
      </c>
      <c r="CL728" t="s">
        <v>74</v>
      </c>
    </row>
    <row r="729" spans="1:90" x14ac:dyDescent="0.25">
      <c r="A729" t="s">
        <v>61</v>
      </c>
      <c r="B729" t="s">
        <v>62</v>
      </c>
      <c r="C729" t="s">
        <v>63</v>
      </c>
      <c r="E729" t="str">
        <f>"FES1162745161"</f>
        <v>FES1162745161</v>
      </c>
      <c r="F729" s="1">
        <v>43943</v>
      </c>
      <c r="G729">
        <v>202010</v>
      </c>
      <c r="H729" t="s">
        <v>64</v>
      </c>
      <c r="I729" t="s">
        <v>65</v>
      </c>
      <c r="J729" t="s">
        <v>66</v>
      </c>
      <c r="K729" t="s">
        <v>67</v>
      </c>
      <c r="L729" t="s">
        <v>194</v>
      </c>
      <c r="M729" t="s">
        <v>195</v>
      </c>
      <c r="N729" t="s">
        <v>196</v>
      </c>
      <c r="O729" t="s">
        <v>69</v>
      </c>
      <c r="P729" t="str">
        <f>"2170736400                    "</f>
        <v xml:space="preserve">2170736400                    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8.11</v>
      </c>
      <c r="AN729">
        <v>0</v>
      </c>
      <c r="AO729">
        <v>0</v>
      </c>
      <c r="AP729">
        <v>0</v>
      </c>
      <c r="AQ729">
        <v>0</v>
      </c>
      <c r="AR729">
        <v>0</v>
      </c>
      <c r="AS729">
        <v>0</v>
      </c>
      <c r="AT729">
        <v>0</v>
      </c>
      <c r="AU729">
        <v>0</v>
      </c>
      <c r="AV729">
        <v>0</v>
      </c>
      <c r="AW729">
        <v>0</v>
      </c>
      <c r="AX729">
        <v>0</v>
      </c>
      <c r="AY729">
        <v>0</v>
      </c>
      <c r="AZ729">
        <v>0</v>
      </c>
      <c r="BA729">
        <v>0</v>
      </c>
      <c r="BB729">
        <v>0</v>
      </c>
      <c r="BG729">
        <v>0</v>
      </c>
      <c r="BH729">
        <v>1</v>
      </c>
      <c r="BI729">
        <v>1</v>
      </c>
      <c r="BJ729">
        <v>0.2</v>
      </c>
      <c r="BK729">
        <v>1</v>
      </c>
      <c r="BL729">
        <v>89.23</v>
      </c>
      <c r="BM729">
        <v>13.38</v>
      </c>
      <c r="BN729">
        <v>102.61</v>
      </c>
      <c r="BO729">
        <v>102.61</v>
      </c>
      <c r="BQ729" t="s">
        <v>70</v>
      </c>
      <c r="BR729" t="s">
        <v>71</v>
      </c>
      <c r="BS729" s="1">
        <v>43944</v>
      </c>
      <c r="BT729" s="2">
        <v>0.39583333333333331</v>
      </c>
      <c r="BU729" t="s">
        <v>929</v>
      </c>
      <c r="BV729" t="s">
        <v>80</v>
      </c>
      <c r="BY729">
        <v>1200</v>
      </c>
      <c r="CC729" t="s">
        <v>195</v>
      </c>
      <c r="CD729">
        <v>9880</v>
      </c>
      <c r="CE729" t="s">
        <v>73</v>
      </c>
      <c r="CF729" s="1">
        <v>43950</v>
      </c>
      <c r="CI729">
        <v>1</v>
      </c>
      <c r="CJ729">
        <v>1</v>
      </c>
      <c r="CK729">
        <v>23</v>
      </c>
      <c r="CL729" t="s">
        <v>74</v>
      </c>
    </row>
    <row r="730" spans="1:90" x14ac:dyDescent="0.25">
      <c r="A730" t="s">
        <v>61</v>
      </c>
      <c r="B730" t="s">
        <v>62</v>
      </c>
      <c r="C730" t="s">
        <v>63</v>
      </c>
      <c r="E730" t="str">
        <f>"FES1162744981"</f>
        <v>FES1162744981</v>
      </c>
      <c r="F730" s="1">
        <v>43943</v>
      </c>
      <c r="G730">
        <v>202010</v>
      </c>
      <c r="H730" t="s">
        <v>64</v>
      </c>
      <c r="I730" t="s">
        <v>65</v>
      </c>
      <c r="J730" t="s">
        <v>66</v>
      </c>
      <c r="K730" t="s">
        <v>67</v>
      </c>
      <c r="L730" t="s">
        <v>120</v>
      </c>
      <c r="M730" t="s">
        <v>121</v>
      </c>
      <c r="N730" t="s">
        <v>671</v>
      </c>
      <c r="O730" t="s">
        <v>69</v>
      </c>
      <c r="P730" t="str">
        <f>"2170734317                    "</f>
        <v xml:space="preserve">2170734317                    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4.1900000000000004</v>
      </c>
      <c r="AN730">
        <v>0</v>
      </c>
      <c r="AO730">
        <v>0</v>
      </c>
      <c r="AP730">
        <v>0</v>
      </c>
      <c r="AQ730">
        <v>0</v>
      </c>
      <c r="AR730">
        <v>0</v>
      </c>
      <c r="AS730">
        <v>0</v>
      </c>
      <c r="AT730">
        <v>0</v>
      </c>
      <c r="AU730">
        <v>0</v>
      </c>
      <c r="AV730">
        <v>0</v>
      </c>
      <c r="AW730">
        <v>0</v>
      </c>
      <c r="AX730">
        <v>0</v>
      </c>
      <c r="AY730">
        <v>0</v>
      </c>
      <c r="AZ730">
        <v>0</v>
      </c>
      <c r="BA730">
        <v>0</v>
      </c>
      <c r="BB730">
        <v>0</v>
      </c>
      <c r="BG730">
        <v>0</v>
      </c>
      <c r="BH730">
        <v>1</v>
      </c>
      <c r="BI730">
        <v>1</v>
      </c>
      <c r="BJ730">
        <v>0.2</v>
      </c>
      <c r="BK730">
        <v>1</v>
      </c>
      <c r="BL730">
        <v>46.06</v>
      </c>
      <c r="BM730">
        <v>6.91</v>
      </c>
      <c r="BN730">
        <v>52.97</v>
      </c>
      <c r="BO730">
        <v>52.97</v>
      </c>
      <c r="BQ730" t="s">
        <v>676</v>
      </c>
      <c r="BR730" t="s">
        <v>71</v>
      </c>
      <c r="BS730" s="1">
        <v>43944</v>
      </c>
      <c r="BT730" s="2">
        <v>0.50624999999999998</v>
      </c>
      <c r="BU730" t="s">
        <v>938</v>
      </c>
      <c r="BV730" t="s">
        <v>74</v>
      </c>
      <c r="BW730" t="s">
        <v>85</v>
      </c>
      <c r="BX730" t="s">
        <v>735</v>
      </c>
      <c r="BY730">
        <v>1200</v>
      </c>
      <c r="CA730" t="s">
        <v>811</v>
      </c>
      <c r="CC730" t="s">
        <v>121</v>
      </c>
      <c r="CD730">
        <v>4052</v>
      </c>
      <c r="CE730" t="s">
        <v>73</v>
      </c>
      <c r="CF730" s="1">
        <v>43945</v>
      </c>
      <c r="CI730">
        <v>1</v>
      </c>
      <c r="CJ730">
        <v>1</v>
      </c>
      <c r="CK730">
        <v>21</v>
      </c>
      <c r="CL730" t="s">
        <v>74</v>
      </c>
    </row>
    <row r="731" spans="1:90" x14ac:dyDescent="0.25">
      <c r="A731" t="s">
        <v>61</v>
      </c>
      <c r="B731" t="s">
        <v>62</v>
      </c>
      <c r="C731" t="s">
        <v>63</v>
      </c>
      <c r="E731" t="str">
        <f>"FES1162745150"</f>
        <v>FES1162745150</v>
      </c>
      <c r="F731" s="1">
        <v>43943</v>
      </c>
      <c r="G731">
        <v>202010</v>
      </c>
      <c r="H731" t="s">
        <v>64</v>
      </c>
      <c r="I731" t="s">
        <v>65</v>
      </c>
      <c r="J731" t="s">
        <v>66</v>
      </c>
      <c r="K731" t="s">
        <v>67</v>
      </c>
      <c r="L731" t="s">
        <v>120</v>
      </c>
      <c r="M731" t="s">
        <v>121</v>
      </c>
      <c r="N731" t="s">
        <v>412</v>
      </c>
      <c r="O731" t="s">
        <v>69</v>
      </c>
      <c r="P731" t="str">
        <f>"2170735648                    "</f>
        <v xml:space="preserve">2170735648                    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4.1900000000000004</v>
      </c>
      <c r="AN731">
        <v>0</v>
      </c>
      <c r="AO731">
        <v>0</v>
      </c>
      <c r="AP731">
        <v>0</v>
      </c>
      <c r="AQ731">
        <v>0</v>
      </c>
      <c r="AR731">
        <v>0</v>
      </c>
      <c r="AS731">
        <v>0</v>
      </c>
      <c r="AT731">
        <v>0</v>
      </c>
      <c r="AU731">
        <v>0</v>
      </c>
      <c r="AV731">
        <v>0</v>
      </c>
      <c r="AW731">
        <v>0</v>
      </c>
      <c r="AX731">
        <v>0</v>
      </c>
      <c r="AY731">
        <v>0</v>
      </c>
      <c r="AZ731">
        <v>0</v>
      </c>
      <c r="BA731">
        <v>0</v>
      </c>
      <c r="BB731">
        <v>0</v>
      </c>
      <c r="BG731">
        <v>0</v>
      </c>
      <c r="BH731">
        <v>1</v>
      </c>
      <c r="BI731">
        <v>1</v>
      </c>
      <c r="BJ731">
        <v>0.2</v>
      </c>
      <c r="BK731">
        <v>1</v>
      </c>
      <c r="BL731">
        <v>46.06</v>
      </c>
      <c r="BM731">
        <v>6.91</v>
      </c>
      <c r="BN731">
        <v>52.97</v>
      </c>
      <c r="BO731">
        <v>52.97</v>
      </c>
      <c r="BQ731" t="s">
        <v>78</v>
      </c>
      <c r="BR731" t="s">
        <v>71</v>
      </c>
      <c r="BS731" s="1">
        <v>43944</v>
      </c>
      <c r="BT731" s="2">
        <v>0.59513888888888888</v>
      </c>
      <c r="BU731" t="s">
        <v>939</v>
      </c>
      <c r="BV731" t="s">
        <v>74</v>
      </c>
      <c r="BW731" t="s">
        <v>85</v>
      </c>
      <c r="BX731" t="s">
        <v>735</v>
      </c>
      <c r="BY731">
        <v>1200</v>
      </c>
      <c r="CA731" t="s">
        <v>811</v>
      </c>
      <c r="CC731" t="s">
        <v>121</v>
      </c>
      <c r="CD731">
        <v>4072</v>
      </c>
      <c r="CE731" t="s">
        <v>73</v>
      </c>
      <c r="CF731" s="1">
        <v>43945</v>
      </c>
      <c r="CI731">
        <v>1</v>
      </c>
      <c r="CJ731">
        <v>1</v>
      </c>
      <c r="CK731">
        <v>21</v>
      </c>
      <c r="CL731" t="s">
        <v>74</v>
      </c>
    </row>
    <row r="732" spans="1:90" x14ac:dyDescent="0.25">
      <c r="A732" t="s">
        <v>61</v>
      </c>
      <c r="B732" t="s">
        <v>62</v>
      </c>
      <c r="C732" t="s">
        <v>63</v>
      </c>
      <c r="E732" t="str">
        <f>"FES1162744949"</f>
        <v>FES1162744949</v>
      </c>
      <c r="F732" s="1">
        <v>43943</v>
      </c>
      <c r="G732">
        <v>202010</v>
      </c>
      <c r="H732" t="s">
        <v>64</v>
      </c>
      <c r="I732" t="s">
        <v>65</v>
      </c>
      <c r="J732" t="s">
        <v>66</v>
      </c>
      <c r="K732" t="s">
        <v>67</v>
      </c>
      <c r="L732" t="s">
        <v>133</v>
      </c>
      <c r="M732" t="s">
        <v>134</v>
      </c>
      <c r="N732" t="s">
        <v>940</v>
      </c>
      <c r="O732" t="s">
        <v>69</v>
      </c>
      <c r="P732" t="str">
        <f>"2170736195                    "</f>
        <v xml:space="preserve">2170736195                    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8.11</v>
      </c>
      <c r="AN732">
        <v>0</v>
      </c>
      <c r="AO732">
        <v>0</v>
      </c>
      <c r="AP732">
        <v>0</v>
      </c>
      <c r="AQ732">
        <v>0</v>
      </c>
      <c r="AR732">
        <v>0</v>
      </c>
      <c r="AS732">
        <v>0</v>
      </c>
      <c r="AT732">
        <v>0</v>
      </c>
      <c r="AU732">
        <v>0</v>
      </c>
      <c r="AV732">
        <v>0</v>
      </c>
      <c r="AW732">
        <v>0</v>
      </c>
      <c r="AX732">
        <v>0</v>
      </c>
      <c r="AY732">
        <v>0</v>
      </c>
      <c r="AZ732">
        <v>0</v>
      </c>
      <c r="BA732">
        <v>0</v>
      </c>
      <c r="BB732">
        <v>0</v>
      </c>
      <c r="BG732">
        <v>0</v>
      </c>
      <c r="BH732">
        <v>1</v>
      </c>
      <c r="BI732">
        <v>1.1000000000000001</v>
      </c>
      <c r="BJ732">
        <v>1</v>
      </c>
      <c r="BK732">
        <v>1.5</v>
      </c>
      <c r="BL732">
        <v>89.23</v>
      </c>
      <c r="BM732">
        <v>13.38</v>
      </c>
      <c r="BN732">
        <v>102.61</v>
      </c>
      <c r="BO732">
        <v>102.61</v>
      </c>
      <c r="BQ732" t="s">
        <v>78</v>
      </c>
      <c r="BR732" t="s">
        <v>71</v>
      </c>
      <c r="BS732" s="1">
        <v>43950</v>
      </c>
      <c r="BT732" s="2">
        <v>0.41666666666666669</v>
      </c>
      <c r="BU732" t="s">
        <v>941</v>
      </c>
      <c r="BV732" t="s">
        <v>74</v>
      </c>
      <c r="BW732" t="s">
        <v>942</v>
      </c>
      <c r="BX732" t="s">
        <v>943</v>
      </c>
      <c r="BY732">
        <v>4935.17</v>
      </c>
      <c r="CC732" t="s">
        <v>134</v>
      </c>
      <c r="CD732">
        <v>4449</v>
      </c>
      <c r="CE732" t="s">
        <v>91</v>
      </c>
      <c r="CI732">
        <v>1</v>
      </c>
      <c r="CJ732">
        <v>5</v>
      </c>
      <c r="CK732">
        <v>23</v>
      </c>
      <c r="CL732" t="s">
        <v>74</v>
      </c>
    </row>
    <row r="733" spans="1:90" x14ac:dyDescent="0.25">
      <c r="A733" t="s">
        <v>61</v>
      </c>
      <c r="B733" t="s">
        <v>62</v>
      </c>
      <c r="C733" t="s">
        <v>63</v>
      </c>
      <c r="E733" t="str">
        <f>"FES1162745055"</f>
        <v>FES1162745055</v>
      </c>
      <c r="F733" s="1">
        <v>43943</v>
      </c>
      <c r="G733">
        <v>202010</v>
      </c>
      <c r="H733" t="s">
        <v>64</v>
      </c>
      <c r="I733" t="s">
        <v>65</v>
      </c>
      <c r="J733" t="s">
        <v>66</v>
      </c>
      <c r="K733" t="s">
        <v>67</v>
      </c>
      <c r="L733" t="s">
        <v>120</v>
      </c>
      <c r="M733" t="s">
        <v>121</v>
      </c>
      <c r="N733" t="s">
        <v>572</v>
      </c>
      <c r="O733" t="s">
        <v>69</v>
      </c>
      <c r="P733" t="str">
        <f>"2170736263                    "</f>
        <v xml:space="preserve">2170736263                    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4.1900000000000004</v>
      </c>
      <c r="AN733">
        <v>0</v>
      </c>
      <c r="AO733">
        <v>0</v>
      </c>
      <c r="AP733">
        <v>0</v>
      </c>
      <c r="AQ733">
        <v>0</v>
      </c>
      <c r="AR733">
        <v>0</v>
      </c>
      <c r="AS733">
        <v>0</v>
      </c>
      <c r="AT733">
        <v>0</v>
      </c>
      <c r="AU733">
        <v>0</v>
      </c>
      <c r="AV733">
        <v>0</v>
      </c>
      <c r="AW733">
        <v>0</v>
      </c>
      <c r="AX733">
        <v>0</v>
      </c>
      <c r="AY733">
        <v>0</v>
      </c>
      <c r="AZ733">
        <v>0</v>
      </c>
      <c r="BA733">
        <v>0</v>
      </c>
      <c r="BB733">
        <v>0</v>
      </c>
      <c r="BG733">
        <v>0</v>
      </c>
      <c r="BH733">
        <v>1</v>
      </c>
      <c r="BI733">
        <v>1</v>
      </c>
      <c r="BJ733">
        <v>0.2</v>
      </c>
      <c r="BK733">
        <v>1</v>
      </c>
      <c r="BL733">
        <v>46.06</v>
      </c>
      <c r="BM733">
        <v>6.91</v>
      </c>
      <c r="BN733">
        <v>52.97</v>
      </c>
      <c r="BO733">
        <v>52.97</v>
      </c>
      <c r="BQ733" t="s">
        <v>78</v>
      </c>
      <c r="BR733" t="s">
        <v>71</v>
      </c>
      <c r="BS733" s="1">
        <v>43944</v>
      </c>
      <c r="BT733" s="2">
        <v>0.54027777777777775</v>
      </c>
      <c r="BU733" t="s">
        <v>436</v>
      </c>
      <c r="BV733" t="s">
        <v>74</v>
      </c>
      <c r="BW733" t="s">
        <v>85</v>
      </c>
      <c r="BX733" t="s">
        <v>735</v>
      </c>
      <c r="BY733">
        <v>1200</v>
      </c>
      <c r="CA733" t="s">
        <v>574</v>
      </c>
      <c r="CC733" t="s">
        <v>121</v>
      </c>
      <c r="CD733">
        <v>4051</v>
      </c>
      <c r="CE733" t="s">
        <v>73</v>
      </c>
      <c r="CF733" s="1">
        <v>43945</v>
      </c>
      <c r="CI733">
        <v>1</v>
      </c>
      <c r="CJ733">
        <v>1</v>
      </c>
      <c r="CK733">
        <v>21</v>
      </c>
      <c r="CL733" t="s">
        <v>74</v>
      </c>
    </row>
    <row r="734" spans="1:90" x14ac:dyDescent="0.25">
      <c r="A734" t="s">
        <v>61</v>
      </c>
      <c r="B734" t="s">
        <v>62</v>
      </c>
      <c r="C734" t="s">
        <v>63</v>
      </c>
      <c r="E734" t="str">
        <f>"FES1162745103"</f>
        <v>FES1162745103</v>
      </c>
      <c r="F734" s="1">
        <v>43943</v>
      </c>
      <c r="G734">
        <v>202010</v>
      </c>
      <c r="H734" t="s">
        <v>64</v>
      </c>
      <c r="I734" t="s">
        <v>65</v>
      </c>
      <c r="J734" t="s">
        <v>66</v>
      </c>
      <c r="K734" t="s">
        <v>67</v>
      </c>
      <c r="L734" t="s">
        <v>120</v>
      </c>
      <c r="M734" t="s">
        <v>121</v>
      </c>
      <c r="N734" t="s">
        <v>944</v>
      </c>
      <c r="O734" t="s">
        <v>69</v>
      </c>
      <c r="P734" t="str">
        <f>"2170736139                    "</f>
        <v xml:space="preserve">2170736139                    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0</v>
      </c>
      <c r="AM734">
        <v>4.1900000000000004</v>
      </c>
      <c r="AN734">
        <v>0</v>
      </c>
      <c r="AO734">
        <v>0</v>
      </c>
      <c r="AP734">
        <v>0</v>
      </c>
      <c r="AQ734">
        <v>0</v>
      </c>
      <c r="AR734">
        <v>0</v>
      </c>
      <c r="AS734">
        <v>0</v>
      </c>
      <c r="AT734">
        <v>0</v>
      </c>
      <c r="AU734">
        <v>0</v>
      </c>
      <c r="AV734">
        <v>0</v>
      </c>
      <c r="AW734">
        <v>0</v>
      </c>
      <c r="AX734">
        <v>0</v>
      </c>
      <c r="AY734">
        <v>0</v>
      </c>
      <c r="AZ734">
        <v>0</v>
      </c>
      <c r="BA734">
        <v>0</v>
      </c>
      <c r="BB734">
        <v>0</v>
      </c>
      <c r="BG734">
        <v>0</v>
      </c>
      <c r="BH734">
        <v>1</v>
      </c>
      <c r="BI734">
        <v>1</v>
      </c>
      <c r="BJ734">
        <v>0.2</v>
      </c>
      <c r="BK734">
        <v>1</v>
      </c>
      <c r="BL734">
        <v>46.06</v>
      </c>
      <c r="BM734">
        <v>6.91</v>
      </c>
      <c r="BN734">
        <v>52.97</v>
      </c>
      <c r="BO734">
        <v>52.97</v>
      </c>
      <c r="BQ734" t="s">
        <v>78</v>
      </c>
      <c r="BR734" t="s">
        <v>71</v>
      </c>
      <c r="BS734" s="1">
        <v>43944</v>
      </c>
      <c r="BT734" s="2">
        <v>0.59791666666666665</v>
      </c>
      <c r="BU734" t="s">
        <v>945</v>
      </c>
      <c r="BV734" t="s">
        <v>74</v>
      </c>
      <c r="BW734" t="s">
        <v>85</v>
      </c>
      <c r="BX734" t="s">
        <v>735</v>
      </c>
      <c r="BY734">
        <v>1200</v>
      </c>
      <c r="CA734" t="s">
        <v>811</v>
      </c>
      <c r="CC734" t="s">
        <v>121</v>
      </c>
      <c r="CD734">
        <v>4052</v>
      </c>
      <c r="CE734" t="s">
        <v>73</v>
      </c>
      <c r="CF734" s="1">
        <v>43945</v>
      </c>
      <c r="CI734">
        <v>1</v>
      </c>
      <c r="CJ734">
        <v>1</v>
      </c>
      <c r="CK734">
        <v>21</v>
      </c>
      <c r="CL734" t="s">
        <v>74</v>
      </c>
    </row>
    <row r="735" spans="1:90" x14ac:dyDescent="0.25">
      <c r="A735" t="s">
        <v>61</v>
      </c>
      <c r="B735" t="s">
        <v>62</v>
      </c>
      <c r="C735" t="s">
        <v>63</v>
      </c>
      <c r="E735" t="str">
        <f>"FES1162745051"</f>
        <v>FES1162745051</v>
      </c>
      <c r="F735" s="1">
        <v>43943</v>
      </c>
      <c r="G735">
        <v>202010</v>
      </c>
      <c r="H735" t="s">
        <v>64</v>
      </c>
      <c r="I735" t="s">
        <v>65</v>
      </c>
      <c r="J735" t="s">
        <v>66</v>
      </c>
      <c r="K735" t="s">
        <v>67</v>
      </c>
      <c r="L735" t="s">
        <v>120</v>
      </c>
      <c r="M735" t="s">
        <v>121</v>
      </c>
      <c r="N735" t="s">
        <v>946</v>
      </c>
      <c r="O735" t="s">
        <v>69</v>
      </c>
      <c r="P735" t="str">
        <f>"2170736257                    "</f>
        <v xml:space="preserve">2170736257                    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4.1900000000000004</v>
      </c>
      <c r="AN735">
        <v>0</v>
      </c>
      <c r="AO735">
        <v>0</v>
      </c>
      <c r="AP735">
        <v>0</v>
      </c>
      <c r="AQ735">
        <v>0</v>
      </c>
      <c r="AR735">
        <v>0</v>
      </c>
      <c r="AS735">
        <v>0</v>
      </c>
      <c r="AT735">
        <v>0</v>
      </c>
      <c r="AU735">
        <v>0</v>
      </c>
      <c r="AV735">
        <v>0</v>
      </c>
      <c r="AW735">
        <v>0</v>
      </c>
      <c r="AX735">
        <v>0</v>
      </c>
      <c r="AY735">
        <v>0</v>
      </c>
      <c r="AZ735">
        <v>0</v>
      </c>
      <c r="BA735">
        <v>0</v>
      </c>
      <c r="BB735">
        <v>0</v>
      </c>
      <c r="BG735">
        <v>0</v>
      </c>
      <c r="BH735">
        <v>1</v>
      </c>
      <c r="BI735">
        <v>1</v>
      </c>
      <c r="BJ735">
        <v>0.2</v>
      </c>
      <c r="BK735">
        <v>1</v>
      </c>
      <c r="BL735">
        <v>46.06</v>
      </c>
      <c r="BM735">
        <v>6.91</v>
      </c>
      <c r="BN735">
        <v>52.97</v>
      </c>
      <c r="BO735">
        <v>52.97</v>
      </c>
      <c r="BQ735" t="s">
        <v>947</v>
      </c>
      <c r="BR735" t="s">
        <v>71</v>
      </c>
      <c r="BS735" s="1">
        <v>43944</v>
      </c>
      <c r="BT735" s="2">
        <v>0.45833333333333331</v>
      </c>
      <c r="BU735" t="s">
        <v>948</v>
      </c>
      <c r="BV735" t="s">
        <v>74</v>
      </c>
      <c r="BW735" t="s">
        <v>85</v>
      </c>
      <c r="BX735" t="s">
        <v>735</v>
      </c>
      <c r="BY735">
        <v>1200</v>
      </c>
      <c r="CC735" t="s">
        <v>121</v>
      </c>
      <c r="CD735">
        <v>4052</v>
      </c>
      <c r="CE735" t="s">
        <v>73</v>
      </c>
      <c r="CF735" s="1">
        <v>43945</v>
      </c>
      <c r="CI735">
        <v>1</v>
      </c>
      <c r="CJ735">
        <v>1</v>
      </c>
      <c r="CK735">
        <v>21</v>
      </c>
      <c r="CL735" t="s">
        <v>74</v>
      </c>
    </row>
    <row r="736" spans="1:90" x14ac:dyDescent="0.25">
      <c r="A736" t="s">
        <v>61</v>
      </c>
      <c r="B736" t="s">
        <v>62</v>
      </c>
      <c r="C736" t="s">
        <v>63</v>
      </c>
      <c r="E736" t="str">
        <f>"FES1162745158"</f>
        <v>FES1162745158</v>
      </c>
      <c r="F736" s="1">
        <v>43943</v>
      </c>
      <c r="G736">
        <v>202010</v>
      </c>
      <c r="H736" t="s">
        <v>64</v>
      </c>
      <c r="I736" t="s">
        <v>65</v>
      </c>
      <c r="J736" t="s">
        <v>66</v>
      </c>
      <c r="K736" t="s">
        <v>67</v>
      </c>
      <c r="L736" t="s">
        <v>92</v>
      </c>
      <c r="M736" t="s">
        <v>93</v>
      </c>
      <c r="N736" t="s">
        <v>94</v>
      </c>
      <c r="O736" t="s">
        <v>69</v>
      </c>
      <c r="P736" t="str">
        <f>"2170736385                    "</f>
        <v xml:space="preserve">2170736385                    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4.1900000000000004</v>
      </c>
      <c r="AN736">
        <v>0</v>
      </c>
      <c r="AO736">
        <v>0</v>
      </c>
      <c r="AP736">
        <v>0</v>
      </c>
      <c r="AQ736">
        <v>0</v>
      </c>
      <c r="AR736">
        <v>0</v>
      </c>
      <c r="AS736">
        <v>0</v>
      </c>
      <c r="AT736">
        <v>0</v>
      </c>
      <c r="AU736">
        <v>0</v>
      </c>
      <c r="AV736">
        <v>0</v>
      </c>
      <c r="AW736">
        <v>0</v>
      </c>
      <c r="AX736">
        <v>0</v>
      </c>
      <c r="AY736">
        <v>0</v>
      </c>
      <c r="AZ736">
        <v>0</v>
      </c>
      <c r="BA736">
        <v>0</v>
      </c>
      <c r="BB736">
        <v>0</v>
      </c>
      <c r="BG736">
        <v>0</v>
      </c>
      <c r="BH736">
        <v>1</v>
      </c>
      <c r="BI736">
        <v>1</v>
      </c>
      <c r="BJ736">
        <v>0.2</v>
      </c>
      <c r="BK736">
        <v>1</v>
      </c>
      <c r="BL736">
        <v>46.06</v>
      </c>
      <c r="BM736">
        <v>6.91</v>
      </c>
      <c r="BN736">
        <v>52.97</v>
      </c>
      <c r="BO736">
        <v>52.97</v>
      </c>
      <c r="BQ736" t="s">
        <v>70</v>
      </c>
      <c r="BR736" t="s">
        <v>71</v>
      </c>
      <c r="BS736" s="1">
        <v>43944</v>
      </c>
      <c r="BT736" s="2">
        <v>0.48194444444444445</v>
      </c>
      <c r="BU736" t="s">
        <v>949</v>
      </c>
      <c r="BV736" t="s">
        <v>74</v>
      </c>
      <c r="BW736" t="s">
        <v>96</v>
      </c>
      <c r="BX736" t="s">
        <v>97</v>
      </c>
      <c r="BY736">
        <v>1200</v>
      </c>
      <c r="CA736" t="s">
        <v>164</v>
      </c>
      <c r="CC736" t="s">
        <v>93</v>
      </c>
      <c r="CD736">
        <v>7441</v>
      </c>
      <c r="CE736" t="s">
        <v>73</v>
      </c>
      <c r="CF736" s="1">
        <v>43945</v>
      </c>
      <c r="CI736">
        <v>1</v>
      </c>
      <c r="CJ736">
        <v>1</v>
      </c>
      <c r="CK736">
        <v>21</v>
      </c>
      <c r="CL736" t="s">
        <v>74</v>
      </c>
    </row>
    <row r="737" spans="1:90" x14ac:dyDescent="0.25">
      <c r="A737" t="s">
        <v>61</v>
      </c>
      <c r="B737" t="s">
        <v>62</v>
      </c>
      <c r="C737" t="s">
        <v>63</v>
      </c>
      <c r="E737" t="str">
        <f>"FES1162745113"</f>
        <v>FES1162745113</v>
      </c>
      <c r="F737" s="1">
        <v>43943</v>
      </c>
      <c r="G737">
        <v>202010</v>
      </c>
      <c r="H737" t="s">
        <v>64</v>
      </c>
      <c r="I737" t="s">
        <v>65</v>
      </c>
      <c r="J737" t="s">
        <v>66</v>
      </c>
      <c r="K737" t="s">
        <v>67</v>
      </c>
      <c r="L737" t="s">
        <v>151</v>
      </c>
      <c r="M737" t="s">
        <v>152</v>
      </c>
      <c r="N737" t="s">
        <v>348</v>
      </c>
      <c r="O737" t="s">
        <v>69</v>
      </c>
      <c r="P737" t="str">
        <f>"2170732311                    "</f>
        <v xml:space="preserve">2170732311                    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4.1900000000000004</v>
      </c>
      <c r="AN737">
        <v>0</v>
      </c>
      <c r="AO737">
        <v>0</v>
      </c>
      <c r="AP737">
        <v>0</v>
      </c>
      <c r="AQ737">
        <v>0</v>
      </c>
      <c r="AR737">
        <v>0</v>
      </c>
      <c r="AS737">
        <v>0</v>
      </c>
      <c r="AT737">
        <v>0</v>
      </c>
      <c r="AU737">
        <v>0</v>
      </c>
      <c r="AV737">
        <v>0</v>
      </c>
      <c r="AW737">
        <v>0</v>
      </c>
      <c r="AX737">
        <v>0</v>
      </c>
      <c r="AY737">
        <v>0</v>
      </c>
      <c r="AZ737">
        <v>0</v>
      </c>
      <c r="BA737">
        <v>0</v>
      </c>
      <c r="BB737">
        <v>0</v>
      </c>
      <c r="BG737">
        <v>0</v>
      </c>
      <c r="BH737">
        <v>1</v>
      </c>
      <c r="BI737">
        <v>1.2</v>
      </c>
      <c r="BJ737">
        <v>0.9</v>
      </c>
      <c r="BK737">
        <v>1.5</v>
      </c>
      <c r="BL737">
        <v>46.06</v>
      </c>
      <c r="BM737">
        <v>6.91</v>
      </c>
      <c r="BN737">
        <v>52.97</v>
      </c>
      <c r="BO737">
        <v>52.97</v>
      </c>
      <c r="BQ737" t="s">
        <v>78</v>
      </c>
      <c r="BR737" t="s">
        <v>71</v>
      </c>
      <c r="BS737" s="1">
        <v>43944</v>
      </c>
      <c r="BT737" s="2">
        <v>0.41666666666666669</v>
      </c>
      <c r="BU737" t="s">
        <v>950</v>
      </c>
      <c r="BV737" t="s">
        <v>80</v>
      </c>
      <c r="BY737">
        <v>4648.05</v>
      </c>
      <c r="CC737" t="s">
        <v>152</v>
      </c>
      <c r="CD737">
        <v>3201</v>
      </c>
      <c r="CE737" t="s">
        <v>91</v>
      </c>
      <c r="CF737" s="1">
        <v>43945</v>
      </c>
      <c r="CI737">
        <v>1</v>
      </c>
      <c r="CJ737">
        <v>1</v>
      </c>
      <c r="CK737">
        <v>21</v>
      </c>
      <c r="CL737" t="s">
        <v>74</v>
      </c>
    </row>
    <row r="738" spans="1:90" x14ac:dyDescent="0.25">
      <c r="A738" t="s">
        <v>61</v>
      </c>
      <c r="B738" t="s">
        <v>62</v>
      </c>
      <c r="C738" t="s">
        <v>63</v>
      </c>
      <c r="E738" t="str">
        <f>"FES1162745176"</f>
        <v>FES1162745176</v>
      </c>
      <c r="F738" s="1">
        <v>43943</v>
      </c>
      <c r="G738">
        <v>202010</v>
      </c>
      <c r="H738" t="s">
        <v>64</v>
      </c>
      <c r="I738" t="s">
        <v>65</v>
      </c>
      <c r="J738" t="s">
        <v>66</v>
      </c>
      <c r="K738" t="s">
        <v>67</v>
      </c>
      <c r="L738" t="s">
        <v>151</v>
      </c>
      <c r="M738" t="s">
        <v>152</v>
      </c>
      <c r="N738" t="s">
        <v>348</v>
      </c>
      <c r="O738" t="s">
        <v>69</v>
      </c>
      <c r="P738" t="str">
        <f>"2170736047                    "</f>
        <v xml:space="preserve">2170736047                    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4.1900000000000004</v>
      </c>
      <c r="AN738">
        <v>0</v>
      </c>
      <c r="AO738">
        <v>0</v>
      </c>
      <c r="AP738">
        <v>0</v>
      </c>
      <c r="AQ738">
        <v>0</v>
      </c>
      <c r="AR738">
        <v>0</v>
      </c>
      <c r="AS738">
        <v>0</v>
      </c>
      <c r="AT738">
        <v>0</v>
      </c>
      <c r="AU738">
        <v>0</v>
      </c>
      <c r="AV738">
        <v>0</v>
      </c>
      <c r="AW738">
        <v>0</v>
      </c>
      <c r="AX738">
        <v>0</v>
      </c>
      <c r="AY738">
        <v>0</v>
      </c>
      <c r="AZ738">
        <v>0</v>
      </c>
      <c r="BA738">
        <v>0</v>
      </c>
      <c r="BB738">
        <v>0</v>
      </c>
      <c r="BG738">
        <v>0</v>
      </c>
      <c r="BH738">
        <v>1</v>
      </c>
      <c r="BI738">
        <v>0.2</v>
      </c>
      <c r="BJ738">
        <v>0.9</v>
      </c>
      <c r="BK738">
        <v>1</v>
      </c>
      <c r="BL738">
        <v>46.06</v>
      </c>
      <c r="BM738">
        <v>6.91</v>
      </c>
      <c r="BN738">
        <v>52.97</v>
      </c>
      <c r="BO738">
        <v>52.97</v>
      </c>
      <c r="BQ738" t="s">
        <v>78</v>
      </c>
      <c r="BR738" t="s">
        <v>71</v>
      </c>
      <c r="BS738" s="1">
        <v>43944</v>
      </c>
      <c r="BT738" s="2">
        <v>0.41666666666666669</v>
      </c>
      <c r="BU738" t="s">
        <v>950</v>
      </c>
      <c r="BV738" t="s">
        <v>80</v>
      </c>
      <c r="BY738">
        <v>4348.6099999999997</v>
      </c>
      <c r="CC738" t="s">
        <v>152</v>
      </c>
      <c r="CD738">
        <v>3201</v>
      </c>
      <c r="CE738" t="s">
        <v>91</v>
      </c>
      <c r="CF738" s="1">
        <v>43945</v>
      </c>
      <c r="CI738">
        <v>1</v>
      </c>
      <c r="CJ738">
        <v>1</v>
      </c>
      <c r="CK738">
        <v>21</v>
      </c>
      <c r="CL738" t="s">
        <v>74</v>
      </c>
    </row>
    <row r="739" spans="1:90" x14ac:dyDescent="0.25">
      <c r="A739" t="s">
        <v>61</v>
      </c>
      <c r="B739" t="s">
        <v>62</v>
      </c>
      <c r="C739" t="s">
        <v>63</v>
      </c>
      <c r="E739" t="str">
        <f>"FES1162745179"</f>
        <v>FES1162745179</v>
      </c>
      <c r="F739" s="1">
        <v>43943</v>
      </c>
      <c r="G739">
        <v>202010</v>
      </c>
      <c r="H739" t="s">
        <v>64</v>
      </c>
      <c r="I739" t="s">
        <v>65</v>
      </c>
      <c r="J739" t="s">
        <v>66</v>
      </c>
      <c r="K739" t="s">
        <v>67</v>
      </c>
      <c r="L739" t="s">
        <v>861</v>
      </c>
      <c r="M739" t="s">
        <v>862</v>
      </c>
      <c r="N739" t="s">
        <v>865</v>
      </c>
      <c r="O739" t="s">
        <v>69</v>
      </c>
      <c r="P739" t="str">
        <f>"2170733903                    "</f>
        <v xml:space="preserve">2170733903                    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8.3699999999999992</v>
      </c>
      <c r="AN739">
        <v>0</v>
      </c>
      <c r="AO739">
        <v>0</v>
      </c>
      <c r="AP739">
        <v>0</v>
      </c>
      <c r="AQ739">
        <v>0</v>
      </c>
      <c r="AR739">
        <v>0</v>
      </c>
      <c r="AS739">
        <v>0</v>
      </c>
      <c r="AT739">
        <v>0</v>
      </c>
      <c r="AU739">
        <v>0</v>
      </c>
      <c r="AV739">
        <v>0</v>
      </c>
      <c r="AW739">
        <v>0</v>
      </c>
      <c r="AX739">
        <v>0</v>
      </c>
      <c r="AY739">
        <v>0</v>
      </c>
      <c r="AZ739">
        <v>0</v>
      </c>
      <c r="BA739">
        <v>0</v>
      </c>
      <c r="BB739">
        <v>0</v>
      </c>
      <c r="BG739">
        <v>0</v>
      </c>
      <c r="BH739">
        <v>1</v>
      </c>
      <c r="BI739">
        <v>3.4</v>
      </c>
      <c r="BJ739">
        <v>3.9</v>
      </c>
      <c r="BK739">
        <v>4</v>
      </c>
      <c r="BL739">
        <v>92.08</v>
      </c>
      <c r="BM739">
        <v>13.81</v>
      </c>
      <c r="BN739">
        <v>105.89</v>
      </c>
      <c r="BO739">
        <v>105.89</v>
      </c>
      <c r="BQ739" t="s">
        <v>78</v>
      </c>
      <c r="BR739" t="s">
        <v>71</v>
      </c>
      <c r="BS739" s="1">
        <v>43944</v>
      </c>
      <c r="BT739" s="2">
        <v>0.66805555555555562</v>
      </c>
      <c r="BU739" t="s">
        <v>951</v>
      </c>
      <c r="BV739" t="s">
        <v>74</v>
      </c>
      <c r="BW739" t="s">
        <v>265</v>
      </c>
      <c r="BX739" t="s">
        <v>97</v>
      </c>
      <c r="BY739">
        <v>19643.86</v>
      </c>
      <c r="CA739" t="s">
        <v>245</v>
      </c>
      <c r="CC739" t="s">
        <v>862</v>
      </c>
      <c r="CD739">
        <v>7599</v>
      </c>
      <c r="CE739" t="s">
        <v>91</v>
      </c>
      <c r="CF739" s="1">
        <v>43945</v>
      </c>
      <c r="CI739">
        <v>1</v>
      </c>
      <c r="CJ739">
        <v>1</v>
      </c>
      <c r="CK739">
        <v>21</v>
      </c>
      <c r="CL739" t="s">
        <v>74</v>
      </c>
    </row>
    <row r="740" spans="1:90" x14ac:dyDescent="0.25">
      <c r="A740" t="s">
        <v>61</v>
      </c>
      <c r="B740" t="s">
        <v>62</v>
      </c>
      <c r="C740" t="s">
        <v>63</v>
      </c>
      <c r="E740" t="str">
        <f>"FES1162744936"</f>
        <v>FES1162744936</v>
      </c>
      <c r="F740" s="1">
        <v>43943</v>
      </c>
      <c r="G740">
        <v>202010</v>
      </c>
      <c r="H740" t="s">
        <v>64</v>
      </c>
      <c r="I740" t="s">
        <v>65</v>
      </c>
      <c r="J740" t="s">
        <v>66</v>
      </c>
      <c r="K740" t="s">
        <v>67</v>
      </c>
      <c r="L740" t="s">
        <v>298</v>
      </c>
      <c r="M740" t="s">
        <v>299</v>
      </c>
      <c r="N740" t="s">
        <v>300</v>
      </c>
      <c r="O740" t="s">
        <v>69</v>
      </c>
      <c r="P740" t="str">
        <f>"2170736089                    "</f>
        <v xml:space="preserve">2170736089                    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30.1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0</v>
      </c>
      <c r="AU740">
        <v>0</v>
      </c>
      <c r="AV740">
        <v>0</v>
      </c>
      <c r="AW740">
        <v>0</v>
      </c>
      <c r="AX740">
        <v>0</v>
      </c>
      <c r="AY740">
        <v>0</v>
      </c>
      <c r="AZ740">
        <v>0</v>
      </c>
      <c r="BA740">
        <v>0</v>
      </c>
      <c r="BB740">
        <v>0</v>
      </c>
      <c r="BG740">
        <v>0</v>
      </c>
      <c r="BH740">
        <v>1</v>
      </c>
      <c r="BI740">
        <v>8</v>
      </c>
      <c r="BJ740">
        <v>4.5999999999999996</v>
      </c>
      <c r="BK740">
        <v>8</v>
      </c>
      <c r="BL740">
        <v>331.06</v>
      </c>
      <c r="BM740">
        <v>49.66</v>
      </c>
      <c r="BN740">
        <v>380.72</v>
      </c>
      <c r="BO740">
        <v>380.72</v>
      </c>
      <c r="BQ740" t="s">
        <v>70</v>
      </c>
      <c r="BR740" t="s">
        <v>71</v>
      </c>
      <c r="BS740" s="1">
        <v>43944</v>
      </c>
      <c r="BT740" s="2">
        <v>0.54027777777777775</v>
      </c>
      <c r="BU740" t="s">
        <v>436</v>
      </c>
      <c r="BV740" t="s">
        <v>80</v>
      </c>
      <c r="BY740">
        <v>23026.74</v>
      </c>
      <c r="CA740" t="s">
        <v>574</v>
      </c>
      <c r="CC740" t="s">
        <v>299</v>
      </c>
      <c r="CD740">
        <v>4380</v>
      </c>
      <c r="CE740" t="s">
        <v>91</v>
      </c>
      <c r="CF740" s="1">
        <v>43945</v>
      </c>
      <c r="CI740">
        <v>1</v>
      </c>
      <c r="CJ740">
        <v>1</v>
      </c>
      <c r="CK740">
        <v>23</v>
      </c>
      <c r="CL740" t="s">
        <v>74</v>
      </c>
    </row>
    <row r="741" spans="1:90" x14ac:dyDescent="0.25">
      <c r="A741" t="s">
        <v>61</v>
      </c>
      <c r="B741" t="s">
        <v>62</v>
      </c>
      <c r="C741" t="s">
        <v>63</v>
      </c>
      <c r="E741" t="str">
        <f>"FES1162744970"</f>
        <v>FES1162744970</v>
      </c>
      <c r="F741" s="1">
        <v>43943</v>
      </c>
      <c r="G741">
        <v>202010</v>
      </c>
      <c r="H741" t="s">
        <v>64</v>
      </c>
      <c r="I741" t="s">
        <v>65</v>
      </c>
      <c r="J741" t="s">
        <v>66</v>
      </c>
      <c r="K741" t="s">
        <v>67</v>
      </c>
      <c r="L741" t="s">
        <v>120</v>
      </c>
      <c r="M741" t="s">
        <v>121</v>
      </c>
      <c r="N741" t="s">
        <v>572</v>
      </c>
      <c r="O741" t="s">
        <v>69</v>
      </c>
      <c r="P741" t="str">
        <f>"2170735676                    "</f>
        <v xml:space="preserve">2170735676                    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4.1900000000000004</v>
      </c>
      <c r="AN741">
        <v>0</v>
      </c>
      <c r="AO741">
        <v>0</v>
      </c>
      <c r="AP741">
        <v>0</v>
      </c>
      <c r="AQ741">
        <v>0</v>
      </c>
      <c r="AR741">
        <v>0</v>
      </c>
      <c r="AS741">
        <v>0</v>
      </c>
      <c r="AT741">
        <v>0</v>
      </c>
      <c r="AU741">
        <v>0</v>
      </c>
      <c r="AV741">
        <v>0</v>
      </c>
      <c r="AW741">
        <v>0</v>
      </c>
      <c r="AX741">
        <v>0</v>
      </c>
      <c r="AY741">
        <v>0</v>
      </c>
      <c r="AZ741">
        <v>0</v>
      </c>
      <c r="BA741">
        <v>0</v>
      </c>
      <c r="BB741">
        <v>0</v>
      </c>
      <c r="BG741">
        <v>0</v>
      </c>
      <c r="BH741">
        <v>1</v>
      </c>
      <c r="BI741">
        <v>0.2</v>
      </c>
      <c r="BJ741">
        <v>1.7</v>
      </c>
      <c r="BK741">
        <v>2</v>
      </c>
      <c r="BL741">
        <v>46.06</v>
      </c>
      <c r="BM741">
        <v>6.91</v>
      </c>
      <c r="BN741">
        <v>52.97</v>
      </c>
      <c r="BO741">
        <v>52.97</v>
      </c>
      <c r="BQ741" t="s">
        <v>78</v>
      </c>
      <c r="BR741" t="s">
        <v>71</v>
      </c>
      <c r="BS741" s="1">
        <v>43949</v>
      </c>
      <c r="BT741" s="2">
        <v>0.5083333333333333</v>
      </c>
      <c r="BU741" t="s">
        <v>573</v>
      </c>
      <c r="BV741" t="s">
        <v>74</v>
      </c>
      <c r="BW741" t="s">
        <v>85</v>
      </c>
      <c r="BX741" t="s">
        <v>128</v>
      </c>
      <c r="BY741">
        <v>8285.17</v>
      </c>
      <c r="CA741" t="s">
        <v>574</v>
      </c>
      <c r="CC741" t="s">
        <v>121</v>
      </c>
      <c r="CD741">
        <v>4051</v>
      </c>
      <c r="CE741" t="s">
        <v>73</v>
      </c>
      <c r="CF741" s="1">
        <v>43950</v>
      </c>
      <c r="CI741">
        <v>1</v>
      </c>
      <c r="CJ741">
        <v>4</v>
      </c>
      <c r="CK741">
        <v>21</v>
      </c>
      <c r="CL741" t="s">
        <v>74</v>
      </c>
    </row>
    <row r="742" spans="1:90" x14ac:dyDescent="0.25">
      <c r="A742" t="s">
        <v>61</v>
      </c>
      <c r="B742" t="s">
        <v>62</v>
      </c>
      <c r="C742" t="s">
        <v>63</v>
      </c>
      <c r="E742" t="str">
        <f>"FES1162745174"</f>
        <v>FES1162745174</v>
      </c>
      <c r="F742" s="1">
        <v>43943</v>
      </c>
      <c r="G742">
        <v>202010</v>
      </c>
      <c r="H742" t="s">
        <v>64</v>
      </c>
      <c r="I742" t="s">
        <v>65</v>
      </c>
      <c r="J742" t="s">
        <v>66</v>
      </c>
      <c r="K742" t="s">
        <v>67</v>
      </c>
      <c r="L742" t="s">
        <v>151</v>
      </c>
      <c r="M742" t="s">
        <v>152</v>
      </c>
      <c r="N742" t="s">
        <v>348</v>
      </c>
      <c r="O742" t="s">
        <v>69</v>
      </c>
      <c r="P742" t="str">
        <f>"2170734831                    "</f>
        <v xml:space="preserve">2170734831                    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0</v>
      </c>
      <c r="AM742">
        <v>9.42</v>
      </c>
      <c r="AN742">
        <v>0</v>
      </c>
      <c r="AO742">
        <v>0</v>
      </c>
      <c r="AP742">
        <v>0</v>
      </c>
      <c r="AQ742">
        <v>0</v>
      </c>
      <c r="AR742">
        <v>0</v>
      </c>
      <c r="AS742">
        <v>0</v>
      </c>
      <c r="AT742">
        <v>0</v>
      </c>
      <c r="AU742">
        <v>0</v>
      </c>
      <c r="AV742">
        <v>0</v>
      </c>
      <c r="AW742">
        <v>0</v>
      </c>
      <c r="AX742">
        <v>0</v>
      </c>
      <c r="AY742">
        <v>0</v>
      </c>
      <c r="AZ742">
        <v>0</v>
      </c>
      <c r="BA742">
        <v>0</v>
      </c>
      <c r="BB742">
        <v>0</v>
      </c>
      <c r="BG742">
        <v>0</v>
      </c>
      <c r="BH742">
        <v>1</v>
      </c>
      <c r="BI742">
        <v>4.0999999999999996</v>
      </c>
      <c r="BJ742">
        <v>1.1000000000000001</v>
      </c>
      <c r="BK742">
        <v>4.5</v>
      </c>
      <c r="BL742">
        <v>103.59</v>
      </c>
      <c r="BM742">
        <v>15.54</v>
      </c>
      <c r="BN742">
        <v>119.13</v>
      </c>
      <c r="BO742">
        <v>119.13</v>
      </c>
      <c r="BQ742" t="s">
        <v>78</v>
      </c>
      <c r="BR742" t="s">
        <v>71</v>
      </c>
      <c r="BS742" s="1">
        <v>43944</v>
      </c>
      <c r="BT742" s="2">
        <v>0.41666666666666669</v>
      </c>
      <c r="BU742" t="s">
        <v>952</v>
      </c>
      <c r="BV742" t="s">
        <v>80</v>
      </c>
      <c r="BY742">
        <v>5539.6</v>
      </c>
      <c r="CC742" t="s">
        <v>152</v>
      </c>
      <c r="CD742">
        <v>3201</v>
      </c>
      <c r="CE742" t="s">
        <v>91</v>
      </c>
      <c r="CF742" s="1">
        <v>43945</v>
      </c>
      <c r="CI742">
        <v>1</v>
      </c>
      <c r="CJ742">
        <v>1</v>
      </c>
      <c r="CK742">
        <v>21</v>
      </c>
      <c r="CL742" t="s">
        <v>74</v>
      </c>
    </row>
    <row r="743" spans="1:90" x14ac:dyDescent="0.25">
      <c r="A743" t="s">
        <v>61</v>
      </c>
      <c r="B743" t="s">
        <v>62</v>
      </c>
      <c r="C743" t="s">
        <v>63</v>
      </c>
      <c r="E743" t="str">
        <f>"FES1162745192"</f>
        <v>FES1162745192</v>
      </c>
      <c r="F743" s="1">
        <v>43943</v>
      </c>
      <c r="G743">
        <v>202010</v>
      </c>
      <c r="H743" t="s">
        <v>64</v>
      </c>
      <c r="I743" t="s">
        <v>65</v>
      </c>
      <c r="J743" t="s">
        <v>66</v>
      </c>
      <c r="K743" t="s">
        <v>67</v>
      </c>
      <c r="L743" t="s">
        <v>158</v>
      </c>
      <c r="M743" t="s">
        <v>159</v>
      </c>
      <c r="N743" t="s">
        <v>913</v>
      </c>
      <c r="O743" t="s">
        <v>69</v>
      </c>
      <c r="P743" t="str">
        <f>"2170736311                    "</f>
        <v xml:space="preserve">2170736311                    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0</v>
      </c>
      <c r="AM743">
        <v>4.1900000000000004</v>
      </c>
      <c r="AN743">
        <v>0</v>
      </c>
      <c r="AO743">
        <v>0</v>
      </c>
      <c r="AP743">
        <v>0</v>
      </c>
      <c r="AQ743">
        <v>0</v>
      </c>
      <c r="AR743">
        <v>0</v>
      </c>
      <c r="AS743">
        <v>0</v>
      </c>
      <c r="AT743">
        <v>0</v>
      </c>
      <c r="AU743">
        <v>0</v>
      </c>
      <c r="AV743">
        <v>0</v>
      </c>
      <c r="AW743">
        <v>0</v>
      </c>
      <c r="AX743">
        <v>0</v>
      </c>
      <c r="AY743">
        <v>0</v>
      </c>
      <c r="AZ743">
        <v>0</v>
      </c>
      <c r="BA743">
        <v>0</v>
      </c>
      <c r="BB743">
        <v>0</v>
      </c>
      <c r="BG743">
        <v>0</v>
      </c>
      <c r="BH743">
        <v>1</v>
      </c>
      <c r="BI743">
        <v>1</v>
      </c>
      <c r="BJ743">
        <v>0.2</v>
      </c>
      <c r="BK743">
        <v>1</v>
      </c>
      <c r="BL743">
        <v>46.06</v>
      </c>
      <c r="BM743">
        <v>6.91</v>
      </c>
      <c r="BN743">
        <v>52.97</v>
      </c>
      <c r="BO743">
        <v>52.97</v>
      </c>
      <c r="BQ743" t="s">
        <v>70</v>
      </c>
      <c r="BR743" t="s">
        <v>71</v>
      </c>
      <c r="BS743" s="1">
        <v>43944</v>
      </c>
      <c r="BT743" s="2">
        <v>0.5</v>
      </c>
      <c r="BU743" t="s">
        <v>953</v>
      </c>
      <c r="BV743" t="s">
        <v>80</v>
      </c>
      <c r="BY743">
        <v>1200</v>
      </c>
      <c r="CC743" t="s">
        <v>159</v>
      </c>
      <c r="CD743">
        <v>3280</v>
      </c>
      <c r="CE743" t="s">
        <v>73</v>
      </c>
      <c r="CF743" s="1">
        <v>43945</v>
      </c>
      <c r="CI743">
        <v>1</v>
      </c>
      <c r="CJ743">
        <v>1</v>
      </c>
      <c r="CK743">
        <v>21</v>
      </c>
      <c r="CL743" t="s">
        <v>74</v>
      </c>
    </row>
    <row r="744" spans="1:90" x14ac:dyDescent="0.25">
      <c r="A744" t="s">
        <v>61</v>
      </c>
      <c r="B744" t="s">
        <v>62</v>
      </c>
      <c r="C744" t="s">
        <v>63</v>
      </c>
      <c r="E744" t="str">
        <f>"FES1162745148"</f>
        <v>FES1162745148</v>
      </c>
      <c r="F744" s="1">
        <v>43943</v>
      </c>
      <c r="G744">
        <v>202010</v>
      </c>
      <c r="H744" t="s">
        <v>64</v>
      </c>
      <c r="I744" t="s">
        <v>65</v>
      </c>
      <c r="J744" t="s">
        <v>66</v>
      </c>
      <c r="K744" t="s">
        <v>67</v>
      </c>
      <c r="L744" t="s">
        <v>75</v>
      </c>
      <c r="M744" t="s">
        <v>76</v>
      </c>
      <c r="N744" t="s">
        <v>155</v>
      </c>
      <c r="O744" t="s">
        <v>69</v>
      </c>
      <c r="P744" t="str">
        <f>"2170735188                    "</f>
        <v xml:space="preserve">2170735188                    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4.45</v>
      </c>
      <c r="AN744">
        <v>0</v>
      </c>
      <c r="AO744">
        <v>0</v>
      </c>
      <c r="AP744">
        <v>0</v>
      </c>
      <c r="AQ744">
        <v>0</v>
      </c>
      <c r="AR744">
        <v>0</v>
      </c>
      <c r="AS744">
        <v>0</v>
      </c>
      <c r="AT744">
        <v>0</v>
      </c>
      <c r="AU744">
        <v>0</v>
      </c>
      <c r="AV744">
        <v>0</v>
      </c>
      <c r="AW744">
        <v>0</v>
      </c>
      <c r="AX744">
        <v>0</v>
      </c>
      <c r="AY744">
        <v>0</v>
      </c>
      <c r="AZ744">
        <v>0</v>
      </c>
      <c r="BA744">
        <v>0</v>
      </c>
      <c r="BB744">
        <v>0</v>
      </c>
      <c r="BG744">
        <v>0</v>
      </c>
      <c r="BH744">
        <v>1</v>
      </c>
      <c r="BI744">
        <v>2</v>
      </c>
      <c r="BJ744">
        <v>3.2</v>
      </c>
      <c r="BK744">
        <v>3.5</v>
      </c>
      <c r="BL744">
        <v>48.92</v>
      </c>
      <c r="BM744">
        <v>7.34</v>
      </c>
      <c r="BN744">
        <v>56.26</v>
      </c>
      <c r="BO744">
        <v>56.26</v>
      </c>
      <c r="BQ744" t="s">
        <v>70</v>
      </c>
      <c r="BR744" t="s">
        <v>71</v>
      </c>
      <c r="BS744" s="1">
        <v>43944</v>
      </c>
      <c r="BT744" s="2">
        <v>0.3576388888888889</v>
      </c>
      <c r="BU744" t="s">
        <v>845</v>
      </c>
      <c r="BV744" t="s">
        <v>80</v>
      </c>
      <c r="BY744">
        <v>15841.66</v>
      </c>
      <c r="CA744" t="s">
        <v>157</v>
      </c>
      <c r="CC744" t="s">
        <v>76</v>
      </c>
      <c r="CD744">
        <v>1459</v>
      </c>
      <c r="CE744" t="s">
        <v>91</v>
      </c>
      <c r="CF744" s="1">
        <v>43945</v>
      </c>
      <c r="CI744">
        <v>1</v>
      </c>
      <c r="CJ744">
        <v>1</v>
      </c>
      <c r="CK744">
        <v>22</v>
      </c>
      <c r="CL744" t="s">
        <v>74</v>
      </c>
    </row>
    <row r="745" spans="1:90" x14ac:dyDescent="0.25">
      <c r="A745" t="s">
        <v>61</v>
      </c>
      <c r="B745" t="s">
        <v>62</v>
      </c>
      <c r="C745" t="s">
        <v>63</v>
      </c>
      <c r="E745" t="str">
        <f>"FES1162745190"</f>
        <v>FES1162745190</v>
      </c>
      <c r="F745" s="1">
        <v>43943</v>
      </c>
      <c r="G745">
        <v>202010</v>
      </c>
      <c r="H745" t="s">
        <v>64</v>
      </c>
      <c r="I745" t="s">
        <v>65</v>
      </c>
      <c r="J745" t="s">
        <v>66</v>
      </c>
      <c r="K745" t="s">
        <v>67</v>
      </c>
      <c r="L745" t="s">
        <v>92</v>
      </c>
      <c r="M745" t="s">
        <v>93</v>
      </c>
      <c r="N745" t="s">
        <v>94</v>
      </c>
      <c r="O745" t="s">
        <v>69</v>
      </c>
      <c r="P745" t="str">
        <f>"2170735803                    "</f>
        <v xml:space="preserve">2170735803                    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11.51</v>
      </c>
      <c r="AN745">
        <v>0</v>
      </c>
      <c r="AO745">
        <v>0</v>
      </c>
      <c r="AP745">
        <v>0</v>
      </c>
      <c r="AQ745">
        <v>0</v>
      </c>
      <c r="AR745">
        <v>0</v>
      </c>
      <c r="AS745">
        <v>0</v>
      </c>
      <c r="AT745">
        <v>0</v>
      </c>
      <c r="AU745">
        <v>0</v>
      </c>
      <c r="AV745">
        <v>0</v>
      </c>
      <c r="AW745">
        <v>0</v>
      </c>
      <c r="AX745">
        <v>0</v>
      </c>
      <c r="AY745">
        <v>0</v>
      </c>
      <c r="AZ745">
        <v>0</v>
      </c>
      <c r="BA745">
        <v>0</v>
      </c>
      <c r="BB745">
        <v>0</v>
      </c>
      <c r="BG745">
        <v>0</v>
      </c>
      <c r="BH745">
        <v>1</v>
      </c>
      <c r="BI745">
        <v>5.4</v>
      </c>
      <c r="BJ745">
        <v>1.6</v>
      </c>
      <c r="BK745">
        <v>5.5</v>
      </c>
      <c r="BL745">
        <v>126.6</v>
      </c>
      <c r="BM745">
        <v>18.989999999999998</v>
      </c>
      <c r="BN745">
        <v>145.59</v>
      </c>
      <c r="BO745">
        <v>145.59</v>
      </c>
      <c r="BQ745" t="s">
        <v>70</v>
      </c>
      <c r="BR745" t="s">
        <v>71</v>
      </c>
      <c r="BS745" s="1">
        <v>43944</v>
      </c>
      <c r="BT745" s="2">
        <v>0.48194444444444445</v>
      </c>
      <c r="BU745" t="s">
        <v>954</v>
      </c>
      <c r="BV745" t="s">
        <v>74</v>
      </c>
      <c r="BW745" t="s">
        <v>96</v>
      </c>
      <c r="BX745" t="s">
        <v>97</v>
      </c>
      <c r="BY745">
        <v>8156.7</v>
      </c>
      <c r="CA745" t="s">
        <v>164</v>
      </c>
      <c r="CC745" t="s">
        <v>93</v>
      </c>
      <c r="CD745">
        <v>7441</v>
      </c>
      <c r="CE745" t="s">
        <v>91</v>
      </c>
      <c r="CF745" s="1">
        <v>43945</v>
      </c>
      <c r="CI745">
        <v>1</v>
      </c>
      <c r="CJ745">
        <v>1</v>
      </c>
      <c r="CK745">
        <v>21</v>
      </c>
      <c r="CL745" t="s">
        <v>74</v>
      </c>
    </row>
    <row r="746" spans="1:90" x14ac:dyDescent="0.25">
      <c r="A746" t="s">
        <v>61</v>
      </c>
      <c r="B746" t="s">
        <v>62</v>
      </c>
      <c r="C746" t="s">
        <v>63</v>
      </c>
      <c r="E746" t="str">
        <f>"FES1162745079"</f>
        <v>FES1162745079</v>
      </c>
      <c r="F746" s="1">
        <v>43943</v>
      </c>
      <c r="G746">
        <v>202010</v>
      </c>
      <c r="H746" t="s">
        <v>64</v>
      </c>
      <c r="I746" t="s">
        <v>65</v>
      </c>
      <c r="J746" t="s">
        <v>66</v>
      </c>
      <c r="K746" t="s">
        <v>67</v>
      </c>
      <c r="L746" t="s">
        <v>120</v>
      </c>
      <c r="M746" t="s">
        <v>121</v>
      </c>
      <c r="N746" t="s">
        <v>910</v>
      </c>
      <c r="O746" t="s">
        <v>69</v>
      </c>
      <c r="P746" t="str">
        <f>"2170736299                    "</f>
        <v xml:space="preserve">2170736299                    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4.1900000000000004</v>
      </c>
      <c r="AN746">
        <v>0</v>
      </c>
      <c r="AO746">
        <v>0</v>
      </c>
      <c r="AP746">
        <v>0</v>
      </c>
      <c r="AQ746">
        <v>0</v>
      </c>
      <c r="AR746">
        <v>0</v>
      </c>
      <c r="AS746">
        <v>0</v>
      </c>
      <c r="AT746">
        <v>0</v>
      </c>
      <c r="AU746">
        <v>0</v>
      </c>
      <c r="AV746">
        <v>0</v>
      </c>
      <c r="AW746">
        <v>0</v>
      </c>
      <c r="AX746">
        <v>0</v>
      </c>
      <c r="AY746">
        <v>0</v>
      </c>
      <c r="AZ746">
        <v>0</v>
      </c>
      <c r="BA746">
        <v>0</v>
      </c>
      <c r="BB746">
        <v>0</v>
      </c>
      <c r="BG746">
        <v>0</v>
      </c>
      <c r="BH746">
        <v>1</v>
      </c>
      <c r="BI746">
        <v>1.3</v>
      </c>
      <c r="BJ746">
        <v>1</v>
      </c>
      <c r="BK746">
        <v>1.5</v>
      </c>
      <c r="BL746">
        <v>46.06</v>
      </c>
      <c r="BM746">
        <v>6.91</v>
      </c>
      <c r="BN746">
        <v>52.97</v>
      </c>
      <c r="BO746">
        <v>52.97</v>
      </c>
      <c r="BQ746" t="s">
        <v>78</v>
      </c>
      <c r="BR746" t="s">
        <v>71</v>
      </c>
      <c r="BS746" s="1">
        <v>43944</v>
      </c>
      <c r="BT746" s="2">
        <v>0.49861111111111112</v>
      </c>
      <c r="BU746" t="s">
        <v>911</v>
      </c>
      <c r="BV746" t="s">
        <v>74</v>
      </c>
      <c r="BW746" t="s">
        <v>85</v>
      </c>
      <c r="BX746" t="s">
        <v>735</v>
      </c>
      <c r="BY746">
        <v>5038.8</v>
      </c>
      <c r="CA746" t="s">
        <v>811</v>
      </c>
      <c r="CC746" t="s">
        <v>121</v>
      </c>
      <c r="CD746">
        <v>4052</v>
      </c>
      <c r="CE746" t="s">
        <v>91</v>
      </c>
      <c r="CF746" s="1">
        <v>43945</v>
      </c>
      <c r="CI746">
        <v>1</v>
      </c>
      <c r="CJ746">
        <v>1</v>
      </c>
      <c r="CK746">
        <v>21</v>
      </c>
      <c r="CL746" t="s">
        <v>74</v>
      </c>
    </row>
    <row r="747" spans="1:90" x14ac:dyDescent="0.25">
      <c r="A747" t="s">
        <v>61</v>
      </c>
      <c r="B747" t="s">
        <v>62</v>
      </c>
      <c r="C747" t="s">
        <v>63</v>
      </c>
      <c r="E747" t="str">
        <f>"FES1162745219"</f>
        <v>FES1162745219</v>
      </c>
      <c r="F747" s="1">
        <v>43943</v>
      </c>
      <c r="G747">
        <v>202010</v>
      </c>
      <c r="H747" t="s">
        <v>64</v>
      </c>
      <c r="I747" t="s">
        <v>65</v>
      </c>
      <c r="J747" t="s">
        <v>66</v>
      </c>
      <c r="K747" t="s">
        <v>67</v>
      </c>
      <c r="L747" t="s">
        <v>92</v>
      </c>
      <c r="M747" t="s">
        <v>93</v>
      </c>
      <c r="N747" t="s">
        <v>905</v>
      </c>
      <c r="O747" t="s">
        <v>69</v>
      </c>
      <c r="P747" t="str">
        <f>"2170733521                    "</f>
        <v xml:space="preserve">2170733521                    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0</v>
      </c>
      <c r="AM747">
        <v>4.1900000000000004</v>
      </c>
      <c r="AN747">
        <v>0</v>
      </c>
      <c r="AO747">
        <v>0</v>
      </c>
      <c r="AP747">
        <v>0</v>
      </c>
      <c r="AQ747">
        <v>0</v>
      </c>
      <c r="AR747">
        <v>0</v>
      </c>
      <c r="AS747">
        <v>0</v>
      </c>
      <c r="AT747">
        <v>0</v>
      </c>
      <c r="AU747">
        <v>0</v>
      </c>
      <c r="AV747">
        <v>0</v>
      </c>
      <c r="AW747">
        <v>0</v>
      </c>
      <c r="AX747">
        <v>0</v>
      </c>
      <c r="AY747">
        <v>0</v>
      </c>
      <c r="AZ747">
        <v>0</v>
      </c>
      <c r="BA747">
        <v>0</v>
      </c>
      <c r="BB747">
        <v>0</v>
      </c>
      <c r="BG747">
        <v>0</v>
      </c>
      <c r="BH747">
        <v>1</v>
      </c>
      <c r="BI747">
        <v>1</v>
      </c>
      <c r="BJ747">
        <v>0.2</v>
      </c>
      <c r="BK747">
        <v>1</v>
      </c>
      <c r="BL747">
        <v>46.06</v>
      </c>
      <c r="BM747">
        <v>6.91</v>
      </c>
      <c r="BN747">
        <v>52.97</v>
      </c>
      <c r="BO747">
        <v>52.97</v>
      </c>
      <c r="BQ747" t="s">
        <v>78</v>
      </c>
      <c r="BR747" t="s">
        <v>71</v>
      </c>
      <c r="BS747" s="1">
        <v>43944</v>
      </c>
      <c r="BT747" s="2">
        <v>0.41666666666666669</v>
      </c>
      <c r="BU747" t="s">
        <v>906</v>
      </c>
      <c r="BV747" t="s">
        <v>80</v>
      </c>
      <c r="BY747">
        <v>1200</v>
      </c>
      <c r="CC747" t="s">
        <v>93</v>
      </c>
      <c r="CD747">
        <v>7580</v>
      </c>
      <c r="CE747" t="s">
        <v>73</v>
      </c>
      <c r="CF747" s="1">
        <v>43945</v>
      </c>
      <c r="CI747">
        <v>1</v>
      </c>
      <c r="CJ747">
        <v>1</v>
      </c>
      <c r="CK747">
        <v>21</v>
      </c>
      <c r="CL747" t="s">
        <v>74</v>
      </c>
    </row>
    <row r="748" spans="1:90" x14ac:dyDescent="0.25">
      <c r="A748" t="s">
        <v>61</v>
      </c>
      <c r="B748" t="s">
        <v>62</v>
      </c>
      <c r="C748" t="s">
        <v>63</v>
      </c>
      <c r="E748" t="str">
        <f>"FES1162745031"</f>
        <v>FES1162745031</v>
      </c>
      <c r="F748" s="1">
        <v>43943</v>
      </c>
      <c r="G748">
        <v>202010</v>
      </c>
      <c r="H748" t="s">
        <v>64</v>
      </c>
      <c r="I748" t="s">
        <v>65</v>
      </c>
      <c r="J748" t="s">
        <v>66</v>
      </c>
      <c r="K748" t="s">
        <v>67</v>
      </c>
      <c r="L748" t="s">
        <v>120</v>
      </c>
      <c r="M748" t="s">
        <v>121</v>
      </c>
      <c r="N748" t="s">
        <v>278</v>
      </c>
      <c r="O748" t="s">
        <v>69</v>
      </c>
      <c r="P748" t="str">
        <f>"2170735870                    "</f>
        <v xml:space="preserve">2170735870                    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4.1900000000000004</v>
      </c>
      <c r="AN748">
        <v>0</v>
      </c>
      <c r="AO748">
        <v>0</v>
      </c>
      <c r="AP748">
        <v>0</v>
      </c>
      <c r="AQ748">
        <v>0</v>
      </c>
      <c r="AR748">
        <v>0</v>
      </c>
      <c r="AS748">
        <v>0</v>
      </c>
      <c r="AT748">
        <v>0</v>
      </c>
      <c r="AU748">
        <v>0</v>
      </c>
      <c r="AV748">
        <v>0</v>
      </c>
      <c r="AW748">
        <v>0</v>
      </c>
      <c r="AX748">
        <v>0</v>
      </c>
      <c r="AY748">
        <v>0</v>
      </c>
      <c r="AZ748">
        <v>0</v>
      </c>
      <c r="BA748">
        <v>0</v>
      </c>
      <c r="BB748">
        <v>0</v>
      </c>
      <c r="BG748">
        <v>0</v>
      </c>
      <c r="BH748">
        <v>1</v>
      </c>
      <c r="BI748">
        <v>1</v>
      </c>
      <c r="BJ748">
        <v>0.2</v>
      </c>
      <c r="BK748">
        <v>1</v>
      </c>
      <c r="BL748">
        <v>46.06</v>
      </c>
      <c r="BM748">
        <v>6.91</v>
      </c>
      <c r="BN748">
        <v>52.97</v>
      </c>
      <c r="BO748">
        <v>52.97</v>
      </c>
      <c r="BQ748" t="s">
        <v>70</v>
      </c>
      <c r="BR748" t="s">
        <v>71</v>
      </c>
      <c r="BS748" s="1">
        <v>43944</v>
      </c>
      <c r="BT748" s="2">
        <v>0.53819444444444442</v>
      </c>
      <c r="BU748" t="s">
        <v>755</v>
      </c>
      <c r="BV748" t="s">
        <v>74</v>
      </c>
      <c r="BW748" t="s">
        <v>85</v>
      </c>
      <c r="BX748" t="s">
        <v>735</v>
      </c>
      <c r="BY748">
        <v>1200</v>
      </c>
      <c r="CA748" t="s">
        <v>627</v>
      </c>
      <c r="CC748" t="s">
        <v>121</v>
      </c>
      <c r="CD748">
        <v>4001</v>
      </c>
      <c r="CE748" t="s">
        <v>73</v>
      </c>
      <c r="CF748" s="1">
        <v>43945</v>
      </c>
      <c r="CI748">
        <v>1</v>
      </c>
      <c r="CJ748">
        <v>1</v>
      </c>
      <c r="CK748">
        <v>21</v>
      </c>
      <c r="CL748" t="s">
        <v>74</v>
      </c>
    </row>
    <row r="749" spans="1:90" x14ac:dyDescent="0.25">
      <c r="A749" t="s">
        <v>61</v>
      </c>
      <c r="B749" t="s">
        <v>62</v>
      </c>
      <c r="C749" t="s">
        <v>63</v>
      </c>
      <c r="E749" t="str">
        <f>"FES1162745067"</f>
        <v>FES1162745067</v>
      </c>
      <c r="F749" s="1">
        <v>43943</v>
      </c>
      <c r="G749">
        <v>202010</v>
      </c>
      <c r="H749" t="s">
        <v>64</v>
      </c>
      <c r="I749" t="s">
        <v>65</v>
      </c>
      <c r="J749" t="s">
        <v>66</v>
      </c>
      <c r="K749" t="s">
        <v>67</v>
      </c>
      <c r="L749" t="s">
        <v>116</v>
      </c>
      <c r="M749" t="s">
        <v>117</v>
      </c>
      <c r="N749" t="s">
        <v>118</v>
      </c>
      <c r="O749" t="s">
        <v>69</v>
      </c>
      <c r="P749" t="str">
        <f>"2170736280                    "</f>
        <v xml:space="preserve">2170736280                    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8.11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0</v>
      </c>
      <c r="AU749">
        <v>0</v>
      </c>
      <c r="AV749">
        <v>0</v>
      </c>
      <c r="AW749">
        <v>0</v>
      </c>
      <c r="AX749">
        <v>0</v>
      </c>
      <c r="AY749">
        <v>0</v>
      </c>
      <c r="AZ749">
        <v>0</v>
      </c>
      <c r="BA749">
        <v>0</v>
      </c>
      <c r="BB749">
        <v>0</v>
      </c>
      <c r="BG749">
        <v>0</v>
      </c>
      <c r="BH749">
        <v>1</v>
      </c>
      <c r="BI749">
        <v>1</v>
      </c>
      <c r="BJ749">
        <v>0.2</v>
      </c>
      <c r="BK749">
        <v>1</v>
      </c>
      <c r="BL749">
        <v>89.23</v>
      </c>
      <c r="BM749">
        <v>13.38</v>
      </c>
      <c r="BN749">
        <v>102.61</v>
      </c>
      <c r="BO749">
        <v>102.61</v>
      </c>
      <c r="BQ749" t="s">
        <v>78</v>
      </c>
      <c r="BR749" t="s">
        <v>71</v>
      </c>
      <c r="BS749" s="1">
        <v>43944</v>
      </c>
      <c r="BT749" s="2">
        <v>0.41666666666666669</v>
      </c>
      <c r="BU749" t="s">
        <v>119</v>
      </c>
      <c r="BV749" t="s">
        <v>80</v>
      </c>
      <c r="BY749">
        <v>1200</v>
      </c>
      <c r="CC749" t="s">
        <v>117</v>
      </c>
      <c r="CD749">
        <v>7300</v>
      </c>
      <c r="CE749" t="s">
        <v>73</v>
      </c>
      <c r="CF749" s="1">
        <v>43945</v>
      </c>
      <c r="CI749">
        <v>1</v>
      </c>
      <c r="CJ749">
        <v>1</v>
      </c>
      <c r="CK749">
        <v>23</v>
      </c>
      <c r="CL749" t="s">
        <v>74</v>
      </c>
    </row>
    <row r="750" spans="1:90" x14ac:dyDescent="0.25">
      <c r="A750" t="s">
        <v>61</v>
      </c>
      <c r="B750" t="s">
        <v>62</v>
      </c>
      <c r="C750" t="s">
        <v>63</v>
      </c>
      <c r="E750" t="str">
        <f>"FES1162745112"</f>
        <v>FES1162745112</v>
      </c>
      <c r="F750" s="1">
        <v>43943</v>
      </c>
      <c r="G750">
        <v>202010</v>
      </c>
      <c r="H750" t="s">
        <v>64</v>
      </c>
      <c r="I750" t="s">
        <v>65</v>
      </c>
      <c r="J750" t="s">
        <v>66</v>
      </c>
      <c r="K750" t="s">
        <v>67</v>
      </c>
      <c r="L750" t="s">
        <v>151</v>
      </c>
      <c r="M750" t="s">
        <v>152</v>
      </c>
      <c r="N750" t="s">
        <v>348</v>
      </c>
      <c r="O750" t="s">
        <v>69</v>
      </c>
      <c r="P750" t="str">
        <f>"2170734834                    "</f>
        <v xml:space="preserve">2170734834                    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4.1900000000000004</v>
      </c>
      <c r="AN750">
        <v>0</v>
      </c>
      <c r="AO750">
        <v>0</v>
      </c>
      <c r="AP750">
        <v>0</v>
      </c>
      <c r="AQ750">
        <v>0</v>
      </c>
      <c r="AR750">
        <v>0</v>
      </c>
      <c r="AS750">
        <v>0</v>
      </c>
      <c r="AT750">
        <v>0</v>
      </c>
      <c r="AU750">
        <v>0</v>
      </c>
      <c r="AV750">
        <v>0</v>
      </c>
      <c r="AW750">
        <v>0</v>
      </c>
      <c r="AX750">
        <v>0</v>
      </c>
      <c r="AY750">
        <v>0</v>
      </c>
      <c r="AZ750">
        <v>0</v>
      </c>
      <c r="BA750">
        <v>0</v>
      </c>
      <c r="BB750">
        <v>0</v>
      </c>
      <c r="BG750">
        <v>0</v>
      </c>
      <c r="BH750">
        <v>1</v>
      </c>
      <c r="BI750">
        <v>1</v>
      </c>
      <c r="BJ750">
        <v>0.2</v>
      </c>
      <c r="BK750">
        <v>1</v>
      </c>
      <c r="BL750">
        <v>46.06</v>
      </c>
      <c r="BM750">
        <v>6.91</v>
      </c>
      <c r="BN750">
        <v>52.97</v>
      </c>
      <c r="BO750">
        <v>52.97</v>
      </c>
      <c r="BQ750" t="s">
        <v>78</v>
      </c>
      <c r="BR750" t="s">
        <v>71</v>
      </c>
      <c r="BS750" s="1">
        <v>43944</v>
      </c>
      <c r="BT750" s="2">
        <v>0.41666666666666669</v>
      </c>
      <c r="BU750" t="s">
        <v>950</v>
      </c>
      <c r="BV750" t="s">
        <v>80</v>
      </c>
      <c r="BY750">
        <v>1200</v>
      </c>
      <c r="CC750" t="s">
        <v>152</v>
      </c>
      <c r="CD750">
        <v>3201</v>
      </c>
      <c r="CE750" t="s">
        <v>73</v>
      </c>
      <c r="CF750" s="1">
        <v>43945</v>
      </c>
      <c r="CI750">
        <v>1</v>
      </c>
      <c r="CJ750">
        <v>1</v>
      </c>
      <c r="CK750">
        <v>21</v>
      </c>
      <c r="CL750" t="s">
        <v>74</v>
      </c>
    </row>
    <row r="751" spans="1:90" x14ac:dyDescent="0.25">
      <c r="A751" t="s">
        <v>61</v>
      </c>
      <c r="B751" t="s">
        <v>62</v>
      </c>
      <c r="C751" t="s">
        <v>63</v>
      </c>
      <c r="E751" t="str">
        <f>"FES1162745175"</f>
        <v>FES1162745175</v>
      </c>
      <c r="F751" s="1">
        <v>43943</v>
      </c>
      <c r="G751">
        <v>202010</v>
      </c>
      <c r="H751" t="s">
        <v>64</v>
      </c>
      <c r="I751" t="s">
        <v>65</v>
      </c>
      <c r="J751" t="s">
        <v>66</v>
      </c>
      <c r="K751" t="s">
        <v>67</v>
      </c>
      <c r="L751" t="s">
        <v>151</v>
      </c>
      <c r="M751" t="s">
        <v>152</v>
      </c>
      <c r="N751" t="s">
        <v>348</v>
      </c>
      <c r="O751" t="s">
        <v>69</v>
      </c>
      <c r="P751" t="str">
        <f>"2170735978                    "</f>
        <v xml:space="preserve">2170735978                    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0</v>
      </c>
      <c r="AM751">
        <v>4.1900000000000004</v>
      </c>
      <c r="AN751">
        <v>0</v>
      </c>
      <c r="AO751">
        <v>0</v>
      </c>
      <c r="AP751">
        <v>0</v>
      </c>
      <c r="AQ751">
        <v>0</v>
      </c>
      <c r="AR751">
        <v>0</v>
      </c>
      <c r="AS751">
        <v>0</v>
      </c>
      <c r="AT751">
        <v>0</v>
      </c>
      <c r="AU751">
        <v>0</v>
      </c>
      <c r="AV751">
        <v>0</v>
      </c>
      <c r="AW751">
        <v>0</v>
      </c>
      <c r="AX751">
        <v>0</v>
      </c>
      <c r="AY751">
        <v>0</v>
      </c>
      <c r="AZ751">
        <v>0</v>
      </c>
      <c r="BA751">
        <v>0</v>
      </c>
      <c r="BB751">
        <v>0</v>
      </c>
      <c r="BG751">
        <v>0</v>
      </c>
      <c r="BH751">
        <v>1</v>
      </c>
      <c r="BI751">
        <v>1</v>
      </c>
      <c r="BJ751">
        <v>0.2</v>
      </c>
      <c r="BK751">
        <v>1</v>
      </c>
      <c r="BL751">
        <v>46.06</v>
      </c>
      <c r="BM751">
        <v>6.91</v>
      </c>
      <c r="BN751">
        <v>52.97</v>
      </c>
      <c r="BO751">
        <v>52.97</v>
      </c>
      <c r="BQ751" t="s">
        <v>78</v>
      </c>
      <c r="BR751" t="s">
        <v>71</v>
      </c>
      <c r="BS751" s="1">
        <v>43944</v>
      </c>
      <c r="BT751" s="2">
        <v>0.41666666666666669</v>
      </c>
      <c r="BU751" t="s">
        <v>950</v>
      </c>
      <c r="BV751" t="s">
        <v>80</v>
      </c>
      <c r="BY751">
        <v>1200</v>
      </c>
      <c r="CC751" t="s">
        <v>152</v>
      </c>
      <c r="CD751">
        <v>3201</v>
      </c>
      <c r="CE751" t="s">
        <v>73</v>
      </c>
      <c r="CF751" s="1">
        <v>43945</v>
      </c>
      <c r="CI751">
        <v>1</v>
      </c>
      <c r="CJ751">
        <v>1</v>
      </c>
      <c r="CK751">
        <v>21</v>
      </c>
      <c r="CL751" t="s">
        <v>74</v>
      </c>
    </row>
    <row r="752" spans="1:90" x14ac:dyDescent="0.25">
      <c r="A752" t="s">
        <v>61</v>
      </c>
      <c r="B752" t="s">
        <v>62</v>
      </c>
      <c r="C752" t="s">
        <v>63</v>
      </c>
      <c r="E752" t="str">
        <f>"FES1162744986"</f>
        <v>FES1162744986</v>
      </c>
      <c r="F752" s="1">
        <v>43943</v>
      </c>
      <c r="G752">
        <v>202010</v>
      </c>
      <c r="H752" t="s">
        <v>64</v>
      </c>
      <c r="I752" t="s">
        <v>65</v>
      </c>
      <c r="J752" t="s">
        <v>66</v>
      </c>
      <c r="K752" t="s">
        <v>67</v>
      </c>
      <c r="L752" t="s">
        <v>116</v>
      </c>
      <c r="M752" t="s">
        <v>117</v>
      </c>
      <c r="N752" t="s">
        <v>118</v>
      </c>
      <c r="O752" t="s">
        <v>69</v>
      </c>
      <c r="P752" t="str">
        <f>"2170734533                    "</f>
        <v xml:space="preserve">2170734533                    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0</v>
      </c>
      <c r="AM752">
        <v>8.11</v>
      </c>
      <c r="AN752">
        <v>0</v>
      </c>
      <c r="AO752">
        <v>0</v>
      </c>
      <c r="AP752">
        <v>0</v>
      </c>
      <c r="AQ752">
        <v>0</v>
      </c>
      <c r="AR752">
        <v>0</v>
      </c>
      <c r="AS752">
        <v>0</v>
      </c>
      <c r="AT752">
        <v>0</v>
      </c>
      <c r="AU752">
        <v>0</v>
      </c>
      <c r="AV752">
        <v>0</v>
      </c>
      <c r="AW752">
        <v>0</v>
      </c>
      <c r="AX752">
        <v>0</v>
      </c>
      <c r="AY752">
        <v>0</v>
      </c>
      <c r="AZ752">
        <v>0</v>
      </c>
      <c r="BA752">
        <v>0</v>
      </c>
      <c r="BB752">
        <v>0</v>
      </c>
      <c r="BG752">
        <v>0</v>
      </c>
      <c r="BH752">
        <v>1</v>
      </c>
      <c r="BI752">
        <v>0.5</v>
      </c>
      <c r="BJ752">
        <v>1.9</v>
      </c>
      <c r="BK752">
        <v>2</v>
      </c>
      <c r="BL752">
        <v>89.23</v>
      </c>
      <c r="BM752">
        <v>13.38</v>
      </c>
      <c r="BN752">
        <v>102.61</v>
      </c>
      <c r="BO752">
        <v>102.61</v>
      </c>
      <c r="BQ752" t="s">
        <v>78</v>
      </c>
      <c r="BR752" t="s">
        <v>71</v>
      </c>
      <c r="BS752" s="1">
        <v>43944</v>
      </c>
      <c r="BT752" s="2">
        <v>0.41666666666666669</v>
      </c>
      <c r="BU752" t="s">
        <v>119</v>
      </c>
      <c r="BV752" t="s">
        <v>80</v>
      </c>
      <c r="BY752">
        <v>9573.9</v>
      </c>
      <c r="CC752" t="s">
        <v>117</v>
      </c>
      <c r="CD752">
        <v>7300</v>
      </c>
      <c r="CE752" t="s">
        <v>73</v>
      </c>
      <c r="CF752" s="1">
        <v>43945</v>
      </c>
      <c r="CI752">
        <v>1</v>
      </c>
      <c r="CJ752">
        <v>1</v>
      </c>
      <c r="CK752">
        <v>23</v>
      </c>
      <c r="CL752" t="s">
        <v>74</v>
      </c>
    </row>
    <row r="753" spans="1:90" x14ac:dyDescent="0.25">
      <c r="A753" t="s">
        <v>61</v>
      </c>
      <c r="B753" t="s">
        <v>62</v>
      </c>
      <c r="C753" t="s">
        <v>63</v>
      </c>
      <c r="E753" t="str">
        <f>"FES1162744814"</f>
        <v>FES1162744814</v>
      </c>
      <c r="F753" s="1">
        <v>43943</v>
      </c>
      <c r="G753">
        <v>202010</v>
      </c>
      <c r="H753" t="s">
        <v>64</v>
      </c>
      <c r="I753" t="s">
        <v>65</v>
      </c>
      <c r="J753" t="s">
        <v>66</v>
      </c>
      <c r="K753" t="s">
        <v>67</v>
      </c>
      <c r="L753" t="s">
        <v>532</v>
      </c>
      <c r="M753" t="s">
        <v>533</v>
      </c>
      <c r="N753" t="s">
        <v>534</v>
      </c>
      <c r="O753" t="s">
        <v>69</v>
      </c>
      <c r="P753" t="str">
        <f>"2170735730                    "</f>
        <v xml:space="preserve">2170735730                    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0</v>
      </c>
      <c r="AM753">
        <v>4.1900000000000004</v>
      </c>
      <c r="AN753">
        <v>0</v>
      </c>
      <c r="AO753">
        <v>0</v>
      </c>
      <c r="AP753">
        <v>0</v>
      </c>
      <c r="AQ753">
        <v>0</v>
      </c>
      <c r="AR753">
        <v>0</v>
      </c>
      <c r="AS753">
        <v>0</v>
      </c>
      <c r="AT753">
        <v>0</v>
      </c>
      <c r="AU753">
        <v>0</v>
      </c>
      <c r="AV753">
        <v>0</v>
      </c>
      <c r="AW753">
        <v>0</v>
      </c>
      <c r="AX753">
        <v>0</v>
      </c>
      <c r="AY753">
        <v>0</v>
      </c>
      <c r="AZ753">
        <v>0</v>
      </c>
      <c r="BA753">
        <v>0</v>
      </c>
      <c r="BB753">
        <v>0</v>
      </c>
      <c r="BG753">
        <v>0</v>
      </c>
      <c r="BH753">
        <v>1</v>
      </c>
      <c r="BI753">
        <v>1</v>
      </c>
      <c r="BJ753">
        <v>0.2</v>
      </c>
      <c r="BK753">
        <v>1</v>
      </c>
      <c r="BL753">
        <v>46.06</v>
      </c>
      <c r="BM753">
        <v>6.91</v>
      </c>
      <c r="BN753">
        <v>52.97</v>
      </c>
      <c r="BO753">
        <v>52.97</v>
      </c>
      <c r="BQ753" t="s">
        <v>70</v>
      </c>
      <c r="BR753" t="s">
        <v>71</v>
      </c>
      <c r="BS753" s="1">
        <v>43944</v>
      </c>
      <c r="BT753" s="2">
        <v>0.4069444444444445</v>
      </c>
      <c r="BU753" t="s">
        <v>624</v>
      </c>
      <c r="BV753" t="s">
        <v>80</v>
      </c>
      <c r="BY753">
        <v>1200</v>
      </c>
      <c r="CC753" t="s">
        <v>533</v>
      </c>
      <c r="CD753">
        <v>6536</v>
      </c>
      <c r="CE753" t="s">
        <v>73</v>
      </c>
      <c r="CF753" s="1">
        <v>43951</v>
      </c>
      <c r="CI753">
        <v>1</v>
      </c>
      <c r="CJ753">
        <v>1</v>
      </c>
      <c r="CK753">
        <v>21</v>
      </c>
      <c r="CL753" t="s">
        <v>74</v>
      </c>
    </row>
    <row r="754" spans="1:90" x14ac:dyDescent="0.25">
      <c r="A754" t="s">
        <v>61</v>
      </c>
      <c r="B754" t="s">
        <v>62</v>
      </c>
      <c r="C754" t="s">
        <v>63</v>
      </c>
      <c r="E754" t="str">
        <f>"FES1162745010"</f>
        <v>FES1162745010</v>
      </c>
      <c r="F754" s="1">
        <v>43943</v>
      </c>
      <c r="G754">
        <v>202010</v>
      </c>
      <c r="H754" t="s">
        <v>64</v>
      </c>
      <c r="I754" t="s">
        <v>65</v>
      </c>
      <c r="J754" t="s">
        <v>66</v>
      </c>
      <c r="K754" t="s">
        <v>67</v>
      </c>
      <c r="L754" t="s">
        <v>92</v>
      </c>
      <c r="M754" t="s">
        <v>93</v>
      </c>
      <c r="N754" t="s">
        <v>482</v>
      </c>
      <c r="O754" t="s">
        <v>69</v>
      </c>
      <c r="P754" t="str">
        <f>"2170736212                    "</f>
        <v xml:space="preserve">2170736212                    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0</v>
      </c>
      <c r="AM754">
        <v>4.1900000000000004</v>
      </c>
      <c r="AN754">
        <v>0</v>
      </c>
      <c r="AO754">
        <v>0</v>
      </c>
      <c r="AP754">
        <v>0</v>
      </c>
      <c r="AQ754">
        <v>0</v>
      </c>
      <c r="AR754">
        <v>0</v>
      </c>
      <c r="AS754">
        <v>0</v>
      </c>
      <c r="AT754">
        <v>0</v>
      </c>
      <c r="AU754">
        <v>0</v>
      </c>
      <c r="AV754">
        <v>0</v>
      </c>
      <c r="AW754">
        <v>0</v>
      </c>
      <c r="AX754">
        <v>0</v>
      </c>
      <c r="AY754">
        <v>0</v>
      </c>
      <c r="AZ754">
        <v>0</v>
      </c>
      <c r="BA754">
        <v>0</v>
      </c>
      <c r="BB754">
        <v>0</v>
      </c>
      <c r="BG754">
        <v>0</v>
      </c>
      <c r="BH754">
        <v>1</v>
      </c>
      <c r="BI754">
        <v>1</v>
      </c>
      <c r="BJ754">
        <v>0.2</v>
      </c>
      <c r="BK754">
        <v>1</v>
      </c>
      <c r="BL754">
        <v>46.06</v>
      </c>
      <c r="BM754">
        <v>6.91</v>
      </c>
      <c r="BN754">
        <v>52.97</v>
      </c>
      <c r="BO754">
        <v>52.97</v>
      </c>
      <c r="BQ754" t="s">
        <v>78</v>
      </c>
      <c r="BR754" t="s">
        <v>71</v>
      </c>
      <c r="BS754" s="1">
        <v>43944</v>
      </c>
      <c r="BT754" s="2">
        <v>0.42291666666666666</v>
      </c>
      <c r="BU754" t="s">
        <v>900</v>
      </c>
      <c r="BV754" t="s">
        <v>80</v>
      </c>
      <c r="BY754">
        <v>1200</v>
      </c>
      <c r="CA754" t="s">
        <v>331</v>
      </c>
      <c r="CC754" t="s">
        <v>93</v>
      </c>
      <c r="CD754">
        <v>7441</v>
      </c>
      <c r="CE754" t="s">
        <v>73</v>
      </c>
      <c r="CF754" s="1">
        <v>43945</v>
      </c>
      <c r="CI754">
        <v>1</v>
      </c>
      <c r="CJ754">
        <v>1</v>
      </c>
      <c r="CK754">
        <v>21</v>
      </c>
      <c r="CL754" t="s">
        <v>74</v>
      </c>
    </row>
    <row r="755" spans="1:90" x14ac:dyDescent="0.25">
      <c r="A755" t="s">
        <v>61</v>
      </c>
      <c r="B755" t="s">
        <v>62</v>
      </c>
      <c r="C755" t="s">
        <v>63</v>
      </c>
      <c r="E755" t="str">
        <f>"FES1162745171"</f>
        <v>FES1162745171</v>
      </c>
      <c r="F755" s="1">
        <v>43943</v>
      </c>
      <c r="G755">
        <v>202010</v>
      </c>
      <c r="H755" t="s">
        <v>64</v>
      </c>
      <c r="I755" t="s">
        <v>65</v>
      </c>
      <c r="J755" t="s">
        <v>66</v>
      </c>
      <c r="K755" t="s">
        <v>67</v>
      </c>
      <c r="L755" t="s">
        <v>212</v>
      </c>
      <c r="M755" t="s">
        <v>213</v>
      </c>
      <c r="N755" t="s">
        <v>889</v>
      </c>
      <c r="O755" t="s">
        <v>69</v>
      </c>
      <c r="P755" t="str">
        <f>"2170733362                    "</f>
        <v xml:space="preserve">2170733362                    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0</v>
      </c>
      <c r="AM755">
        <v>4.1900000000000004</v>
      </c>
      <c r="AN755">
        <v>0</v>
      </c>
      <c r="AO755">
        <v>0</v>
      </c>
      <c r="AP755">
        <v>0</v>
      </c>
      <c r="AQ755">
        <v>0</v>
      </c>
      <c r="AR755">
        <v>0</v>
      </c>
      <c r="AS755">
        <v>0</v>
      </c>
      <c r="AT755">
        <v>0</v>
      </c>
      <c r="AU755">
        <v>0</v>
      </c>
      <c r="AV755">
        <v>0</v>
      </c>
      <c r="AW755">
        <v>0</v>
      </c>
      <c r="AX755">
        <v>0</v>
      </c>
      <c r="AY755">
        <v>0</v>
      </c>
      <c r="AZ755">
        <v>0</v>
      </c>
      <c r="BA755">
        <v>0</v>
      </c>
      <c r="BB755">
        <v>0</v>
      </c>
      <c r="BG755">
        <v>0</v>
      </c>
      <c r="BH755">
        <v>1</v>
      </c>
      <c r="BI755">
        <v>1</v>
      </c>
      <c r="BJ755">
        <v>1</v>
      </c>
      <c r="BK755">
        <v>1</v>
      </c>
      <c r="BL755">
        <v>46.06</v>
      </c>
      <c r="BM755">
        <v>6.91</v>
      </c>
      <c r="BN755">
        <v>52.97</v>
      </c>
      <c r="BO755">
        <v>52.97</v>
      </c>
      <c r="BQ755" t="s">
        <v>268</v>
      </c>
      <c r="BR755" t="s">
        <v>71</v>
      </c>
      <c r="BS755" s="1">
        <v>43944</v>
      </c>
      <c r="BT755" s="2">
        <v>0.4368055555555555</v>
      </c>
      <c r="BU755" t="s">
        <v>890</v>
      </c>
      <c r="BV755" t="s">
        <v>80</v>
      </c>
      <c r="BY755">
        <v>4788.3900000000003</v>
      </c>
      <c r="CA755" t="s">
        <v>711</v>
      </c>
      <c r="CC755" t="s">
        <v>213</v>
      </c>
      <c r="CD755">
        <v>3610</v>
      </c>
      <c r="CE755" t="s">
        <v>91</v>
      </c>
      <c r="CF755" s="1">
        <v>43945</v>
      </c>
      <c r="CI755">
        <v>1</v>
      </c>
      <c r="CJ755">
        <v>1</v>
      </c>
      <c r="CK755">
        <v>21</v>
      </c>
      <c r="CL755" t="s">
        <v>74</v>
      </c>
    </row>
    <row r="756" spans="1:90" x14ac:dyDescent="0.25">
      <c r="A756" t="s">
        <v>61</v>
      </c>
      <c r="B756" t="s">
        <v>62</v>
      </c>
      <c r="C756" t="s">
        <v>63</v>
      </c>
      <c r="E756" t="str">
        <f>"FES1162744827"</f>
        <v>FES1162744827</v>
      </c>
      <c r="F756" s="1">
        <v>43943</v>
      </c>
      <c r="G756">
        <v>202010</v>
      </c>
      <c r="H756" t="s">
        <v>64</v>
      </c>
      <c r="I756" t="s">
        <v>65</v>
      </c>
      <c r="J756" t="s">
        <v>66</v>
      </c>
      <c r="K756" t="s">
        <v>67</v>
      </c>
      <c r="L756" t="s">
        <v>532</v>
      </c>
      <c r="M756" t="s">
        <v>533</v>
      </c>
      <c r="N756" t="s">
        <v>534</v>
      </c>
      <c r="O756" t="s">
        <v>69</v>
      </c>
      <c r="P756" t="str">
        <f>"2170735771                    "</f>
        <v xml:space="preserve">2170735771                    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0</v>
      </c>
      <c r="AM756">
        <v>4.1900000000000004</v>
      </c>
      <c r="AN756">
        <v>0</v>
      </c>
      <c r="AO756">
        <v>0</v>
      </c>
      <c r="AP756">
        <v>0</v>
      </c>
      <c r="AQ756">
        <v>0</v>
      </c>
      <c r="AR756">
        <v>0</v>
      </c>
      <c r="AS756">
        <v>0</v>
      </c>
      <c r="AT756">
        <v>0</v>
      </c>
      <c r="AU756">
        <v>0</v>
      </c>
      <c r="AV756">
        <v>0</v>
      </c>
      <c r="AW756">
        <v>0</v>
      </c>
      <c r="AX756">
        <v>0</v>
      </c>
      <c r="AY756">
        <v>0</v>
      </c>
      <c r="AZ756">
        <v>0</v>
      </c>
      <c r="BA756">
        <v>0</v>
      </c>
      <c r="BB756">
        <v>0</v>
      </c>
      <c r="BG756">
        <v>0</v>
      </c>
      <c r="BH756">
        <v>1</v>
      </c>
      <c r="BI756">
        <v>1</v>
      </c>
      <c r="BJ756">
        <v>0.2</v>
      </c>
      <c r="BK756">
        <v>1</v>
      </c>
      <c r="BL756">
        <v>46.06</v>
      </c>
      <c r="BM756">
        <v>6.91</v>
      </c>
      <c r="BN756">
        <v>52.97</v>
      </c>
      <c r="BO756">
        <v>52.97</v>
      </c>
      <c r="BQ756" t="s">
        <v>70</v>
      </c>
      <c r="BR756" t="s">
        <v>71</v>
      </c>
      <c r="BS756" s="1">
        <v>43944</v>
      </c>
      <c r="BT756" s="2">
        <v>0.4069444444444445</v>
      </c>
      <c r="BU756" t="s">
        <v>624</v>
      </c>
      <c r="BV756" t="s">
        <v>80</v>
      </c>
      <c r="BY756">
        <v>1200</v>
      </c>
      <c r="CC756" t="s">
        <v>533</v>
      </c>
      <c r="CD756">
        <v>6536</v>
      </c>
      <c r="CE756" t="s">
        <v>73</v>
      </c>
      <c r="CF756" s="1">
        <v>43951</v>
      </c>
      <c r="CI756">
        <v>1</v>
      </c>
      <c r="CJ756">
        <v>1</v>
      </c>
      <c r="CK756">
        <v>21</v>
      </c>
      <c r="CL756" t="s">
        <v>74</v>
      </c>
    </row>
    <row r="757" spans="1:90" x14ac:dyDescent="0.25">
      <c r="A757" t="s">
        <v>61</v>
      </c>
      <c r="B757" t="s">
        <v>62</v>
      </c>
      <c r="C757" t="s">
        <v>63</v>
      </c>
      <c r="E757" t="str">
        <f>"FES1162744212"</f>
        <v>FES1162744212</v>
      </c>
      <c r="F757" s="1">
        <v>43943</v>
      </c>
      <c r="G757">
        <v>202010</v>
      </c>
      <c r="H757" t="s">
        <v>64</v>
      </c>
      <c r="I757" t="s">
        <v>65</v>
      </c>
      <c r="J757" t="s">
        <v>66</v>
      </c>
      <c r="K757" t="s">
        <v>67</v>
      </c>
      <c r="L757" t="s">
        <v>99</v>
      </c>
      <c r="M757" t="s">
        <v>100</v>
      </c>
      <c r="N757" t="s">
        <v>101</v>
      </c>
      <c r="O757" t="s">
        <v>69</v>
      </c>
      <c r="P757" t="str">
        <f>"2170733858                    "</f>
        <v xml:space="preserve">2170733858                    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0</v>
      </c>
      <c r="AM757">
        <v>8.11</v>
      </c>
      <c r="AN757">
        <v>0</v>
      </c>
      <c r="AO757">
        <v>0</v>
      </c>
      <c r="AP757">
        <v>0</v>
      </c>
      <c r="AQ757">
        <v>0</v>
      </c>
      <c r="AR757">
        <v>0</v>
      </c>
      <c r="AS757">
        <v>0</v>
      </c>
      <c r="AT757">
        <v>0</v>
      </c>
      <c r="AU757">
        <v>0</v>
      </c>
      <c r="AV757">
        <v>0</v>
      </c>
      <c r="AW757">
        <v>0</v>
      </c>
      <c r="AX757">
        <v>0</v>
      </c>
      <c r="AY757">
        <v>0</v>
      </c>
      <c r="AZ757">
        <v>0</v>
      </c>
      <c r="BA757">
        <v>0</v>
      </c>
      <c r="BB757">
        <v>0</v>
      </c>
      <c r="BG757">
        <v>0</v>
      </c>
      <c r="BH757">
        <v>1</v>
      </c>
      <c r="BI757">
        <v>0.2</v>
      </c>
      <c r="BJ757">
        <v>1.5</v>
      </c>
      <c r="BK757">
        <v>1.5</v>
      </c>
      <c r="BL757">
        <v>89.23</v>
      </c>
      <c r="BM757">
        <v>13.38</v>
      </c>
      <c r="BN757">
        <v>102.61</v>
      </c>
      <c r="BO757">
        <v>102.61</v>
      </c>
      <c r="BQ757" t="s">
        <v>78</v>
      </c>
      <c r="BR757" t="s">
        <v>71</v>
      </c>
      <c r="BS757" s="1">
        <v>43945</v>
      </c>
      <c r="BT757" s="2">
        <v>0.49444444444444446</v>
      </c>
      <c r="BU757" t="s">
        <v>102</v>
      </c>
      <c r="BV757" t="s">
        <v>80</v>
      </c>
      <c r="BY757">
        <v>7463.9</v>
      </c>
      <c r="CA757" t="s">
        <v>103</v>
      </c>
      <c r="CC757" t="s">
        <v>100</v>
      </c>
      <c r="CD757">
        <v>6849</v>
      </c>
      <c r="CE757" t="s">
        <v>73</v>
      </c>
      <c r="CF757" s="1">
        <v>43950</v>
      </c>
      <c r="CI757">
        <v>3</v>
      </c>
      <c r="CJ757">
        <v>2</v>
      </c>
      <c r="CK757">
        <v>23</v>
      </c>
      <c r="CL757" t="s">
        <v>74</v>
      </c>
    </row>
    <row r="758" spans="1:90" x14ac:dyDescent="0.25">
      <c r="A758" t="s">
        <v>61</v>
      </c>
      <c r="B758" t="s">
        <v>62</v>
      </c>
      <c r="C758" t="s">
        <v>63</v>
      </c>
      <c r="E758" t="str">
        <f>"FES1162745163"</f>
        <v>FES1162745163</v>
      </c>
      <c r="F758" s="1">
        <v>43943</v>
      </c>
      <c r="G758">
        <v>202010</v>
      </c>
      <c r="H758" t="s">
        <v>64</v>
      </c>
      <c r="I758" t="s">
        <v>65</v>
      </c>
      <c r="J758" t="s">
        <v>66</v>
      </c>
      <c r="K758" t="s">
        <v>67</v>
      </c>
      <c r="L758" t="s">
        <v>120</v>
      </c>
      <c r="M758" t="s">
        <v>121</v>
      </c>
      <c r="N758" t="s">
        <v>671</v>
      </c>
      <c r="O758" t="s">
        <v>69</v>
      </c>
      <c r="P758" t="str">
        <f>"2170736396                    "</f>
        <v xml:space="preserve">2170736396                    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5.23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0</v>
      </c>
      <c r="AU758">
        <v>0</v>
      </c>
      <c r="AV758">
        <v>0</v>
      </c>
      <c r="AW758">
        <v>0</v>
      </c>
      <c r="AX758">
        <v>0</v>
      </c>
      <c r="AY758">
        <v>0</v>
      </c>
      <c r="AZ758">
        <v>0</v>
      </c>
      <c r="BA758">
        <v>0</v>
      </c>
      <c r="BB758">
        <v>0</v>
      </c>
      <c r="BG758">
        <v>0</v>
      </c>
      <c r="BH758">
        <v>1</v>
      </c>
      <c r="BI758">
        <v>2.4</v>
      </c>
      <c r="BJ758">
        <v>1.1000000000000001</v>
      </c>
      <c r="BK758">
        <v>2.5</v>
      </c>
      <c r="BL758">
        <v>57.56</v>
      </c>
      <c r="BM758">
        <v>8.6300000000000008</v>
      </c>
      <c r="BN758">
        <v>66.19</v>
      </c>
      <c r="BO758">
        <v>66.19</v>
      </c>
      <c r="BQ758" t="s">
        <v>676</v>
      </c>
      <c r="BR758" t="s">
        <v>71</v>
      </c>
      <c r="BS758" s="1">
        <v>43944</v>
      </c>
      <c r="BT758" s="2">
        <v>0.50624999999999998</v>
      </c>
      <c r="BU758" t="s">
        <v>938</v>
      </c>
      <c r="BV758" t="s">
        <v>74</v>
      </c>
      <c r="BW758" t="s">
        <v>85</v>
      </c>
      <c r="BX758" t="s">
        <v>735</v>
      </c>
      <c r="BY758">
        <v>5504.94</v>
      </c>
      <c r="CA758" t="s">
        <v>811</v>
      </c>
      <c r="CC758" t="s">
        <v>121</v>
      </c>
      <c r="CD758">
        <v>4052</v>
      </c>
      <c r="CE758" t="s">
        <v>91</v>
      </c>
      <c r="CF758" s="1">
        <v>43945</v>
      </c>
      <c r="CI758">
        <v>1</v>
      </c>
      <c r="CJ758">
        <v>1</v>
      </c>
      <c r="CK758">
        <v>21</v>
      </c>
      <c r="CL758" t="s">
        <v>74</v>
      </c>
    </row>
    <row r="759" spans="1:90" x14ac:dyDescent="0.25">
      <c r="A759" t="s">
        <v>61</v>
      </c>
      <c r="B759" t="s">
        <v>62</v>
      </c>
      <c r="C759" t="s">
        <v>63</v>
      </c>
      <c r="E759" t="str">
        <f>"FES1162744690"</f>
        <v>FES1162744690</v>
      </c>
      <c r="F759" s="1">
        <v>43943</v>
      </c>
      <c r="G759">
        <v>202010</v>
      </c>
      <c r="H759" t="s">
        <v>64</v>
      </c>
      <c r="I759" t="s">
        <v>65</v>
      </c>
      <c r="J759" t="s">
        <v>66</v>
      </c>
      <c r="K759" t="s">
        <v>67</v>
      </c>
      <c r="L759" t="s">
        <v>99</v>
      </c>
      <c r="M759" t="s">
        <v>100</v>
      </c>
      <c r="N759" t="s">
        <v>101</v>
      </c>
      <c r="O759" t="s">
        <v>69</v>
      </c>
      <c r="P759" t="str">
        <f>"2170735094                    "</f>
        <v xml:space="preserve">2170735094                    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8.11</v>
      </c>
      <c r="AN759">
        <v>0</v>
      </c>
      <c r="AO759">
        <v>0</v>
      </c>
      <c r="AP759">
        <v>0</v>
      </c>
      <c r="AQ759">
        <v>0</v>
      </c>
      <c r="AR759">
        <v>0</v>
      </c>
      <c r="AS759">
        <v>0</v>
      </c>
      <c r="AT759">
        <v>0</v>
      </c>
      <c r="AU759">
        <v>0</v>
      </c>
      <c r="AV759">
        <v>0</v>
      </c>
      <c r="AW759">
        <v>0</v>
      </c>
      <c r="AX759">
        <v>0</v>
      </c>
      <c r="AY759">
        <v>0</v>
      </c>
      <c r="AZ759">
        <v>0</v>
      </c>
      <c r="BA759">
        <v>0</v>
      </c>
      <c r="BB759">
        <v>0</v>
      </c>
      <c r="BG759">
        <v>0</v>
      </c>
      <c r="BH759">
        <v>1</v>
      </c>
      <c r="BI759">
        <v>1</v>
      </c>
      <c r="BJ759">
        <v>0.2</v>
      </c>
      <c r="BK759">
        <v>1</v>
      </c>
      <c r="BL759">
        <v>89.23</v>
      </c>
      <c r="BM759">
        <v>13.38</v>
      </c>
      <c r="BN759">
        <v>102.61</v>
      </c>
      <c r="BO759">
        <v>102.61</v>
      </c>
      <c r="BQ759" t="s">
        <v>78</v>
      </c>
      <c r="BR759" t="s">
        <v>71</v>
      </c>
      <c r="BS759" s="1">
        <v>43945</v>
      </c>
      <c r="BT759" s="2">
        <v>0.49444444444444446</v>
      </c>
      <c r="BU759" t="s">
        <v>102</v>
      </c>
      <c r="BV759" t="s">
        <v>80</v>
      </c>
      <c r="BY759">
        <v>1200</v>
      </c>
      <c r="CA759" t="s">
        <v>103</v>
      </c>
      <c r="CC759" t="s">
        <v>100</v>
      </c>
      <c r="CD759">
        <v>6849</v>
      </c>
      <c r="CE759" t="s">
        <v>73</v>
      </c>
      <c r="CF759" s="1">
        <v>43950</v>
      </c>
      <c r="CI759">
        <v>3</v>
      </c>
      <c r="CJ759">
        <v>2</v>
      </c>
      <c r="CK759">
        <v>23</v>
      </c>
      <c r="CL759" t="s">
        <v>74</v>
      </c>
    </row>
    <row r="760" spans="1:90" x14ac:dyDescent="0.25">
      <c r="A760" t="s">
        <v>61</v>
      </c>
      <c r="B760" t="s">
        <v>62</v>
      </c>
      <c r="C760" t="s">
        <v>63</v>
      </c>
      <c r="E760" t="str">
        <f>"FES1162745122"</f>
        <v>FES1162745122</v>
      </c>
      <c r="F760" s="1">
        <v>43943</v>
      </c>
      <c r="G760">
        <v>202010</v>
      </c>
      <c r="H760" t="s">
        <v>64</v>
      </c>
      <c r="I760" t="s">
        <v>65</v>
      </c>
      <c r="J760" t="s">
        <v>66</v>
      </c>
      <c r="K760" t="s">
        <v>67</v>
      </c>
      <c r="L760" t="s">
        <v>151</v>
      </c>
      <c r="M760" t="s">
        <v>152</v>
      </c>
      <c r="N760" t="s">
        <v>348</v>
      </c>
      <c r="O760" t="s">
        <v>69</v>
      </c>
      <c r="P760" t="str">
        <f>"2170736331                    "</f>
        <v xml:space="preserve">2170736331                    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4.1900000000000004</v>
      </c>
      <c r="AN760">
        <v>0</v>
      </c>
      <c r="AO760">
        <v>0</v>
      </c>
      <c r="AP760">
        <v>0</v>
      </c>
      <c r="AQ760">
        <v>0</v>
      </c>
      <c r="AR760">
        <v>0</v>
      </c>
      <c r="AS760">
        <v>0</v>
      </c>
      <c r="AT760">
        <v>0</v>
      </c>
      <c r="AU760">
        <v>0</v>
      </c>
      <c r="AV760">
        <v>0</v>
      </c>
      <c r="AW760">
        <v>0</v>
      </c>
      <c r="AX760">
        <v>0</v>
      </c>
      <c r="AY760">
        <v>0</v>
      </c>
      <c r="AZ760">
        <v>0</v>
      </c>
      <c r="BA760">
        <v>0</v>
      </c>
      <c r="BB760">
        <v>0</v>
      </c>
      <c r="BG760">
        <v>0</v>
      </c>
      <c r="BH760">
        <v>1</v>
      </c>
      <c r="BI760">
        <v>1</v>
      </c>
      <c r="BJ760">
        <v>0.2</v>
      </c>
      <c r="BK760">
        <v>1</v>
      </c>
      <c r="BL760">
        <v>46.06</v>
      </c>
      <c r="BM760">
        <v>6.91</v>
      </c>
      <c r="BN760">
        <v>52.97</v>
      </c>
      <c r="BO760">
        <v>52.97</v>
      </c>
      <c r="BQ760" t="s">
        <v>78</v>
      </c>
      <c r="BR760" t="s">
        <v>71</v>
      </c>
      <c r="BS760" s="1">
        <v>43944</v>
      </c>
      <c r="BT760" s="2">
        <v>0.5</v>
      </c>
      <c r="BU760" t="s">
        <v>950</v>
      </c>
      <c r="BV760" t="s">
        <v>74</v>
      </c>
      <c r="BY760">
        <v>1200</v>
      </c>
      <c r="CC760" t="s">
        <v>152</v>
      </c>
      <c r="CD760">
        <v>3201</v>
      </c>
      <c r="CE760" t="s">
        <v>73</v>
      </c>
      <c r="CF760" s="1">
        <v>43945</v>
      </c>
      <c r="CI760">
        <v>1</v>
      </c>
      <c r="CJ760">
        <v>1</v>
      </c>
      <c r="CK760">
        <v>21</v>
      </c>
      <c r="CL760" t="s">
        <v>74</v>
      </c>
    </row>
    <row r="761" spans="1:90" x14ac:dyDescent="0.25">
      <c r="A761" t="s">
        <v>61</v>
      </c>
      <c r="B761" t="s">
        <v>62</v>
      </c>
      <c r="C761" t="s">
        <v>63</v>
      </c>
      <c r="E761" t="str">
        <f>"FES1162744975"</f>
        <v>FES1162744975</v>
      </c>
      <c r="F761" s="1">
        <v>43943</v>
      </c>
      <c r="G761">
        <v>202010</v>
      </c>
      <c r="H761" t="s">
        <v>64</v>
      </c>
      <c r="I761" t="s">
        <v>65</v>
      </c>
      <c r="J761" t="s">
        <v>66</v>
      </c>
      <c r="K761" t="s">
        <v>67</v>
      </c>
      <c r="L761" t="s">
        <v>120</v>
      </c>
      <c r="M761" t="s">
        <v>121</v>
      </c>
      <c r="N761" t="s">
        <v>728</v>
      </c>
      <c r="O761" t="s">
        <v>69</v>
      </c>
      <c r="P761" t="str">
        <f>"2170733715                    "</f>
        <v xml:space="preserve">2170733715                    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4.1900000000000004</v>
      </c>
      <c r="AN761">
        <v>0</v>
      </c>
      <c r="AO761">
        <v>0</v>
      </c>
      <c r="AP761">
        <v>0</v>
      </c>
      <c r="AQ761">
        <v>0</v>
      </c>
      <c r="AR761">
        <v>0</v>
      </c>
      <c r="AS761">
        <v>0</v>
      </c>
      <c r="AT761">
        <v>0</v>
      </c>
      <c r="AU761">
        <v>0</v>
      </c>
      <c r="AV761">
        <v>0</v>
      </c>
      <c r="AW761">
        <v>0</v>
      </c>
      <c r="AX761">
        <v>0</v>
      </c>
      <c r="AY761">
        <v>0</v>
      </c>
      <c r="AZ761">
        <v>0</v>
      </c>
      <c r="BA761">
        <v>0</v>
      </c>
      <c r="BB761">
        <v>0</v>
      </c>
      <c r="BG761">
        <v>0</v>
      </c>
      <c r="BH761">
        <v>1</v>
      </c>
      <c r="BI761">
        <v>1</v>
      </c>
      <c r="BJ761">
        <v>0.2</v>
      </c>
      <c r="BK761">
        <v>1</v>
      </c>
      <c r="BL761">
        <v>46.06</v>
      </c>
      <c r="BM761">
        <v>6.91</v>
      </c>
      <c r="BN761">
        <v>52.97</v>
      </c>
      <c r="BO761">
        <v>52.97</v>
      </c>
      <c r="BQ761" t="s">
        <v>109</v>
      </c>
      <c r="BR761" t="s">
        <v>71</v>
      </c>
      <c r="BS761" s="1">
        <v>43944</v>
      </c>
      <c r="BT761" s="2">
        <v>0.50277777777777777</v>
      </c>
      <c r="BU761" t="s">
        <v>955</v>
      </c>
      <c r="BV761" t="s">
        <v>74</v>
      </c>
      <c r="BW761" t="s">
        <v>85</v>
      </c>
      <c r="BX761" t="s">
        <v>735</v>
      </c>
      <c r="BY761">
        <v>1200</v>
      </c>
      <c r="CA761" t="s">
        <v>956</v>
      </c>
      <c r="CC761" t="s">
        <v>121</v>
      </c>
      <c r="CD761">
        <v>4000</v>
      </c>
      <c r="CE761" t="s">
        <v>73</v>
      </c>
      <c r="CF761" s="1">
        <v>43945</v>
      </c>
      <c r="CI761">
        <v>1</v>
      </c>
      <c r="CJ761">
        <v>1</v>
      </c>
      <c r="CK761">
        <v>21</v>
      </c>
      <c r="CL761" t="s">
        <v>74</v>
      </c>
    </row>
    <row r="762" spans="1:90" x14ac:dyDescent="0.25">
      <c r="A762" t="s">
        <v>61</v>
      </c>
      <c r="B762" t="s">
        <v>62</v>
      </c>
      <c r="C762" t="s">
        <v>63</v>
      </c>
      <c r="E762" t="str">
        <f>"FES1162744974"</f>
        <v>FES1162744974</v>
      </c>
      <c r="F762" s="1">
        <v>43943</v>
      </c>
      <c r="G762">
        <v>202010</v>
      </c>
      <c r="H762" t="s">
        <v>64</v>
      </c>
      <c r="I762" t="s">
        <v>65</v>
      </c>
      <c r="J762" t="s">
        <v>66</v>
      </c>
      <c r="K762" t="s">
        <v>67</v>
      </c>
      <c r="L762" t="s">
        <v>92</v>
      </c>
      <c r="M762" t="s">
        <v>93</v>
      </c>
      <c r="N762" t="s">
        <v>482</v>
      </c>
      <c r="O762" t="s">
        <v>69</v>
      </c>
      <c r="P762" t="str">
        <f>"2170733042                    "</f>
        <v xml:space="preserve">2170733042                    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4.1900000000000004</v>
      </c>
      <c r="AN762">
        <v>0</v>
      </c>
      <c r="AO762">
        <v>0</v>
      </c>
      <c r="AP762">
        <v>0</v>
      </c>
      <c r="AQ762">
        <v>0</v>
      </c>
      <c r="AR762">
        <v>0</v>
      </c>
      <c r="AS762">
        <v>0</v>
      </c>
      <c r="AT762">
        <v>0</v>
      </c>
      <c r="AU762">
        <v>0</v>
      </c>
      <c r="AV762">
        <v>0</v>
      </c>
      <c r="AW762">
        <v>0</v>
      </c>
      <c r="AX762">
        <v>0</v>
      </c>
      <c r="AY762">
        <v>0</v>
      </c>
      <c r="AZ762">
        <v>0</v>
      </c>
      <c r="BA762">
        <v>0</v>
      </c>
      <c r="BB762">
        <v>0</v>
      </c>
      <c r="BG762">
        <v>0</v>
      </c>
      <c r="BH762">
        <v>1</v>
      </c>
      <c r="BI762">
        <v>1</v>
      </c>
      <c r="BJ762">
        <v>0.2</v>
      </c>
      <c r="BK762">
        <v>1</v>
      </c>
      <c r="BL762">
        <v>46.06</v>
      </c>
      <c r="BM762">
        <v>6.91</v>
      </c>
      <c r="BN762">
        <v>52.97</v>
      </c>
      <c r="BO762">
        <v>52.97</v>
      </c>
      <c r="BQ762" t="s">
        <v>78</v>
      </c>
      <c r="BR762" t="s">
        <v>71</v>
      </c>
      <c r="BS762" s="1">
        <v>43944</v>
      </c>
      <c r="BT762" s="2">
        <v>0.42291666666666666</v>
      </c>
      <c r="BU762" t="s">
        <v>900</v>
      </c>
      <c r="BV762" t="s">
        <v>80</v>
      </c>
      <c r="BY762">
        <v>1200</v>
      </c>
      <c r="CA762" t="s">
        <v>331</v>
      </c>
      <c r="CC762" t="s">
        <v>93</v>
      </c>
      <c r="CD762">
        <v>7441</v>
      </c>
      <c r="CE762" t="s">
        <v>73</v>
      </c>
      <c r="CF762" s="1">
        <v>43945</v>
      </c>
      <c r="CI762">
        <v>1</v>
      </c>
      <c r="CJ762">
        <v>1</v>
      </c>
      <c r="CK762">
        <v>21</v>
      </c>
      <c r="CL762" t="s">
        <v>74</v>
      </c>
    </row>
    <row r="763" spans="1:90" x14ac:dyDescent="0.25">
      <c r="A763" t="s">
        <v>61</v>
      </c>
      <c r="B763" t="s">
        <v>62</v>
      </c>
      <c r="C763" t="s">
        <v>63</v>
      </c>
      <c r="E763" t="str">
        <f>"FES1162745411"</f>
        <v>FES1162745411</v>
      </c>
      <c r="F763" s="1">
        <v>43944</v>
      </c>
      <c r="G763">
        <v>202010</v>
      </c>
      <c r="H763" t="s">
        <v>64</v>
      </c>
      <c r="I763" t="s">
        <v>65</v>
      </c>
      <c r="J763" t="s">
        <v>66</v>
      </c>
      <c r="K763" t="s">
        <v>67</v>
      </c>
      <c r="L763" t="s">
        <v>262</v>
      </c>
      <c r="M763" t="s">
        <v>262</v>
      </c>
      <c r="N763" t="s">
        <v>551</v>
      </c>
      <c r="O763" t="s">
        <v>69</v>
      </c>
      <c r="P763" t="str">
        <f>"2170736545                    "</f>
        <v xml:space="preserve">2170736545                    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8.11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0</v>
      </c>
      <c r="AU763">
        <v>0</v>
      </c>
      <c r="AV763">
        <v>0</v>
      </c>
      <c r="AW763">
        <v>0</v>
      </c>
      <c r="AX763">
        <v>0</v>
      </c>
      <c r="AY763">
        <v>0</v>
      </c>
      <c r="AZ763">
        <v>0</v>
      </c>
      <c r="BA763">
        <v>0</v>
      </c>
      <c r="BB763">
        <v>0</v>
      </c>
      <c r="BG763">
        <v>0</v>
      </c>
      <c r="BH763">
        <v>1</v>
      </c>
      <c r="BI763">
        <v>1</v>
      </c>
      <c r="BJ763">
        <v>0.2</v>
      </c>
      <c r="BK763">
        <v>1</v>
      </c>
      <c r="BL763">
        <v>89.23</v>
      </c>
      <c r="BM763">
        <v>13.38</v>
      </c>
      <c r="BN763">
        <v>102.61</v>
      </c>
      <c r="BO763">
        <v>102.61</v>
      </c>
      <c r="BQ763" t="s">
        <v>78</v>
      </c>
      <c r="BR763" t="s">
        <v>71</v>
      </c>
      <c r="BS763" s="1">
        <v>43945</v>
      </c>
      <c r="BT763" s="2">
        <v>0.52500000000000002</v>
      </c>
      <c r="BU763" t="s">
        <v>957</v>
      </c>
      <c r="BV763" t="s">
        <v>80</v>
      </c>
      <c r="BY763">
        <v>1200</v>
      </c>
      <c r="CA763" t="s">
        <v>266</v>
      </c>
      <c r="CC763" t="s">
        <v>262</v>
      </c>
      <c r="CD763">
        <v>7655</v>
      </c>
      <c r="CE763" t="s">
        <v>73</v>
      </c>
      <c r="CF763" s="1">
        <v>43949</v>
      </c>
      <c r="CI763">
        <v>1</v>
      </c>
      <c r="CJ763">
        <v>1</v>
      </c>
      <c r="CK763">
        <v>23</v>
      </c>
      <c r="CL763" t="s">
        <v>74</v>
      </c>
    </row>
    <row r="764" spans="1:90" x14ac:dyDescent="0.25">
      <c r="A764" t="s">
        <v>61</v>
      </c>
      <c r="B764" t="s">
        <v>62</v>
      </c>
      <c r="C764" t="s">
        <v>63</v>
      </c>
      <c r="E764" t="str">
        <f>"FES1162744603"</f>
        <v>FES1162744603</v>
      </c>
      <c r="F764" s="1">
        <v>43945</v>
      </c>
      <c r="G764">
        <v>202010</v>
      </c>
      <c r="H764" t="s">
        <v>64</v>
      </c>
      <c r="I764" t="s">
        <v>65</v>
      </c>
      <c r="J764" t="s">
        <v>66</v>
      </c>
      <c r="K764" t="s">
        <v>67</v>
      </c>
      <c r="L764" t="s">
        <v>254</v>
      </c>
      <c r="M764" t="s">
        <v>255</v>
      </c>
      <c r="N764" t="s">
        <v>497</v>
      </c>
      <c r="O764" t="s">
        <v>69</v>
      </c>
      <c r="P764" t="str">
        <f>"2170733281                    "</f>
        <v xml:space="preserve">2170733281                    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8.3699999999999992</v>
      </c>
      <c r="AN764">
        <v>0</v>
      </c>
      <c r="AO764">
        <v>0</v>
      </c>
      <c r="AP764">
        <v>0</v>
      </c>
      <c r="AQ764">
        <v>0</v>
      </c>
      <c r="AR764">
        <v>0</v>
      </c>
      <c r="AS764">
        <v>0</v>
      </c>
      <c r="AT764">
        <v>0</v>
      </c>
      <c r="AU764">
        <v>0</v>
      </c>
      <c r="AV764">
        <v>0</v>
      </c>
      <c r="AW764">
        <v>0</v>
      </c>
      <c r="AX764">
        <v>0</v>
      </c>
      <c r="AY764">
        <v>0</v>
      </c>
      <c r="AZ764">
        <v>0</v>
      </c>
      <c r="BA764">
        <v>0</v>
      </c>
      <c r="BB764">
        <v>0</v>
      </c>
      <c r="BG764">
        <v>0</v>
      </c>
      <c r="BH764">
        <v>1</v>
      </c>
      <c r="BI764">
        <v>4</v>
      </c>
      <c r="BJ764">
        <v>2.7</v>
      </c>
      <c r="BK764">
        <v>4</v>
      </c>
      <c r="BL764">
        <v>92.08</v>
      </c>
      <c r="BM764">
        <v>13.81</v>
      </c>
      <c r="BN764">
        <v>105.89</v>
      </c>
      <c r="BO764">
        <v>105.89</v>
      </c>
      <c r="BQ764" t="s">
        <v>268</v>
      </c>
      <c r="BR764" t="s">
        <v>71</v>
      </c>
      <c r="BS764" s="1">
        <v>43949</v>
      </c>
      <c r="BT764" s="2">
        <v>0.4236111111111111</v>
      </c>
      <c r="BU764" t="s">
        <v>958</v>
      </c>
      <c r="BV764" t="s">
        <v>80</v>
      </c>
      <c r="BY764">
        <v>13571.55</v>
      </c>
      <c r="BZ764" t="s">
        <v>23</v>
      </c>
      <c r="CC764" t="s">
        <v>255</v>
      </c>
      <c r="CD764">
        <v>200</v>
      </c>
      <c r="CE764" t="s">
        <v>381</v>
      </c>
      <c r="CF764" s="1">
        <v>43950</v>
      </c>
      <c r="CI764">
        <v>1</v>
      </c>
      <c r="CJ764">
        <v>2</v>
      </c>
      <c r="CK764">
        <v>21</v>
      </c>
      <c r="CL764" t="s">
        <v>74</v>
      </c>
    </row>
    <row r="765" spans="1:90" x14ac:dyDescent="0.25">
      <c r="A765" t="s">
        <v>61</v>
      </c>
      <c r="B765" t="s">
        <v>62</v>
      </c>
      <c r="C765" t="s">
        <v>63</v>
      </c>
      <c r="E765" t="str">
        <f>"FES1162745444"</f>
        <v>FES1162745444</v>
      </c>
      <c r="F765" s="1">
        <v>43945</v>
      </c>
      <c r="G765">
        <v>202010</v>
      </c>
      <c r="H765" t="s">
        <v>64</v>
      </c>
      <c r="I765" t="s">
        <v>65</v>
      </c>
      <c r="J765" t="s">
        <v>66</v>
      </c>
      <c r="K765" t="s">
        <v>67</v>
      </c>
      <c r="L765" t="s">
        <v>212</v>
      </c>
      <c r="M765" t="s">
        <v>213</v>
      </c>
      <c r="N765" t="s">
        <v>959</v>
      </c>
      <c r="O765" t="s">
        <v>69</v>
      </c>
      <c r="P765" t="str">
        <f>"2170736513                    "</f>
        <v xml:space="preserve">2170736513                    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6.28</v>
      </c>
      <c r="AN765">
        <v>0</v>
      </c>
      <c r="AO765">
        <v>0</v>
      </c>
      <c r="AP765">
        <v>0</v>
      </c>
      <c r="AQ765">
        <v>0</v>
      </c>
      <c r="AR765">
        <v>0</v>
      </c>
      <c r="AS765">
        <v>0</v>
      </c>
      <c r="AT765">
        <v>0</v>
      </c>
      <c r="AU765">
        <v>0</v>
      </c>
      <c r="AV765">
        <v>0</v>
      </c>
      <c r="AW765">
        <v>0</v>
      </c>
      <c r="AX765">
        <v>0</v>
      </c>
      <c r="AY765">
        <v>0</v>
      </c>
      <c r="AZ765">
        <v>0</v>
      </c>
      <c r="BA765">
        <v>0</v>
      </c>
      <c r="BB765">
        <v>0</v>
      </c>
      <c r="BG765">
        <v>0</v>
      </c>
      <c r="BH765">
        <v>1</v>
      </c>
      <c r="BI765">
        <v>3</v>
      </c>
      <c r="BJ765">
        <v>1.6</v>
      </c>
      <c r="BK765">
        <v>3</v>
      </c>
      <c r="BL765">
        <v>69.069999999999993</v>
      </c>
      <c r="BM765">
        <v>10.36</v>
      </c>
      <c r="BN765">
        <v>79.430000000000007</v>
      </c>
      <c r="BO765">
        <v>79.430000000000007</v>
      </c>
      <c r="BQ765" t="s">
        <v>78</v>
      </c>
      <c r="BR765" t="s">
        <v>71</v>
      </c>
      <c r="BS765" s="1">
        <v>43949</v>
      </c>
      <c r="BT765" s="2">
        <v>0.40138888888888885</v>
      </c>
      <c r="BU765" t="s">
        <v>960</v>
      </c>
      <c r="BV765" t="s">
        <v>80</v>
      </c>
      <c r="BY765">
        <v>7758.38</v>
      </c>
      <c r="BZ765" t="s">
        <v>23</v>
      </c>
      <c r="CA765" t="s">
        <v>711</v>
      </c>
      <c r="CC765" t="s">
        <v>213</v>
      </c>
      <c r="CD765">
        <v>3610</v>
      </c>
      <c r="CE765" t="s">
        <v>381</v>
      </c>
      <c r="CF765" s="1">
        <v>43950</v>
      </c>
      <c r="CI765">
        <v>1</v>
      </c>
      <c r="CJ765">
        <v>2</v>
      </c>
      <c r="CK765">
        <v>21</v>
      </c>
      <c r="CL765" t="s">
        <v>74</v>
      </c>
    </row>
    <row r="766" spans="1:90" x14ac:dyDescent="0.25">
      <c r="A766" t="s">
        <v>61</v>
      </c>
      <c r="B766" t="s">
        <v>62</v>
      </c>
      <c r="C766" t="s">
        <v>63</v>
      </c>
      <c r="E766" t="str">
        <f>"FES1162745460"</f>
        <v>FES1162745460</v>
      </c>
      <c r="F766" s="1">
        <v>43945</v>
      </c>
      <c r="G766">
        <v>202010</v>
      </c>
      <c r="H766" t="s">
        <v>64</v>
      </c>
      <c r="I766" t="s">
        <v>65</v>
      </c>
      <c r="J766" t="s">
        <v>66</v>
      </c>
      <c r="K766" t="s">
        <v>67</v>
      </c>
      <c r="L766" t="s">
        <v>146</v>
      </c>
      <c r="M766" t="s">
        <v>147</v>
      </c>
      <c r="N766" t="s">
        <v>341</v>
      </c>
      <c r="O766" t="s">
        <v>69</v>
      </c>
      <c r="P766" t="str">
        <f>"2170736610                    "</f>
        <v xml:space="preserve">2170736610                    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4.1900000000000004</v>
      </c>
      <c r="AN766">
        <v>0</v>
      </c>
      <c r="AO766">
        <v>0</v>
      </c>
      <c r="AP766">
        <v>0</v>
      </c>
      <c r="AQ766">
        <v>0</v>
      </c>
      <c r="AR766">
        <v>0</v>
      </c>
      <c r="AS766">
        <v>0</v>
      </c>
      <c r="AT766">
        <v>0</v>
      </c>
      <c r="AU766">
        <v>0</v>
      </c>
      <c r="AV766">
        <v>0</v>
      </c>
      <c r="AW766">
        <v>0</v>
      </c>
      <c r="AX766">
        <v>0</v>
      </c>
      <c r="AY766">
        <v>0</v>
      </c>
      <c r="AZ766">
        <v>0</v>
      </c>
      <c r="BA766">
        <v>0</v>
      </c>
      <c r="BB766">
        <v>0</v>
      </c>
      <c r="BG766">
        <v>0</v>
      </c>
      <c r="BH766">
        <v>1</v>
      </c>
      <c r="BI766">
        <v>1</v>
      </c>
      <c r="BJ766">
        <v>0.9</v>
      </c>
      <c r="BK766">
        <v>1</v>
      </c>
      <c r="BL766">
        <v>46.06</v>
      </c>
      <c r="BM766">
        <v>6.91</v>
      </c>
      <c r="BN766">
        <v>52.97</v>
      </c>
      <c r="BO766">
        <v>52.97</v>
      </c>
      <c r="BQ766" t="s">
        <v>78</v>
      </c>
      <c r="BR766" t="s">
        <v>71</v>
      </c>
      <c r="BS766" s="1">
        <v>43949</v>
      </c>
      <c r="BT766" s="2">
        <v>0.46458333333333335</v>
      </c>
      <c r="BU766" t="s">
        <v>961</v>
      </c>
      <c r="BV766" t="s">
        <v>74</v>
      </c>
      <c r="BW766" t="s">
        <v>96</v>
      </c>
      <c r="BX766" t="s">
        <v>962</v>
      </c>
      <c r="BY766">
        <v>4533.3900000000003</v>
      </c>
      <c r="BZ766" t="s">
        <v>23</v>
      </c>
      <c r="CA766" t="s">
        <v>150</v>
      </c>
      <c r="CC766" t="s">
        <v>147</v>
      </c>
      <c r="CD766">
        <v>6045</v>
      </c>
      <c r="CE766" t="s">
        <v>381</v>
      </c>
      <c r="CF766" s="1">
        <v>43950</v>
      </c>
      <c r="CI766">
        <v>1</v>
      </c>
      <c r="CJ766">
        <v>2</v>
      </c>
      <c r="CK766">
        <v>21</v>
      </c>
      <c r="CL766" t="s">
        <v>74</v>
      </c>
    </row>
    <row r="767" spans="1:90" x14ac:dyDescent="0.25">
      <c r="A767" t="s">
        <v>61</v>
      </c>
      <c r="B767" t="s">
        <v>62</v>
      </c>
      <c r="C767" t="s">
        <v>63</v>
      </c>
      <c r="E767" t="str">
        <f>"FES1162745310"</f>
        <v>FES1162745310</v>
      </c>
      <c r="F767" s="1">
        <v>43944</v>
      </c>
      <c r="G767">
        <v>202010</v>
      </c>
      <c r="H767" t="s">
        <v>64</v>
      </c>
      <c r="I767" t="s">
        <v>65</v>
      </c>
      <c r="J767" t="s">
        <v>66</v>
      </c>
      <c r="K767" t="s">
        <v>67</v>
      </c>
      <c r="L767" t="s">
        <v>212</v>
      </c>
      <c r="M767" t="s">
        <v>213</v>
      </c>
      <c r="N767" t="s">
        <v>889</v>
      </c>
      <c r="O767" t="s">
        <v>69</v>
      </c>
      <c r="P767" t="str">
        <f>"2170734548                    "</f>
        <v xml:space="preserve">2170734548                    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0</v>
      </c>
      <c r="AM767">
        <v>4.1900000000000004</v>
      </c>
      <c r="AN767">
        <v>0</v>
      </c>
      <c r="AO767">
        <v>0</v>
      </c>
      <c r="AP767">
        <v>0</v>
      </c>
      <c r="AQ767">
        <v>0</v>
      </c>
      <c r="AR767">
        <v>0</v>
      </c>
      <c r="AS767">
        <v>0</v>
      </c>
      <c r="AT767">
        <v>0</v>
      </c>
      <c r="AU767">
        <v>0</v>
      </c>
      <c r="AV767">
        <v>0</v>
      </c>
      <c r="AW767">
        <v>0</v>
      </c>
      <c r="AX767">
        <v>0</v>
      </c>
      <c r="AY767">
        <v>0</v>
      </c>
      <c r="AZ767">
        <v>0</v>
      </c>
      <c r="BA767">
        <v>0</v>
      </c>
      <c r="BB767">
        <v>0</v>
      </c>
      <c r="BG767">
        <v>0</v>
      </c>
      <c r="BH767">
        <v>1</v>
      </c>
      <c r="BI767">
        <v>1</v>
      </c>
      <c r="BJ767">
        <v>0.2</v>
      </c>
      <c r="BK767">
        <v>1</v>
      </c>
      <c r="BL767">
        <v>46.06</v>
      </c>
      <c r="BM767">
        <v>6.91</v>
      </c>
      <c r="BN767">
        <v>52.97</v>
      </c>
      <c r="BO767">
        <v>52.97</v>
      </c>
      <c r="BQ767" t="s">
        <v>268</v>
      </c>
      <c r="BR767" t="s">
        <v>71</v>
      </c>
      <c r="BS767" s="1">
        <v>43945</v>
      </c>
      <c r="BT767" s="2">
        <v>0.36944444444444446</v>
      </c>
      <c r="BU767" t="s">
        <v>890</v>
      </c>
      <c r="BV767" t="s">
        <v>80</v>
      </c>
      <c r="BY767">
        <v>1200</v>
      </c>
      <c r="CA767" t="s">
        <v>711</v>
      </c>
      <c r="CC767" t="s">
        <v>213</v>
      </c>
      <c r="CD767">
        <v>3610</v>
      </c>
      <c r="CE767" t="s">
        <v>73</v>
      </c>
      <c r="CF767" s="1">
        <v>43949</v>
      </c>
      <c r="CI767">
        <v>1</v>
      </c>
      <c r="CJ767">
        <v>1</v>
      </c>
      <c r="CK767">
        <v>21</v>
      </c>
      <c r="CL767" t="s">
        <v>74</v>
      </c>
    </row>
    <row r="768" spans="1:90" x14ac:dyDescent="0.25">
      <c r="A768" t="s">
        <v>61</v>
      </c>
      <c r="B768" t="s">
        <v>62</v>
      </c>
      <c r="C768" t="s">
        <v>63</v>
      </c>
      <c r="E768" t="str">
        <f>"FES1162745342"</f>
        <v>FES1162745342</v>
      </c>
      <c r="F768" s="1">
        <v>43944</v>
      </c>
      <c r="G768">
        <v>202010</v>
      </c>
      <c r="H768" t="s">
        <v>64</v>
      </c>
      <c r="I768" t="s">
        <v>65</v>
      </c>
      <c r="J768" t="s">
        <v>66</v>
      </c>
      <c r="K768" t="s">
        <v>67</v>
      </c>
      <c r="L768" t="s">
        <v>262</v>
      </c>
      <c r="M768" t="s">
        <v>262</v>
      </c>
      <c r="N768" t="s">
        <v>963</v>
      </c>
      <c r="O768" t="s">
        <v>69</v>
      </c>
      <c r="P768" t="str">
        <f>"2170735531                    "</f>
        <v xml:space="preserve">2170735531                    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0</v>
      </c>
      <c r="AM768">
        <v>8.11</v>
      </c>
      <c r="AN768">
        <v>0</v>
      </c>
      <c r="AO768">
        <v>0</v>
      </c>
      <c r="AP768">
        <v>0</v>
      </c>
      <c r="AQ768">
        <v>0</v>
      </c>
      <c r="AR768">
        <v>0</v>
      </c>
      <c r="AS768">
        <v>0</v>
      </c>
      <c r="AT768">
        <v>0</v>
      </c>
      <c r="AU768">
        <v>0</v>
      </c>
      <c r="AV768">
        <v>0</v>
      </c>
      <c r="AW768">
        <v>0</v>
      </c>
      <c r="AX768">
        <v>0</v>
      </c>
      <c r="AY768">
        <v>0</v>
      </c>
      <c r="AZ768">
        <v>0</v>
      </c>
      <c r="BA768">
        <v>0</v>
      </c>
      <c r="BB768">
        <v>0</v>
      </c>
      <c r="BG768">
        <v>0</v>
      </c>
      <c r="BH768">
        <v>1</v>
      </c>
      <c r="BI768">
        <v>0.6</v>
      </c>
      <c r="BJ768">
        <v>1.6</v>
      </c>
      <c r="BK768">
        <v>2</v>
      </c>
      <c r="BL768">
        <v>89.23</v>
      </c>
      <c r="BM768">
        <v>13.38</v>
      </c>
      <c r="BN768">
        <v>102.61</v>
      </c>
      <c r="BO768">
        <v>102.61</v>
      </c>
      <c r="BQ768" t="s">
        <v>78</v>
      </c>
      <c r="BR768" t="s">
        <v>71</v>
      </c>
      <c r="BS768" s="1">
        <v>43945</v>
      </c>
      <c r="BT768" s="2">
        <v>0.53541666666666665</v>
      </c>
      <c r="BU768" t="s">
        <v>964</v>
      </c>
      <c r="BV768" t="s">
        <v>80</v>
      </c>
      <c r="BY768">
        <v>8176.52</v>
      </c>
      <c r="CA768" t="s">
        <v>266</v>
      </c>
      <c r="CC768" t="s">
        <v>262</v>
      </c>
      <c r="CD768">
        <v>7654</v>
      </c>
      <c r="CE768" t="s">
        <v>73</v>
      </c>
      <c r="CF768" s="1">
        <v>43949</v>
      </c>
      <c r="CI768">
        <v>1</v>
      </c>
      <c r="CJ768">
        <v>1</v>
      </c>
      <c r="CK768">
        <v>23</v>
      </c>
      <c r="CL768" t="s">
        <v>74</v>
      </c>
    </row>
    <row r="769" spans="1:90" x14ac:dyDescent="0.25">
      <c r="A769" t="s">
        <v>61</v>
      </c>
      <c r="B769" t="s">
        <v>62</v>
      </c>
      <c r="C769" t="s">
        <v>63</v>
      </c>
      <c r="E769" t="str">
        <f>"FES1162745493"</f>
        <v>FES1162745493</v>
      </c>
      <c r="F769" s="1">
        <v>43949</v>
      </c>
      <c r="G769">
        <v>202010</v>
      </c>
      <c r="H769" t="s">
        <v>64</v>
      </c>
      <c r="I769" t="s">
        <v>65</v>
      </c>
      <c r="J769" t="s">
        <v>66</v>
      </c>
      <c r="K769" t="s">
        <v>67</v>
      </c>
      <c r="L769" t="s">
        <v>177</v>
      </c>
      <c r="M769" t="s">
        <v>178</v>
      </c>
      <c r="N769" t="s">
        <v>179</v>
      </c>
      <c r="O769" t="s">
        <v>69</v>
      </c>
      <c r="P769" t="str">
        <f>"2170736038                    "</f>
        <v xml:space="preserve">2170736038                    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0</v>
      </c>
      <c r="AM769">
        <v>4.1900000000000004</v>
      </c>
      <c r="AN769">
        <v>0</v>
      </c>
      <c r="AO769">
        <v>0</v>
      </c>
      <c r="AP769">
        <v>0</v>
      </c>
      <c r="AQ769">
        <v>0</v>
      </c>
      <c r="AR769">
        <v>0</v>
      </c>
      <c r="AS769">
        <v>0</v>
      </c>
      <c r="AT769">
        <v>0</v>
      </c>
      <c r="AU769">
        <v>0</v>
      </c>
      <c r="AV769">
        <v>0</v>
      </c>
      <c r="AW769">
        <v>0</v>
      </c>
      <c r="AX769">
        <v>0</v>
      </c>
      <c r="AY769">
        <v>0</v>
      </c>
      <c r="AZ769">
        <v>0</v>
      </c>
      <c r="BA769">
        <v>0</v>
      </c>
      <c r="BB769">
        <v>0</v>
      </c>
      <c r="BG769">
        <v>0</v>
      </c>
      <c r="BH769">
        <v>1</v>
      </c>
      <c r="BI769">
        <v>1</v>
      </c>
      <c r="BJ769">
        <v>0.2</v>
      </c>
      <c r="BK769">
        <v>1</v>
      </c>
      <c r="BL769">
        <v>46.06</v>
      </c>
      <c r="BM769">
        <v>6.91</v>
      </c>
      <c r="BN769">
        <v>52.97</v>
      </c>
      <c r="BO769">
        <v>52.97</v>
      </c>
      <c r="BQ769" t="s">
        <v>70</v>
      </c>
      <c r="BR769" t="s">
        <v>71</v>
      </c>
      <c r="BS769" s="1">
        <v>43950</v>
      </c>
      <c r="BT769" s="2">
        <v>0.53333333333333333</v>
      </c>
      <c r="BU769" t="s">
        <v>965</v>
      </c>
      <c r="BV769" t="s">
        <v>80</v>
      </c>
      <c r="BY769">
        <v>1200</v>
      </c>
      <c r="BZ769" t="s">
        <v>23</v>
      </c>
      <c r="CA769" t="s">
        <v>741</v>
      </c>
      <c r="CC769" t="s">
        <v>178</v>
      </c>
      <c r="CD769">
        <v>4302</v>
      </c>
      <c r="CE769" t="s">
        <v>966</v>
      </c>
      <c r="CF769" s="1">
        <v>43951</v>
      </c>
      <c r="CI769">
        <v>1</v>
      </c>
      <c r="CJ769">
        <v>1</v>
      </c>
      <c r="CK769">
        <v>21</v>
      </c>
      <c r="CL769" t="s">
        <v>74</v>
      </c>
    </row>
    <row r="770" spans="1:90" x14ac:dyDescent="0.25">
      <c r="A770" t="s">
        <v>61</v>
      </c>
      <c r="B770" t="s">
        <v>62</v>
      </c>
      <c r="C770" t="s">
        <v>63</v>
      </c>
      <c r="E770" t="str">
        <f>"FES1162745402"</f>
        <v>FES1162745402</v>
      </c>
      <c r="F770" s="1">
        <v>43944</v>
      </c>
      <c r="G770">
        <v>202010</v>
      </c>
      <c r="H770" t="s">
        <v>64</v>
      </c>
      <c r="I770" t="s">
        <v>65</v>
      </c>
      <c r="J770" t="s">
        <v>66</v>
      </c>
      <c r="K770" t="s">
        <v>67</v>
      </c>
      <c r="L770" t="s">
        <v>64</v>
      </c>
      <c r="M770" t="s">
        <v>65</v>
      </c>
      <c r="N770" t="s">
        <v>812</v>
      </c>
      <c r="O770" t="s">
        <v>230</v>
      </c>
      <c r="P770" t="str">
        <f>"2170735799                    "</f>
        <v xml:space="preserve">2170735799                    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10.220000000000001</v>
      </c>
      <c r="AN770">
        <v>0</v>
      </c>
      <c r="AO770">
        <v>0</v>
      </c>
      <c r="AP770">
        <v>0</v>
      </c>
      <c r="AQ770">
        <v>0</v>
      </c>
      <c r="AR770">
        <v>0</v>
      </c>
      <c r="AS770">
        <v>0</v>
      </c>
      <c r="AT770">
        <v>0</v>
      </c>
      <c r="AU770">
        <v>0</v>
      </c>
      <c r="AV770">
        <v>0</v>
      </c>
      <c r="AW770">
        <v>0</v>
      </c>
      <c r="AX770">
        <v>0</v>
      </c>
      <c r="AY770">
        <v>0</v>
      </c>
      <c r="AZ770">
        <v>0</v>
      </c>
      <c r="BA770">
        <v>0</v>
      </c>
      <c r="BB770">
        <v>0</v>
      </c>
      <c r="BG770">
        <v>0</v>
      </c>
      <c r="BH770">
        <v>2</v>
      </c>
      <c r="BI770">
        <v>36.5</v>
      </c>
      <c r="BJ770">
        <v>14.6</v>
      </c>
      <c r="BK770">
        <v>37</v>
      </c>
      <c r="BL770">
        <v>117.44</v>
      </c>
      <c r="BM770">
        <v>17.62</v>
      </c>
      <c r="BN770">
        <v>135.06</v>
      </c>
      <c r="BO770">
        <v>135.06</v>
      </c>
      <c r="BQ770" t="s">
        <v>70</v>
      </c>
      <c r="BR770" t="s">
        <v>71</v>
      </c>
      <c r="BS770" s="1">
        <v>43945</v>
      </c>
      <c r="BT770" s="2">
        <v>0.41666666666666669</v>
      </c>
      <c r="BU770" t="s">
        <v>813</v>
      </c>
      <c r="BV770" t="s">
        <v>80</v>
      </c>
      <c r="BY770">
        <v>73148.72</v>
      </c>
      <c r="CC770" t="s">
        <v>65</v>
      </c>
      <c r="CD770">
        <v>1609</v>
      </c>
      <c r="CE770" t="s">
        <v>381</v>
      </c>
      <c r="CF770" s="1">
        <v>43949</v>
      </c>
      <c r="CI770">
        <v>1</v>
      </c>
      <c r="CJ770">
        <v>1</v>
      </c>
      <c r="CK770" t="s">
        <v>584</v>
      </c>
      <c r="CL770" t="s">
        <v>74</v>
      </c>
    </row>
    <row r="771" spans="1:90" x14ac:dyDescent="0.25">
      <c r="A771" t="s">
        <v>61</v>
      </c>
      <c r="B771" t="s">
        <v>62</v>
      </c>
      <c r="C771" t="s">
        <v>63</v>
      </c>
      <c r="E771" t="str">
        <f>"FES1162745324"</f>
        <v>FES1162745324</v>
      </c>
      <c r="F771" s="1">
        <v>43944</v>
      </c>
      <c r="G771">
        <v>202010</v>
      </c>
      <c r="H771" t="s">
        <v>64</v>
      </c>
      <c r="I771" t="s">
        <v>65</v>
      </c>
      <c r="J771" t="s">
        <v>66</v>
      </c>
      <c r="K771" t="s">
        <v>67</v>
      </c>
      <c r="L771" t="s">
        <v>177</v>
      </c>
      <c r="M771" t="s">
        <v>178</v>
      </c>
      <c r="N771" t="s">
        <v>179</v>
      </c>
      <c r="O771" t="s">
        <v>69</v>
      </c>
      <c r="P771" t="str">
        <f>"2170735411                    "</f>
        <v xml:space="preserve">2170735411                    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4.1900000000000004</v>
      </c>
      <c r="AN771">
        <v>0</v>
      </c>
      <c r="AO771">
        <v>0</v>
      </c>
      <c r="AP771">
        <v>0</v>
      </c>
      <c r="AQ771">
        <v>0</v>
      </c>
      <c r="AR771">
        <v>0</v>
      </c>
      <c r="AS771">
        <v>0</v>
      </c>
      <c r="AT771">
        <v>0</v>
      </c>
      <c r="AU771">
        <v>0</v>
      </c>
      <c r="AV771">
        <v>0</v>
      </c>
      <c r="AW771">
        <v>0</v>
      </c>
      <c r="AX771">
        <v>0</v>
      </c>
      <c r="AY771">
        <v>0</v>
      </c>
      <c r="AZ771">
        <v>0</v>
      </c>
      <c r="BA771">
        <v>0</v>
      </c>
      <c r="BB771">
        <v>0</v>
      </c>
      <c r="BG771">
        <v>0</v>
      </c>
      <c r="BH771">
        <v>1</v>
      </c>
      <c r="BI771">
        <v>1</v>
      </c>
      <c r="BJ771">
        <v>0.2</v>
      </c>
      <c r="BK771">
        <v>1</v>
      </c>
      <c r="BL771">
        <v>46.06</v>
      </c>
      <c r="BM771">
        <v>6.91</v>
      </c>
      <c r="BN771">
        <v>52.97</v>
      </c>
      <c r="BO771">
        <v>52.97</v>
      </c>
      <c r="BQ771" t="s">
        <v>70</v>
      </c>
      <c r="BR771" t="s">
        <v>71</v>
      </c>
      <c r="BS771" s="1">
        <v>43945</v>
      </c>
      <c r="BT771" s="2">
        <v>0.48125000000000001</v>
      </c>
      <c r="BU771" t="s">
        <v>235</v>
      </c>
      <c r="BV771" t="s">
        <v>80</v>
      </c>
      <c r="BY771">
        <v>1200</v>
      </c>
      <c r="CA771" t="s">
        <v>741</v>
      </c>
      <c r="CC771" t="s">
        <v>178</v>
      </c>
      <c r="CD771">
        <v>4302</v>
      </c>
      <c r="CE771" t="s">
        <v>73</v>
      </c>
      <c r="CF771" s="1">
        <v>43949</v>
      </c>
      <c r="CI771">
        <v>1</v>
      </c>
      <c r="CJ771">
        <v>1</v>
      </c>
      <c r="CK771">
        <v>21</v>
      </c>
      <c r="CL771" t="s">
        <v>74</v>
      </c>
    </row>
    <row r="772" spans="1:90" x14ac:dyDescent="0.25">
      <c r="A772" t="s">
        <v>61</v>
      </c>
      <c r="B772" t="s">
        <v>62</v>
      </c>
      <c r="C772" t="s">
        <v>63</v>
      </c>
      <c r="E772" t="str">
        <f>"FES1162745291"</f>
        <v>FES1162745291</v>
      </c>
      <c r="F772" s="1">
        <v>43944</v>
      </c>
      <c r="G772">
        <v>202010</v>
      </c>
      <c r="H772" t="s">
        <v>64</v>
      </c>
      <c r="I772" t="s">
        <v>65</v>
      </c>
      <c r="J772" t="s">
        <v>66</v>
      </c>
      <c r="K772" t="s">
        <v>67</v>
      </c>
      <c r="L772" t="s">
        <v>212</v>
      </c>
      <c r="M772" t="s">
        <v>213</v>
      </c>
      <c r="N772" t="s">
        <v>677</v>
      </c>
      <c r="O772" t="s">
        <v>69</v>
      </c>
      <c r="P772" t="str">
        <f>"2170736483                    "</f>
        <v xml:space="preserve">2170736483                    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4.1900000000000004</v>
      </c>
      <c r="AN772">
        <v>0</v>
      </c>
      <c r="AO772">
        <v>0</v>
      </c>
      <c r="AP772">
        <v>0</v>
      </c>
      <c r="AQ772">
        <v>0</v>
      </c>
      <c r="AR772">
        <v>0</v>
      </c>
      <c r="AS772">
        <v>0</v>
      </c>
      <c r="AT772">
        <v>0</v>
      </c>
      <c r="AU772">
        <v>0</v>
      </c>
      <c r="AV772">
        <v>0</v>
      </c>
      <c r="AW772">
        <v>0</v>
      </c>
      <c r="AX772">
        <v>0</v>
      </c>
      <c r="AY772">
        <v>0</v>
      </c>
      <c r="AZ772">
        <v>0</v>
      </c>
      <c r="BA772">
        <v>0</v>
      </c>
      <c r="BB772">
        <v>0</v>
      </c>
      <c r="BG772">
        <v>0</v>
      </c>
      <c r="BH772">
        <v>1</v>
      </c>
      <c r="BI772">
        <v>0.8</v>
      </c>
      <c r="BJ772">
        <v>1.1000000000000001</v>
      </c>
      <c r="BK772">
        <v>1.5</v>
      </c>
      <c r="BL772">
        <v>46.06</v>
      </c>
      <c r="BM772">
        <v>6.91</v>
      </c>
      <c r="BN772">
        <v>52.97</v>
      </c>
      <c r="BO772">
        <v>52.97</v>
      </c>
      <c r="BQ772" t="s">
        <v>268</v>
      </c>
      <c r="BR772" t="s">
        <v>71</v>
      </c>
      <c r="BS772" s="1">
        <v>43945</v>
      </c>
      <c r="BT772" s="2">
        <v>0.47916666666666669</v>
      </c>
      <c r="BU772" t="s">
        <v>967</v>
      </c>
      <c r="BV772" t="s">
        <v>74</v>
      </c>
      <c r="BW772" t="s">
        <v>85</v>
      </c>
      <c r="BX772" t="s">
        <v>128</v>
      </c>
      <c r="BY772">
        <v>5376.33</v>
      </c>
      <c r="CC772" t="s">
        <v>213</v>
      </c>
      <c r="CD772">
        <v>3600</v>
      </c>
      <c r="CE772" t="s">
        <v>73</v>
      </c>
      <c r="CF772" s="1">
        <v>43949</v>
      </c>
      <c r="CI772">
        <v>1</v>
      </c>
      <c r="CJ772">
        <v>1</v>
      </c>
      <c r="CK772">
        <v>21</v>
      </c>
      <c r="CL772" t="s">
        <v>74</v>
      </c>
    </row>
    <row r="773" spans="1:90" x14ac:dyDescent="0.25">
      <c r="A773" t="s">
        <v>61</v>
      </c>
      <c r="B773" t="s">
        <v>62</v>
      </c>
      <c r="C773" t="s">
        <v>63</v>
      </c>
      <c r="E773" t="str">
        <f>"FES1162745233"</f>
        <v>FES1162745233</v>
      </c>
      <c r="F773" s="1">
        <v>43944</v>
      </c>
      <c r="G773">
        <v>202010</v>
      </c>
      <c r="H773" t="s">
        <v>64</v>
      </c>
      <c r="I773" t="s">
        <v>65</v>
      </c>
      <c r="J773" t="s">
        <v>66</v>
      </c>
      <c r="K773" t="s">
        <v>67</v>
      </c>
      <c r="L773" t="s">
        <v>968</v>
      </c>
      <c r="M773" t="s">
        <v>969</v>
      </c>
      <c r="N773" t="s">
        <v>970</v>
      </c>
      <c r="O773" t="s">
        <v>69</v>
      </c>
      <c r="P773" t="str">
        <f>"2170733402                    "</f>
        <v xml:space="preserve">2170733402                    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0</v>
      </c>
      <c r="AM773">
        <v>8.11</v>
      </c>
      <c r="AN773">
        <v>0</v>
      </c>
      <c r="AO773">
        <v>0</v>
      </c>
      <c r="AP773">
        <v>0</v>
      </c>
      <c r="AQ773">
        <v>0</v>
      </c>
      <c r="AR773">
        <v>0</v>
      </c>
      <c r="AS773">
        <v>0</v>
      </c>
      <c r="AT773">
        <v>0</v>
      </c>
      <c r="AU773">
        <v>0</v>
      </c>
      <c r="AV773">
        <v>0</v>
      </c>
      <c r="AW773">
        <v>0</v>
      </c>
      <c r="AX773">
        <v>0</v>
      </c>
      <c r="AY773">
        <v>0</v>
      </c>
      <c r="AZ773">
        <v>0</v>
      </c>
      <c r="BA773">
        <v>0</v>
      </c>
      <c r="BB773">
        <v>0</v>
      </c>
      <c r="BG773">
        <v>0</v>
      </c>
      <c r="BH773">
        <v>1</v>
      </c>
      <c r="BI773">
        <v>1.7</v>
      </c>
      <c r="BJ773">
        <v>1</v>
      </c>
      <c r="BK773">
        <v>2</v>
      </c>
      <c r="BL773">
        <v>89.23</v>
      </c>
      <c r="BM773">
        <v>13.38</v>
      </c>
      <c r="BN773">
        <v>102.61</v>
      </c>
      <c r="BO773">
        <v>102.61</v>
      </c>
      <c r="BQ773" t="s">
        <v>78</v>
      </c>
      <c r="BR773" t="s">
        <v>71</v>
      </c>
      <c r="BS773" s="1">
        <v>43945</v>
      </c>
      <c r="BT773" s="2">
        <v>0.6958333333333333</v>
      </c>
      <c r="BU773" t="s">
        <v>971</v>
      </c>
      <c r="BV773" t="s">
        <v>80</v>
      </c>
      <c r="BY773">
        <v>4824.6000000000004</v>
      </c>
      <c r="CA773" t="s">
        <v>899</v>
      </c>
      <c r="CC773" t="s">
        <v>969</v>
      </c>
      <c r="CD773">
        <v>4242</v>
      </c>
      <c r="CE773" t="s">
        <v>91</v>
      </c>
      <c r="CF773" s="1">
        <v>43950</v>
      </c>
      <c r="CI773">
        <v>2</v>
      </c>
      <c r="CJ773">
        <v>1</v>
      </c>
      <c r="CK773">
        <v>23</v>
      </c>
      <c r="CL773" t="s">
        <v>74</v>
      </c>
    </row>
    <row r="774" spans="1:90" x14ac:dyDescent="0.25">
      <c r="A774" t="s">
        <v>61</v>
      </c>
      <c r="B774" t="s">
        <v>62</v>
      </c>
      <c r="C774" t="s">
        <v>63</v>
      </c>
      <c r="E774" t="str">
        <f>"FES1162745323"</f>
        <v>FES1162745323</v>
      </c>
      <c r="F774" s="1">
        <v>43944</v>
      </c>
      <c r="G774">
        <v>202010</v>
      </c>
      <c r="H774" t="s">
        <v>64</v>
      </c>
      <c r="I774" t="s">
        <v>65</v>
      </c>
      <c r="J774" t="s">
        <v>66</v>
      </c>
      <c r="K774" t="s">
        <v>67</v>
      </c>
      <c r="L774" t="s">
        <v>177</v>
      </c>
      <c r="M774" t="s">
        <v>178</v>
      </c>
      <c r="N774" t="s">
        <v>179</v>
      </c>
      <c r="O774" t="s">
        <v>69</v>
      </c>
      <c r="P774" t="str">
        <f>"2170735409                    "</f>
        <v xml:space="preserve">2170735409                    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4.1900000000000004</v>
      </c>
      <c r="AN774">
        <v>0</v>
      </c>
      <c r="AO774">
        <v>0</v>
      </c>
      <c r="AP774">
        <v>0</v>
      </c>
      <c r="AQ774">
        <v>0</v>
      </c>
      <c r="AR774">
        <v>0</v>
      </c>
      <c r="AS774">
        <v>0</v>
      </c>
      <c r="AT774">
        <v>0</v>
      </c>
      <c r="AU774">
        <v>0</v>
      </c>
      <c r="AV774">
        <v>0</v>
      </c>
      <c r="AW774">
        <v>0</v>
      </c>
      <c r="AX774">
        <v>0</v>
      </c>
      <c r="AY774">
        <v>0</v>
      </c>
      <c r="AZ774">
        <v>0</v>
      </c>
      <c r="BA774">
        <v>0</v>
      </c>
      <c r="BB774">
        <v>0</v>
      </c>
      <c r="BG774">
        <v>0</v>
      </c>
      <c r="BH774">
        <v>1</v>
      </c>
      <c r="BI774">
        <v>1.3</v>
      </c>
      <c r="BJ774">
        <v>1.5</v>
      </c>
      <c r="BK774">
        <v>1.5</v>
      </c>
      <c r="BL774">
        <v>46.06</v>
      </c>
      <c r="BM774">
        <v>6.91</v>
      </c>
      <c r="BN774">
        <v>52.97</v>
      </c>
      <c r="BO774">
        <v>52.97</v>
      </c>
      <c r="BQ774" t="s">
        <v>70</v>
      </c>
      <c r="BR774" t="s">
        <v>71</v>
      </c>
      <c r="BS774" s="1">
        <v>43945</v>
      </c>
      <c r="BT774" s="2">
        <v>0.48125000000000001</v>
      </c>
      <c r="BU774" t="s">
        <v>235</v>
      </c>
      <c r="BV774" t="s">
        <v>80</v>
      </c>
      <c r="BY774">
        <v>7333.87</v>
      </c>
      <c r="CA774" t="s">
        <v>741</v>
      </c>
      <c r="CC774" t="s">
        <v>178</v>
      </c>
      <c r="CD774">
        <v>4302</v>
      </c>
      <c r="CE774" t="s">
        <v>91</v>
      </c>
      <c r="CF774" s="1">
        <v>43949</v>
      </c>
      <c r="CI774">
        <v>1</v>
      </c>
      <c r="CJ774">
        <v>1</v>
      </c>
      <c r="CK774">
        <v>21</v>
      </c>
      <c r="CL774" t="s">
        <v>74</v>
      </c>
    </row>
    <row r="775" spans="1:90" x14ac:dyDescent="0.25">
      <c r="A775" t="s">
        <v>61</v>
      </c>
      <c r="B775" t="s">
        <v>62</v>
      </c>
      <c r="C775" t="s">
        <v>63</v>
      </c>
      <c r="E775" t="str">
        <f>"FES1162744992"</f>
        <v>FES1162744992</v>
      </c>
      <c r="F775" s="1">
        <v>43944</v>
      </c>
      <c r="G775">
        <v>202010</v>
      </c>
      <c r="H775" t="s">
        <v>64</v>
      </c>
      <c r="I775" t="s">
        <v>65</v>
      </c>
      <c r="J775" t="s">
        <v>66</v>
      </c>
      <c r="K775" t="s">
        <v>67</v>
      </c>
      <c r="L775" t="s">
        <v>120</v>
      </c>
      <c r="M775" t="s">
        <v>121</v>
      </c>
      <c r="N775" t="s">
        <v>972</v>
      </c>
      <c r="O775" t="s">
        <v>69</v>
      </c>
      <c r="P775" t="str">
        <f>"2170734991                    "</f>
        <v xml:space="preserve">2170734991                    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11.51</v>
      </c>
      <c r="AN775">
        <v>0</v>
      </c>
      <c r="AO775">
        <v>0</v>
      </c>
      <c r="AP775">
        <v>0</v>
      </c>
      <c r="AQ775">
        <v>0</v>
      </c>
      <c r="AR775">
        <v>0</v>
      </c>
      <c r="AS775">
        <v>0</v>
      </c>
      <c r="AT775">
        <v>0</v>
      </c>
      <c r="AU775">
        <v>0</v>
      </c>
      <c r="AV775">
        <v>0</v>
      </c>
      <c r="AW775">
        <v>0</v>
      </c>
      <c r="AX775">
        <v>0</v>
      </c>
      <c r="AY775">
        <v>0</v>
      </c>
      <c r="AZ775">
        <v>0</v>
      </c>
      <c r="BA775">
        <v>0</v>
      </c>
      <c r="BB775">
        <v>0</v>
      </c>
      <c r="BG775">
        <v>0</v>
      </c>
      <c r="BH775">
        <v>1</v>
      </c>
      <c r="BI775">
        <v>5.3</v>
      </c>
      <c r="BJ775">
        <v>1.5</v>
      </c>
      <c r="BK775">
        <v>5.5</v>
      </c>
      <c r="BL775">
        <v>126.6</v>
      </c>
      <c r="BM775">
        <v>18.989999999999998</v>
      </c>
      <c r="BN775">
        <v>145.59</v>
      </c>
      <c r="BO775">
        <v>145.59</v>
      </c>
      <c r="BQ775" t="s">
        <v>109</v>
      </c>
      <c r="BR775" t="s">
        <v>71</v>
      </c>
      <c r="BS775" s="1">
        <v>43945</v>
      </c>
      <c r="BT775" s="2">
        <v>0.57152777777777775</v>
      </c>
      <c r="BU775" t="s">
        <v>973</v>
      </c>
      <c r="BV775" t="s">
        <v>74</v>
      </c>
      <c r="BW775" t="s">
        <v>85</v>
      </c>
      <c r="BX775" t="s">
        <v>128</v>
      </c>
      <c r="BY775">
        <v>7369.18</v>
      </c>
      <c r="CA775" t="s">
        <v>974</v>
      </c>
      <c r="CC775" t="s">
        <v>121</v>
      </c>
      <c r="CD775">
        <v>4068</v>
      </c>
      <c r="CE775" t="s">
        <v>91</v>
      </c>
      <c r="CF775" s="1">
        <v>43949</v>
      </c>
      <c r="CI775">
        <v>1</v>
      </c>
      <c r="CJ775">
        <v>1</v>
      </c>
      <c r="CK775">
        <v>21</v>
      </c>
      <c r="CL775" t="s">
        <v>74</v>
      </c>
    </row>
    <row r="776" spans="1:90" x14ac:dyDescent="0.25">
      <c r="A776" t="s">
        <v>61</v>
      </c>
      <c r="B776" t="s">
        <v>62</v>
      </c>
      <c r="C776" t="s">
        <v>63</v>
      </c>
      <c r="E776" t="str">
        <f>"FES1162745284"</f>
        <v>FES1162745284</v>
      </c>
      <c r="F776" s="1">
        <v>43944</v>
      </c>
      <c r="G776">
        <v>202010</v>
      </c>
      <c r="H776" t="s">
        <v>64</v>
      </c>
      <c r="I776" t="s">
        <v>65</v>
      </c>
      <c r="J776" t="s">
        <v>66</v>
      </c>
      <c r="K776" t="s">
        <v>67</v>
      </c>
      <c r="L776" t="s">
        <v>168</v>
      </c>
      <c r="M776" t="s">
        <v>169</v>
      </c>
      <c r="N776" t="s">
        <v>170</v>
      </c>
      <c r="O776" t="s">
        <v>69</v>
      </c>
      <c r="P776" t="str">
        <f>"2170736291                    "</f>
        <v xml:space="preserve">2170736291                    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14.65</v>
      </c>
      <c r="AN776">
        <v>0</v>
      </c>
      <c r="AO776">
        <v>0</v>
      </c>
      <c r="AP776">
        <v>0</v>
      </c>
      <c r="AQ776">
        <v>0</v>
      </c>
      <c r="AR776">
        <v>0</v>
      </c>
      <c r="AS776">
        <v>0</v>
      </c>
      <c r="AT776">
        <v>0</v>
      </c>
      <c r="AU776">
        <v>0</v>
      </c>
      <c r="AV776">
        <v>0</v>
      </c>
      <c r="AW776">
        <v>0</v>
      </c>
      <c r="AX776">
        <v>0</v>
      </c>
      <c r="AY776">
        <v>0</v>
      </c>
      <c r="AZ776">
        <v>0</v>
      </c>
      <c r="BA776">
        <v>0</v>
      </c>
      <c r="BB776">
        <v>0</v>
      </c>
      <c r="BG776">
        <v>0</v>
      </c>
      <c r="BH776">
        <v>1</v>
      </c>
      <c r="BI776">
        <v>6.8</v>
      </c>
      <c r="BJ776">
        <v>1.2</v>
      </c>
      <c r="BK776">
        <v>7</v>
      </c>
      <c r="BL776">
        <v>161.12</v>
      </c>
      <c r="BM776">
        <v>24.17</v>
      </c>
      <c r="BN776">
        <v>185.29</v>
      </c>
      <c r="BO776">
        <v>185.29</v>
      </c>
      <c r="BQ776" t="s">
        <v>78</v>
      </c>
      <c r="BR776" t="s">
        <v>71</v>
      </c>
      <c r="BS776" s="1">
        <v>43945</v>
      </c>
      <c r="BT776" s="2">
        <v>0.47916666666666669</v>
      </c>
      <c r="BU776" t="s">
        <v>530</v>
      </c>
      <c r="BV776" t="s">
        <v>74</v>
      </c>
      <c r="BW776" t="s">
        <v>85</v>
      </c>
      <c r="BX776" t="s">
        <v>128</v>
      </c>
      <c r="BY776">
        <v>6242.4</v>
      </c>
      <c r="CC776" t="s">
        <v>169</v>
      </c>
      <c r="CD776">
        <v>4026</v>
      </c>
      <c r="CE776" t="s">
        <v>91</v>
      </c>
      <c r="CF776" s="1">
        <v>43949</v>
      </c>
      <c r="CI776">
        <v>1</v>
      </c>
      <c r="CJ776">
        <v>1</v>
      </c>
      <c r="CK776">
        <v>21</v>
      </c>
      <c r="CL776" t="s">
        <v>74</v>
      </c>
    </row>
    <row r="777" spans="1:90" x14ac:dyDescent="0.25">
      <c r="A777" t="s">
        <v>61</v>
      </c>
      <c r="B777" t="s">
        <v>62</v>
      </c>
      <c r="C777" t="s">
        <v>63</v>
      </c>
      <c r="E777" t="str">
        <f>"FES1162745178"</f>
        <v>FES1162745178</v>
      </c>
      <c r="F777" s="1">
        <v>43944</v>
      </c>
      <c r="G777">
        <v>202010</v>
      </c>
      <c r="H777" t="s">
        <v>64</v>
      </c>
      <c r="I777" t="s">
        <v>65</v>
      </c>
      <c r="J777" t="s">
        <v>66</v>
      </c>
      <c r="K777" t="s">
        <v>67</v>
      </c>
      <c r="L777" t="s">
        <v>64</v>
      </c>
      <c r="M777" t="s">
        <v>65</v>
      </c>
      <c r="N777" t="s">
        <v>812</v>
      </c>
      <c r="O777" t="s">
        <v>69</v>
      </c>
      <c r="P777" t="str">
        <f>"2170736420                    "</f>
        <v xml:space="preserve">2170736420                    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0</v>
      </c>
      <c r="AM777">
        <v>16.600000000000001</v>
      </c>
      <c r="AN777">
        <v>0</v>
      </c>
      <c r="AO777">
        <v>0</v>
      </c>
      <c r="AP777">
        <v>0</v>
      </c>
      <c r="AQ777">
        <v>0</v>
      </c>
      <c r="AR777">
        <v>0</v>
      </c>
      <c r="AS777">
        <v>0</v>
      </c>
      <c r="AT777">
        <v>0</v>
      </c>
      <c r="AU777">
        <v>0</v>
      </c>
      <c r="AV777">
        <v>0</v>
      </c>
      <c r="AW777">
        <v>0</v>
      </c>
      <c r="AX777">
        <v>0</v>
      </c>
      <c r="AY777">
        <v>0</v>
      </c>
      <c r="AZ777">
        <v>0</v>
      </c>
      <c r="BA777">
        <v>0</v>
      </c>
      <c r="BB777">
        <v>0</v>
      </c>
      <c r="BG777">
        <v>0</v>
      </c>
      <c r="BH777">
        <v>1</v>
      </c>
      <c r="BI777">
        <v>11.4</v>
      </c>
      <c r="BJ777">
        <v>18.600000000000001</v>
      </c>
      <c r="BK777">
        <v>19</v>
      </c>
      <c r="BL777">
        <v>182.59</v>
      </c>
      <c r="BM777">
        <v>27.39</v>
      </c>
      <c r="BN777">
        <v>209.98</v>
      </c>
      <c r="BO777">
        <v>209.98</v>
      </c>
      <c r="BQ777" t="s">
        <v>70</v>
      </c>
      <c r="BR777" t="s">
        <v>71</v>
      </c>
      <c r="BS777" s="1">
        <v>43945</v>
      </c>
      <c r="BT777" s="2">
        <v>0.41666666666666669</v>
      </c>
      <c r="BU777" t="s">
        <v>813</v>
      </c>
      <c r="BV777" t="s">
        <v>80</v>
      </c>
      <c r="BY777">
        <v>92832.37</v>
      </c>
      <c r="CC777" t="s">
        <v>65</v>
      </c>
      <c r="CD777">
        <v>1609</v>
      </c>
      <c r="CE777" t="s">
        <v>91</v>
      </c>
      <c r="CF777" s="1">
        <v>43949</v>
      </c>
      <c r="CI777">
        <v>1</v>
      </c>
      <c r="CJ777">
        <v>1</v>
      </c>
      <c r="CK777">
        <v>22</v>
      </c>
      <c r="CL777" t="s">
        <v>74</v>
      </c>
    </row>
    <row r="778" spans="1:90" x14ac:dyDescent="0.25">
      <c r="A778" t="s">
        <v>61</v>
      </c>
      <c r="B778" t="s">
        <v>62</v>
      </c>
      <c r="C778" t="s">
        <v>63</v>
      </c>
      <c r="E778" t="str">
        <f>"FES1162745314"</f>
        <v>FES1162745314</v>
      </c>
      <c r="F778" s="1">
        <v>43944</v>
      </c>
      <c r="G778">
        <v>202010</v>
      </c>
      <c r="H778" t="s">
        <v>64</v>
      </c>
      <c r="I778" t="s">
        <v>65</v>
      </c>
      <c r="J778" t="s">
        <v>66</v>
      </c>
      <c r="K778" t="s">
        <v>67</v>
      </c>
      <c r="L778" t="s">
        <v>92</v>
      </c>
      <c r="M778" t="s">
        <v>93</v>
      </c>
      <c r="N778" t="s">
        <v>318</v>
      </c>
      <c r="O778" t="s">
        <v>69</v>
      </c>
      <c r="P778" t="str">
        <f>"2170735300                    "</f>
        <v xml:space="preserve">2170735300                    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7.33</v>
      </c>
      <c r="AN778">
        <v>0</v>
      </c>
      <c r="AO778">
        <v>0</v>
      </c>
      <c r="AP778">
        <v>0</v>
      </c>
      <c r="AQ778">
        <v>0</v>
      </c>
      <c r="AR778">
        <v>0</v>
      </c>
      <c r="AS778">
        <v>0</v>
      </c>
      <c r="AT778">
        <v>0</v>
      </c>
      <c r="AU778">
        <v>0</v>
      </c>
      <c r="AV778">
        <v>0</v>
      </c>
      <c r="AW778">
        <v>0</v>
      </c>
      <c r="AX778">
        <v>0</v>
      </c>
      <c r="AY778">
        <v>0</v>
      </c>
      <c r="AZ778">
        <v>0</v>
      </c>
      <c r="BA778">
        <v>0</v>
      </c>
      <c r="BB778">
        <v>0</v>
      </c>
      <c r="BG778">
        <v>0</v>
      </c>
      <c r="BH778">
        <v>1</v>
      </c>
      <c r="BI778">
        <v>3.4</v>
      </c>
      <c r="BJ778">
        <v>2</v>
      </c>
      <c r="BK778">
        <v>3.5</v>
      </c>
      <c r="BL778">
        <v>80.58</v>
      </c>
      <c r="BM778">
        <v>12.09</v>
      </c>
      <c r="BN778">
        <v>92.67</v>
      </c>
      <c r="BO778">
        <v>92.67</v>
      </c>
      <c r="BQ778" t="s">
        <v>78</v>
      </c>
      <c r="BR778" t="s">
        <v>71</v>
      </c>
      <c r="BS778" t="s">
        <v>72</v>
      </c>
      <c r="BW778" t="s">
        <v>258</v>
      </c>
      <c r="BX778" t="s">
        <v>838</v>
      </c>
      <c r="BY778">
        <v>9985.7999999999993</v>
      </c>
      <c r="CC778" t="s">
        <v>93</v>
      </c>
      <c r="CD778">
        <v>7441</v>
      </c>
      <c r="CE778" t="s">
        <v>91</v>
      </c>
      <c r="CI778">
        <v>1</v>
      </c>
      <c r="CJ778" t="s">
        <v>72</v>
      </c>
      <c r="CK778">
        <v>21</v>
      </c>
      <c r="CL778" t="s">
        <v>74</v>
      </c>
    </row>
    <row r="779" spans="1:90" x14ac:dyDescent="0.25">
      <c r="A779" t="s">
        <v>61</v>
      </c>
      <c r="B779" t="s">
        <v>62</v>
      </c>
      <c r="C779" t="s">
        <v>63</v>
      </c>
      <c r="E779" t="str">
        <f>"FES1162745398"</f>
        <v>FES1162745398</v>
      </c>
      <c r="F779" s="1">
        <v>43944</v>
      </c>
      <c r="G779">
        <v>202010</v>
      </c>
      <c r="H779" t="s">
        <v>64</v>
      </c>
      <c r="I779" t="s">
        <v>65</v>
      </c>
      <c r="J779" t="s">
        <v>66</v>
      </c>
      <c r="K779" t="s">
        <v>67</v>
      </c>
      <c r="L779" t="s">
        <v>116</v>
      </c>
      <c r="M779" t="s">
        <v>117</v>
      </c>
      <c r="N779" t="s">
        <v>118</v>
      </c>
      <c r="O779" t="s">
        <v>69</v>
      </c>
      <c r="P779" t="str">
        <f>"2170736551                    "</f>
        <v xml:space="preserve">2170736551                    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11.78</v>
      </c>
      <c r="AN779">
        <v>0</v>
      </c>
      <c r="AO779">
        <v>0</v>
      </c>
      <c r="AP779">
        <v>0</v>
      </c>
      <c r="AQ779">
        <v>0</v>
      </c>
      <c r="AR779">
        <v>0</v>
      </c>
      <c r="AS779">
        <v>0</v>
      </c>
      <c r="AT779">
        <v>0</v>
      </c>
      <c r="AU779">
        <v>0</v>
      </c>
      <c r="AV779">
        <v>0</v>
      </c>
      <c r="AW779">
        <v>0</v>
      </c>
      <c r="AX779">
        <v>0</v>
      </c>
      <c r="AY779">
        <v>0</v>
      </c>
      <c r="AZ779">
        <v>0</v>
      </c>
      <c r="BA779">
        <v>0</v>
      </c>
      <c r="BB779">
        <v>0</v>
      </c>
      <c r="BG779">
        <v>0</v>
      </c>
      <c r="BH779">
        <v>1</v>
      </c>
      <c r="BI779">
        <v>3</v>
      </c>
      <c r="BJ779">
        <v>1.1000000000000001</v>
      </c>
      <c r="BK779">
        <v>3</v>
      </c>
      <c r="BL779">
        <v>129.54</v>
      </c>
      <c r="BM779">
        <v>19.43</v>
      </c>
      <c r="BN779">
        <v>148.97</v>
      </c>
      <c r="BO779">
        <v>148.97</v>
      </c>
      <c r="BQ779" t="s">
        <v>78</v>
      </c>
      <c r="BR779" t="s">
        <v>71</v>
      </c>
      <c r="BS779" s="1">
        <v>43945</v>
      </c>
      <c r="BT779" s="2">
        <v>0.41666666666666669</v>
      </c>
      <c r="BU779" t="s">
        <v>119</v>
      </c>
      <c r="BV779" t="s">
        <v>80</v>
      </c>
      <c r="BY779">
        <v>5320</v>
      </c>
      <c r="CC779" t="s">
        <v>117</v>
      </c>
      <c r="CD779">
        <v>7300</v>
      </c>
      <c r="CE779" t="s">
        <v>91</v>
      </c>
      <c r="CF779" s="1">
        <v>43949</v>
      </c>
      <c r="CI779">
        <v>1</v>
      </c>
      <c r="CJ779">
        <v>1</v>
      </c>
      <c r="CK779">
        <v>23</v>
      </c>
      <c r="CL779" t="s">
        <v>74</v>
      </c>
    </row>
    <row r="780" spans="1:90" x14ac:dyDescent="0.25">
      <c r="A780" t="s">
        <v>61</v>
      </c>
      <c r="B780" t="s">
        <v>62</v>
      </c>
      <c r="C780" t="s">
        <v>63</v>
      </c>
      <c r="E780" t="str">
        <f>"FES1162745333"</f>
        <v>FES1162745333</v>
      </c>
      <c r="F780" s="1">
        <v>43944</v>
      </c>
      <c r="G780">
        <v>202010</v>
      </c>
      <c r="H780" t="s">
        <v>64</v>
      </c>
      <c r="I780" t="s">
        <v>65</v>
      </c>
      <c r="J780" t="s">
        <v>66</v>
      </c>
      <c r="K780" t="s">
        <v>67</v>
      </c>
      <c r="L780" t="s">
        <v>238</v>
      </c>
      <c r="M780" t="s">
        <v>239</v>
      </c>
      <c r="N780" t="s">
        <v>295</v>
      </c>
      <c r="O780" t="s">
        <v>69</v>
      </c>
      <c r="P780" t="str">
        <f>"2170735465                    "</f>
        <v xml:space="preserve">2170735465                    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4.1900000000000004</v>
      </c>
      <c r="AN780">
        <v>0</v>
      </c>
      <c r="AO780">
        <v>0</v>
      </c>
      <c r="AP780">
        <v>0</v>
      </c>
      <c r="AQ780">
        <v>0</v>
      </c>
      <c r="AR780">
        <v>0</v>
      </c>
      <c r="AS780">
        <v>0</v>
      </c>
      <c r="AT780">
        <v>0</v>
      </c>
      <c r="AU780">
        <v>0</v>
      </c>
      <c r="AV780">
        <v>0</v>
      </c>
      <c r="AW780">
        <v>0</v>
      </c>
      <c r="AX780">
        <v>0</v>
      </c>
      <c r="AY780">
        <v>0</v>
      </c>
      <c r="AZ780">
        <v>0</v>
      </c>
      <c r="BA780">
        <v>0</v>
      </c>
      <c r="BB780">
        <v>0</v>
      </c>
      <c r="BG780">
        <v>0</v>
      </c>
      <c r="BH780">
        <v>1</v>
      </c>
      <c r="BI780">
        <v>1</v>
      </c>
      <c r="BJ780">
        <v>0.2</v>
      </c>
      <c r="BK780">
        <v>1</v>
      </c>
      <c r="BL780">
        <v>46.06</v>
      </c>
      <c r="BM780">
        <v>6.91</v>
      </c>
      <c r="BN780">
        <v>52.97</v>
      </c>
      <c r="BO780">
        <v>52.97</v>
      </c>
      <c r="BQ780" t="s">
        <v>78</v>
      </c>
      <c r="BR780" t="s">
        <v>71</v>
      </c>
      <c r="BS780" s="1">
        <v>43945</v>
      </c>
      <c r="BT780" s="2">
        <v>0.37916666666666665</v>
      </c>
      <c r="BU780" t="s">
        <v>975</v>
      </c>
      <c r="BV780" t="s">
        <v>80</v>
      </c>
      <c r="BY780">
        <v>1200</v>
      </c>
      <c r="CA780" t="s">
        <v>297</v>
      </c>
      <c r="CC780" t="s">
        <v>239</v>
      </c>
      <c r="CD780">
        <v>5201</v>
      </c>
      <c r="CE780" t="s">
        <v>73</v>
      </c>
      <c r="CI780">
        <v>1</v>
      </c>
      <c r="CJ780">
        <v>1</v>
      </c>
      <c r="CK780">
        <v>21</v>
      </c>
      <c r="CL780" t="s">
        <v>74</v>
      </c>
    </row>
    <row r="781" spans="1:90" x14ac:dyDescent="0.25">
      <c r="A781" t="s">
        <v>61</v>
      </c>
      <c r="B781" t="s">
        <v>62</v>
      </c>
      <c r="C781" t="s">
        <v>63</v>
      </c>
      <c r="E781" t="str">
        <f>"FES1162745409"</f>
        <v>FES1162745409</v>
      </c>
      <c r="F781" s="1">
        <v>43944</v>
      </c>
      <c r="G781">
        <v>202010</v>
      </c>
      <c r="H781" t="s">
        <v>64</v>
      </c>
      <c r="I781" t="s">
        <v>65</v>
      </c>
      <c r="J781" t="s">
        <v>66</v>
      </c>
      <c r="K781" t="s">
        <v>67</v>
      </c>
      <c r="L781" t="s">
        <v>416</v>
      </c>
      <c r="M781" t="s">
        <v>417</v>
      </c>
      <c r="N781" t="s">
        <v>661</v>
      </c>
      <c r="O781" t="s">
        <v>69</v>
      </c>
      <c r="P781" t="str">
        <f>"2170736555                    "</f>
        <v xml:space="preserve">2170736555                    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3.27</v>
      </c>
      <c r="AN781">
        <v>0</v>
      </c>
      <c r="AO781">
        <v>0</v>
      </c>
      <c r="AP781">
        <v>0</v>
      </c>
      <c r="AQ781">
        <v>0</v>
      </c>
      <c r="AR781">
        <v>0</v>
      </c>
      <c r="AS781">
        <v>0</v>
      </c>
      <c r="AT781">
        <v>0</v>
      </c>
      <c r="AU781">
        <v>0</v>
      </c>
      <c r="AV781">
        <v>0</v>
      </c>
      <c r="AW781">
        <v>0</v>
      </c>
      <c r="AX781">
        <v>0</v>
      </c>
      <c r="AY781">
        <v>0</v>
      </c>
      <c r="AZ781">
        <v>0</v>
      </c>
      <c r="BA781">
        <v>0</v>
      </c>
      <c r="BB781">
        <v>0</v>
      </c>
      <c r="BG781">
        <v>0</v>
      </c>
      <c r="BH781">
        <v>1</v>
      </c>
      <c r="BI781">
        <v>1</v>
      </c>
      <c r="BJ781">
        <v>0.2</v>
      </c>
      <c r="BK781">
        <v>1</v>
      </c>
      <c r="BL781">
        <v>35.979999999999997</v>
      </c>
      <c r="BM781">
        <v>5.4</v>
      </c>
      <c r="BN781">
        <v>41.38</v>
      </c>
      <c r="BO781">
        <v>41.38</v>
      </c>
      <c r="BQ781" t="s">
        <v>78</v>
      </c>
      <c r="BR781" t="s">
        <v>71</v>
      </c>
      <c r="BS781" s="1">
        <v>43945</v>
      </c>
      <c r="BT781" s="2">
        <v>0.37847222222222227</v>
      </c>
      <c r="BU781" t="s">
        <v>976</v>
      </c>
      <c r="BV781" t="s">
        <v>80</v>
      </c>
      <c r="BY781">
        <v>1200</v>
      </c>
      <c r="CC781" t="s">
        <v>417</v>
      </c>
      <c r="CD781">
        <v>1724</v>
      </c>
      <c r="CE781" t="s">
        <v>73</v>
      </c>
      <c r="CF781" s="1">
        <v>43949</v>
      </c>
      <c r="CI781">
        <v>1</v>
      </c>
      <c r="CJ781">
        <v>1</v>
      </c>
      <c r="CK781">
        <v>22</v>
      </c>
      <c r="CL781" t="s">
        <v>74</v>
      </c>
    </row>
    <row r="782" spans="1:90" x14ac:dyDescent="0.25">
      <c r="A782" t="s">
        <v>61</v>
      </c>
      <c r="B782" t="s">
        <v>62</v>
      </c>
      <c r="C782" t="s">
        <v>63</v>
      </c>
      <c r="E782" t="str">
        <f>"FES1162745404"</f>
        <v>FES1162745404</v>
      </c>
      <c r="F782" s="1">
        <v>43944</v>
      </c>
      <c r="G782">
        <v>202010</v>
      </c>
      <c r="H782" t="s">
        <v>64</v>
      </c>
      <c r="I782" t="s">
        <v>65</v>
      </c>
      <c r="J782" t="s">
        <v>66</v>
      </c>
      <c r="K782" t="s">
        <v>67</v>
      </c>
      <c r="L782" t="s">
        <v>406</v>
      </c>
      <c r="M782" t="s">
        <v>407</v>
      </c>
      <c r="N782" t="s">
        <v>921</v>
      </c>
      <c r="O782" t="s">
        <v>69</v>
      </c>
      <c r="P782" t="str">
        <f>"2170736410                    "</f>
        <v xml:space="preserve">2170736410                    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3.27</v>
      </c>
      <c r="AN782">
        <v>0</v>
      </c>
      <c r="AO782">
        <v>0</v>
      </c>
      <c r="AP782">
        <v>0</v>
      </c>
      <c r="AQ782">
        <v>0</v>
      </c>
      <c r="AR782">
        <v>0</v>
      </c>
      <c r="AS782">
        <v>0</v>
      </c>
      <c r="AT782">
        <v>0</v>
      </c>
      <c r="AU782">
        <v>0</v>
      </c>
      <c r="AV782">
        <v>0</v>
      </c>
      <c r="AW782">
        <v>0</v>
      </c>
      <c r="AX782">
        <v>0</v>
      </c>
      <c r="AY782">
        <v>0</v>
      </c>
      <c r="AZ782">
        <v>0</v>
      </c>
      <c r="BA782">
        <v>0</v>
      </c>
      <c r="BB782">
        <v>0</v>
      </c>
      <c r="BG782">
        <v>0</v>
      </c>
      <c r="BH782">
        <v>1</v>
      </c>
      <c r="BI782">
        <v>1.2</v>
      </c>
      <c r="BJ782">
        <v>2</v>
      </c>
      <c r="BK782">
        <v>2</v>
      </c>
      <c r="BL782">
        <v>35.979999999999997</v>
      </c>
      <c r="BM782">
        <v>5.4</v>
      </c>
      <c r="BN782">
        <v>41.38</v>
      </c>
      <c r="BO782">
        <v>41.38</v>
      </c>
      <c r="BQ782" t="s">
        <v>268</v>
      </c>
      <c r="BR782" t="s">
        <v>71</v>
      </c>
      <c r="BS782" s="1">
        <v>43945</v>
      </c>
      <c r="BT782" s="2">
        <v>0.33333333333333331</v>
      </c>
      <c r="BU782" t="s">
        <v>977</v>
      </c>
      <c r="BV782" t="s">
        <v>80</v>
      </c>
      <c r="BY782">
        <v>10053.120000000001</v>
      </c>
      <c r="CC782" t="s">
        <v>407</v>
      </c>
      <c r="CD782">
        <v>2162</v>
      </c>
      <c r="CE782" t="s">
        <v>73</v>
      </c>
      <c r="CF782" s="1">
        <v>43949</v>
      </c>
      <c r="CI782">
        <v>1</v>
      </c>
      <c r="CJ782">
        <v>1</v>
      </c>
      <c r="CK782">
        <v>22</v>
      </c>
      <c r="CL782" t="s">
        <v>74</v>
      </c>
    </row>
    <row r="783" spans="1:90" x14ac:dyDescent="0.25">
      <c r="A783" t="s">
        <v>61</v>
      </c>
      <c r="B783" t="s">
        <v>62</v>
      </c>
      <c r="C783" t="s">
        <v>63</v>
      </c>
      <c r="E783" t="str">
        <f>"FES1162745159"</f>
        <v>FES1162745159</v>
      </c>
      <c r="F783" s="1">
        <v>43944</v>
      </c>
      <c r="G783">
        <v>202010</v>
      </c>
      <c r="H783" t="s">
        <v>64</v>
      </c>
      <c r="I783" t="s">
        <v>65</v>
      </c>
      <c r="J783" t="s">
        <v>66</v>
      </c>
      <c r="K783" t="s">
        <v>67</v>
      </c>
      <c r="L783" t="s">
        <v>64</v>
      </c>
      <c r="M783" t="s">
        <v>65</v>
      </c>
      <c r="N783" t="s">
        <v>664</v>
      </c>
      <c r="O783" t="s">
        <v>69</v>
      </c>
      <c r="P783" t="str">
        <f>"2170736388                    "</f>
        <v xml:space="preserve">2170736388                    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3.27</v>
      </c>
      <c r="AN783">
        <v>0</v>
      </c>
      <c r="AO783">
        <v>0</v>
      </c>
      <c r="AP783">
        <v>0</v>
      </c>
      <c r="AQ783">
        <v>0</v>
      </c>
      <c r="AR783">
        <v>0</v>
      </c>
      <c r="AS783">
        <v>0</v>
      </c>
      <c r="AT783">
        <v>0</v>
      </c>
      <c r="AU783">
        <v>0</v>
      </c>
      <c r="AV783">
        <v>0</v>
      </c>
      <c r="AW783">
        <v>0</v>
      </c>
      <c r="AX783">
        <v>0</v>
      </c>
      <c r="AY783">
        <v>0</v>
      </c>
      <c r="AZ783">
        <v>0</v>
      </c>
      <c r="BA783">
        <v>0</v>
      </c>
      <c r="BB783">
        <v>0</v>
      </c>
      <c r="BG783">
        <v>0</v>
      </c>
      <c r="BH783">
        <v>1</v>
      </c>
      <c r="BI783">
        <v>1</v>
      </c>
      <c r="BJ783">
        <v>0.2</v>
      </c>
      <c r="BK783">
        <v>1</v>
      </c>
      <c r="BL783">
        <v>35.979999999999997</v>
      </c>
      <c r="BM783">
        <v>5.4</v>
      </c>
      <c r="BN783">
        <v>41.38</v>
      </c>
      <c r="BO783">
        <v>41.38</v>
      </c>
      <c r="BQ783" t="s">
        <v>70</v>
      </c>
      <c r="BR783" t="s">
        <v>71</v>
      </c>
      <c r="BS783" s="1">
        <v>43950</v>
      </c>
      <c r="BT783" s="2">
        <v>0.39444444444444443</v>
      </c>
      <c r="BU783" t="s">
        <v>978</v>
      </c>
      <c r="BV783" t="s">
        <v>74</v>
      </c>
      <c r="BW783" t="s">
        <v>85</v>
      </c>
      <c r="BX783" t="s">
        <v>979</v>
      </c>
      <c r="BY783">
        <v>1200</v>
      </c>
      <c r="CC783" t="s">
        <v>65</v>
      </c>
      <c r="CD783">
        <v>1665</v>
      </c>
      <c r="CE783" t="s">
        <v>73</v>
      </c>
      <c r="CF783" s="1">
        <v>43951</v>
      </c>
      <c r="CI783">
        <v>1</v>
      </c>
      <c r="CJ783">
        <v>4</v>
      </c>
      <c r="CK783">
        <v>22</v>
      </c>
      <c r="CL783" t="s">
        <v>74</v>
      </c>
    </row>
    <row r="784" spans="1:90" x14ac:dyDescent="0.25">
      <c r="A784" t="s">
        <v>61</v>
      </c>
      <c r="B784" t="s">
        <v>62</v>
      </c>
      <c r="C784" t="s">
        <v>63</v>
      </c>
      <c r="E784" t="str">
        <f>"FES1162745708"</f>
        <v>FES1162745708</v>
      </c>
      <c r="F784" s="1">
        <v>43951</v>
      </c>
      <c r="G784">
        <v>202010</v>
      </c>
      <c r="H784" t="s">
        <v>64</v>
      </c>
      <c r="I784" t="s">
        <v>65</v>
      </c>
      <c r="J784" t="s">
        <v>66</v>
      </c>
      <c r="K784" t="s">
        <v>67</v>
      </c>
      <c r="L784" t="s">
        <v>64</v>
      </c>
      <c r="M784" t="s">
        <v>65</v>
      </c>
      <c r="N784" t="s">
        <v>782</v>
      </c>
      <c r="O784" t="s">
        <v>69</v>
      </c>
      <c r="P784" t="str">
        <f>"2170728106                    "</f>
        <v xml:space="preserve">2170728106                    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16.21</v>
      </c>
      <c r="AN784">
        <v>0</v>
      </c>
      <c r="AO784">
        <v>0</v>
      </c>
      <c r="AP784">
        <v>0</v>
      </c>
      <c r="AQ784">
        <v>0</v>
      </c>
      <c r="AR784">
        <v>0</v>
      </c>
      <c r="AS784">
        <v>0</v>
      </c>
      <c r="AT784">
        <v>0</v>
      </c>
      <c r="AU784">
        <v>0</v>
      </c>
      <c r="AV784">
        <v>0</v>
      </c>
      <c r="AW784">
        <v>0</v>
      </c>
      <c r="AX784">
        <v>0</v>
      </c>
      <c r="AY784">
        <v>0</v>
      </c>
      <c r="AZ784">
        <v>0</v>
      </c>
      <c r="BA784">
        <v>0</v>
      </c>
      <c r="BB784">
        <v>0</v>
      </c>
      <c r="BG784">
        <v>0</v>
      </c>
      <c r="BH784">
        <v>1</v>
      </c>
      <c r="BI784">
        <v>18.399999999999999</v>
      </c>
      <c r="BJ784">
        <v>8.1</v>
      </c>
      <c r="BK784">
        <v>18.5</v>
      </c>
      <c r="BL784">
        <v>178.28</v>
      </c>
      <c r="BM784">
        <v>26.74</v>
      </c>
      <c r="BN784">
        <v>205.02</v>
      </c>
      <c r="BO784">
        <v>205.02</v>
      </c>
      <c r="BQ784" t="s">
        <v>783</v>
      </c>
      <c r="BR784" t="s">
        <v>71</v>
      </c>
      <c r="BS784" t="s">
        <v>72</v>
      </c>
      <c r="BY784">
        <v>40588.550000000003</v>
      </c>
      <c r="CC784" t="s">
        <v>65</v>
      </c>
      <c r="CD784">
        <v>1601</v>
      </c>
      <c r="CE784" t="s">
        <v>91</v>
      </c>
      <c r="CI784">
        <v>1</v>
      </c>
      <c r="CJ784" t="s">
        <v>72</v>
      </c>
      <c r="CK784">
        <v>22</v>
      </c>
      <c r="CL784" t="s">
        <v>74</v>
      </c>
    </row>
    <row r="785" spans="1:90" x14ac:dyDescent="0.25">
      <c r="A785" t="s">
        <v>61</v>
      </c>
      <c r="B785" t="s">
        <v>62</v>
      </c>
      <c r="C785" t="s">
        <v>63</v>
      </c>
      <c r="E785" t="str">
        <f>"FES1162745706"</f>
        <v>FES1162745706</v>
      </c>
      <c r="F785" s="1">
        <v>43951</v>
      </c>
      <c r="G785">
        <v>202010</v>
      </c>
      <c r="H785" t="s">
        <v>64</v>
      </c>
      <c r="I785" t="s">
        <v>65</v>
      </c>
      <c r="J785" t="s">
        <v>66</v>
      </c>
      <c r="K785" t="s">
        <v>67</v>
      </c>
      <c r="L785" t="s">
        <v>385</v>
      </c>
      <c r="M785" t="s">
        <v>386</v>
      </c>
      <c r="N785" t="s">
        <v>528</v>
      </c>
      <c r="O785" t="s">
        <v>69</v>
      </c>
      <c r="P785" t="str">
        <f>"2170736762                    "</f>
        <v xml:space="preserve">2170736762                    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27.4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0</v>
      </c>
      <c r="AU785">
        <v>0</v>
      </c>
      <c r="AV785">
        <v>0</v>
      </c>
      <c r="AW785">
        <v>0</v>
      </c>
      <c r="AX785">
        <v>0</v>
      </c>
      <c r="AY785">
        <v>0</v>
      </c>
      <c r="AZ785">
        <v>0</v>
      </c>
      <c r="BA785">
        <v>0</v>
      </c>
      <c r="BB785">
        <v>0</v>
      </c>
      <c r="BG785">
        <v>0</v>
      </c>
      <c r="BH785">
        <v>1</v>
      </c>
      <c r="BI785">
        <v>9.5</v>
      </c>
      <c r="BJ785">
        <v>5.5</v>
      </c>
      <c r="BK785">
        <v>9.5</v>
      </c>
      <c r="BL785">
        <v>301.38</v>
      </c>
      <c r="BM785">
        <v>45.21</v>
      </c>
      <c r="BN785">
        <v>346.59</v>
      </c>
      <c r="BO785">
        <v>346.59</v>
      </c>
      <c r="BQ785" t="s">
        <v>78</v>
      </c>
      <c r="BR785" t="s">
        <v>71</v>
      </c>
      <c r="BS785" t="s">
        <v>72</v>
      </c>
      <c r="BY785">
        <v>27422.400000000001</v>
      </c>
      <c r="CC785" t="s">
        <v>386</v>
      </c>
      <c r="CD785">
        <v>1939</v>
      </c>
      <c r="CE785" t="s">
        <v>91</v>
      </c>
      <c r="CI785">
        <v>1</v>
      </c>
      <c r="CJ785" t="s">
        <v>72</v>
      </c>
      <c r="CK785">
        <v>24</v>
      </c>
      <c r="CL785" t="s">
        <v>74</v>
      </c>
    </row>
    <row r="786" spans="1:90" x14ac:dyDescent="0.25">
      <c r="A786" t="s">
        <v>61</v>
      </c>
      <c r="B786" t="s">
        <v>62</v>
      </c>
      <c r="C786" t="s">
        <v>63</v>
      </c>
      <c r="E786" t="str">
        <f>"FES1162745272"</f>
        <v>FES1162745272</v>
      </c>
      <c r="F786" s="1">
        <v>43944</v>
      </c>
      <c r="G786">
        <v>202010</v>
      </c>
      <c r="H786" t="s">
        <v>64</v>
      </c>
      <c r="I786" t="s">
        <v>65</v>
      </c>
      <c r="J786" t="s">
        <v>66</v>
      </c>
      <c r="K786" t="s">
        <v>67</v>
      </c>
      <c r="L786" t="s">
        <v>368</v>
      </c>
      <c r="M786" t="s">
        <v>369</v>
      </c>
      <c r="N786" t="s">
        <v>808</v>
      </c>
      <c r="O786" t="s">
        <v>69</v>
      </c>
      <c r="P786" t="str">
        <f>"2170734356                    "</f>
        <v xml:space="preserve">2170734356                    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4.45</v>
      </c>
      <c r="AN786">
        <v>0</v>
      </c>
      <c r="AO786">
        <v>0</v>
      </c>
      <c r="AP786">
        <v>0</v>
      </c>
      <c r="AQ786">
        <v>0</v>
      </c>
      <c r="AR786">
        <v>0</v>
      </c>
      <c r="AS786">
        <v>0</v>
      </c>
      <c r="AT786">
        <v>0</v>
      </c>
      <c r="AU786">
        <v>0</v>
      </c>
      <c r="AV786">
        <v>0</v>
      </c>
      <c r="AW786">
        <v>0</v>
      </c>
      <c r="AX786">
        <v>0</v>
      </c>
      <c r="AY786">
        <v>0</v>
      </c>
      <c r="AZ786">
        <v>0</v>
      </c>
      <c r="BA786">
        <v>0</v>
      </c>
      <c r="BB786">
        <v>0</v>
      </c>
      <c r="BG786">
        <v>0</v>
      </c>
      <c r="BH786">
        <v>1</v>
      </c>
      <c r="BI786">
        <v>3.1</v>
      </c>
      <c r="BJ786">
        <v>1.5</v>
      </c>
      <c r="BK786">
        <v>3.5</v>
      </c>
      <c r="BL786">
        <v>48.92</v>
      </c>
      <c r="BM786">
        <v>7.34</v>
      </c>
      <c r="BN786">
        <v>56.26</v>
      </c>
      <c r="BO786">
        <v>56.26</v>
      </c>
      <c r="BQ786" t="s">
        <v>78</v>
      </c>
      <c r="BR786" t="s">
        <v>71</v>
      </c>
      <c r="BS786" s="1">
        <v>43945</v>
      </c>
      <c r="BT786" s="2">
        <v>0.41666666666666669</v>
      </c>
      <c r="BU786" t="s">
        <v>809</v>
      </c>
      <c r="BV786" t="s">
        <v>80</v>
      </c>
      <c r="BY786">
        <v>7744.9</v>
      </c>
      <c r="CC786" t="s">
        <v>369</v>
      </c>
      <c r="CD786">
        <v>1401</v>
      </c>
      <c r="CE786" t="s">
        <v>91</v>
      </c>
      <c r="CF786" s="1">
        <v>43949</v>
      </c>
      <c r="CI786">
        <v>1</v>
      </c>
      <c r="CJ786">
        <v>1</v>
      </c>
      <c r="CK786">
        <v>22</v>
      </c>
      <c r="CL786" t="s">
        <v>74</v>
      </c>
    </row>
    <row r="787" spans="1:90" x14ac:dyDescent="0.25">
      <c r="A787" t="s">
        <v>61</v>
      </c>
      <c r="B787" t="s">
        <v>62</v>
      </c>
      <c r="C787" t="s">
        <v>63</v>
      </c>
      <c r="E787" t="str">
        <f>"FES1162745322"</f>
        <v>FES1162745322</v>
      </c>
      <c r="F787" s="1">
        <v>43944</v>
      </c>
      <c r="G787">
        <v>202010</v>
      </c>
      <c r="H787" t="s">
        <v>64</v>
      </c>
      <c r="I787" t="s">
        <v>65</v>
      </c>
      <c r="J787" t="s">
        <v>66</v>
      </c>
      <c r="K787" t="s">
        <v>67</v>
      </c>
      <c r="L787" t="s">
        <v>177</v>
      </c>
      <c r="M787" t="s">
        <v>178</v>
      </c>
      <c r="N787" t="s">
        <v>179</v>
      </c>
      <c r="O787" t="s">
        <v>69</v>
      </c>
      <c r="P787" t="str">
        <f>"2170735407                    "</f>
        <v xml:space="preserve">2170735407                    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0</v>
      </c>
      <c r="AM787">
        <v>39.75</v>
      </c>
      <c r="AN787">
        <v>0</v>
      </c>
      <c r="AO787">
        <v>0</v>
      </c>
      <c r="AP787">
        <v>0</v>
      </c>
      <c r="AQ787">
        <v>0</v>
      </c>
      <c r="AR787">
        <v>0</v>
      </c>
      <c r="AS787">
        <v>0</v>
      </c>
      <c r="AT787">
        <v>0</v>
      </c>
      <c r="AU787">
        <v>0</v>
      </c>
      <c r="AV787">
        <v>0</v>
      </c>
      <c r="AW787">
        <v>0</v>
      </c>
      <c r="AX787">
        <v>0</v>
      </c>
      <c r="AY787">
        <v>0</v>
      </c>
      <c r="AZ787">
        <v>0</v>
      </c>
      <c r="BA787">
        <v>0</v>
      </c>
      <c r="BB787">
        <v>0</v>
      </c>
      <c r="BG787">
        <v>0</v>
      </c>
      <c r="BH787">
        <v>1</v>
      </c>
      <c r="BI787">
        <v>18.7</v>
      </c>
      <c r="BJ787">
        <v>7.7</v>
      </c>
      <c r="BK787">
        <v>19</v>
      </c>
      <c r="BL787">
        <v>437.26</v>
      </c>
      <c r="BM787">
        <v>65.59</v>
      </c>
      <c r="BN787">
        <v>502.85</v>
      </c>
      <c r="BO787">
        <v>502.85</v>
      </c>
      <c r="BQ787" t="s">
        <v>70</v>
      </c>
      <c r="BR787" t="s">
        <v>71</v>
      </c>
      <c r="BS787" s="1">
        <v>43945</v>
      </c>
      <c r="BT787" s="2">
        <v>0.48125000000000001</v>
      </c>
      <c r="BU787" t="s">
        <v>235</v>
      </c>
      <c r="BV787" t="s">
        <v>80</v>
      </c>
      <c r="BY787">
        <v>38590.269999999997</v>
      </c>
      <c r="CA787" t="s">
        <v>741</v>
      </c>
      <c r="CC787" t="s">
        <v>178</v>
      </c>
      <c r="CD787">
        <v>4302</v>
      </c>
      <c r="CE787" t="s">
        <v>91</v>
      </c>
      <c r="CF787" s="1">
        <v>43949</v>
      </c>
      <c r="CI787">
        <v>1</v>
      </c>
      <c r="CJ787">
        <v>1</v>
      </c>
      <c r="CK787">
        <v>21</v>
      </c>
      <c r="CL787" t="s">
        <v>74</v>
      </c>
    </row>
    <row r="788" spans="1:90" x14ac:dyDescent="0.25">
      <c r="A788" t="s">
        <v>61</v>
      </c>
      <c r="B788" t="s">
        <v>62</v>
      </c>
      <c r="C788" t="s">
        <v>63</v>
      </c>
      <c r="E788" t="str">
        <f>"FES1162745303"</f>
        <v>FES1162745303</v>
      </c>
      <c r="F788" s="1">
        <v>43944</v>
      </c>
      <c r="G788">
        <v>202010</v>
      </c>
      <c r="H788" t="s">
        <v>64</v>
      </c>
      <c r="I788" t="s">
        <v>65</v>
      </c>
      <c r="J788" t="s">
        <v>66</v>
      </c>
      <c r="K788" t="s">
        <v>67</v>
      </c>
      <c r="L788" t="s">
        <v>199</v>
      </c>
      <c r="M788" t="s">
        <v>200</v>
      </c>
      <c r="N788" t="s">
        <v>980</v>
      </c>
      <c r="O788" t="s">
        <v>69</v>
      </c>
      <c r="P788" t="str">
        <f>"2170732961                    "</f>
        <v xml:space="preserve">2170732961                    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5.23</v>
      </c>
      <c r="AN788">
        <v>0</v>
      </c>
      <c r="AO788">
        <v>0</v>
      </c>
      <c r="AP788">
        <v>0</v>
      </c>
      <c r="AQ788">
        <v>0</v>
      </c>
      <c r="AR788">
        <v>0</v>
      </c>
      <c r="AS788">
        <v>0</v>
      </c>
      <c r="AT788">
        <v>0</v>
      </c>
      <c r="AU788">
        <v>0</v>
      </c>
      <c r="AV788">
        <v>0</v>
      </c>
      <c r="AW788">
        <v>0</v>
      </c>
      <c r="AX788">
        <v>0</v>
      </c>
      <c r="AY788">
        <v>0</v>
      </c>
      <c r="AZ788">
        <v>0</v>
      </c>
      <c r="BA788">
        <v>0</v>
      </c>
      <c r="BB788">
        <v>0</v>
      </c>
      <c r="BG788">
        <v>0</v>
      </c>
      <c r="BH788">
        <v>1</v>
      </c>
      <c r="BI788">
        <v>4.2</v>
      </c>
      <c r="BJ788">
        <v>1.5</v>
      </c>
      <c r="BK788">
        <v>4.5</v>
      </c>
      <c r="BL788">
        <v>57.54</v>
      </c>
      <c r="BM788">
        <v>8.6300000000000008</v>
      </c>
      <c r="BN788">
        <v>66.17</v>
      </c>
      <c r="BO788">
        <v>66.17</v>
      </c>
      <c r="BQ788" t="s">
        <v>268</v>
      </c>
      <c r="BR788" t="s">
        <v>71</v>
      </c>
      <c r="BS788" s="1">
        <v>43945</v>
      </c>
      <c r="BT788" s="2">
        <v>0.41666666666666669</v>
      </c>
      <c r="BU788" t="s">
        <v>981</v>
      </c>
      <c r="BV788" t="s">
        <v>80</v>
      </c>
      <c r="BY788">
        <v>7615.3</v>
      </c>
      <c r="CA788" t="s">
        <v>437</v>
      </c>
      <c r="CC788" t="s">
        <v>200</v>
      </c>
      <c r="CD788">
        <v>1559</v>
      </c>
      <c r="CE788" t="s">
        <v>91</v>
      </c>
      <c r="CI788">
        <v>1</v>
      </c>
      <c r="CJ788">
        <v>1</v>
      </c>
      <c r="CK788">
        <v>22</v>
      </c>
      <c r="CL788" t="s">
        <v>74</v>
      </c>
    </row>
    <row r="789" spans="1:90" x14ac:dyDescent="0.25">
      <c r="A789" t="s">
        <v>61</v>
      </c>
      <c r="B789" t="s">
        <v>62</v>
      </c>
      <c r="C789" t="s">
        <v>63</v>
      </c>
      <c r="E789" t="str">
        <f>"FES1162745395"</f>
        <v>FES1162745395</v>
      </c>
      <c r="F789" s="1">
        <v>43944</v>
      </c>
      <c r="G789">
        <v>202010</v>
      </c>
      <c r="H789" t="s">
        <v>64</v>
      </c>
      <c r="I789" t="s">
        <v>65</v>
      </c>
      <c r="J789" t="s">
        <v>66</v>
      </c>
      <c r="K789" t="s">
        <v>67</v>
      </c>
      <c r="L789" t="s">
        <v>64</v>
      </c>
      <c r="M789" t="s">
        <v>65</v>
      </c>
      <c r="N789" t="s">
        <v>812</v>
      </c>
      <c r="O789" t="s">
        <v>69</v>
      </c>
      <c r="P789" t="str">
        <f>"2170735800                    "</f>
        <v xml:space="preserve">2170735800                    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3.27</v>
      </c>
      <c r="AN789">
        <v>0</v>
      </c>
      <c r="AO789">
        <v>0</v>
      </c>
      <c r="AP789">
        <v>0</v>
      </c>
      <c r="AQ789">
        <v>0</v>
      </c>
      <c r="AR789">
        <v>0</v>
      </c>
      <c r="AS789">
        <v>0</v>
      </c>
      <c r="AT789">
        <v>0</v>
      </c>
      <c r="AU789">
        <v>0</v>
      </c>
      <c r="AV789">
        <v>0</v>
      </c>
      <c r="AW789">
        <v>0</v>
      </c>
      <c r="AX789">
        <v>0</v>
      </c>
      <c r="AY789">
        <v>0</v>
      </c>
      <c r="AZ789">
        <v>0</v>
      </c>
      <c r="BA789">
        <v>0</v>
      </c>
      <c r="BB789">
        <v>0</v>
      </c>
      <c r="BG789">
        <v>0</v>
      </c>
      <c r="BH789">
        <v>1</v>
      </c>
      <c r="BI789">
        <v>2</v>
      </c>
      <c r="BJ789">
        <v>0.9</v>
      </c>
      <c r="BK789">
        <v>2</v>
      </c>
      <c r="BL789">
        <v>35.979999999999997</v>
      </c>
      <c r="BM789">
        <v>5.4</v>
      </c>
      <c r="BN789">
        <v>41.38</v>
      </c>
      <c r="BO789">
        <v>41.38</v>
      </c>
      <c r="BQ789" t="s">
        <v>70</v>
      </c>
      <c r="BR789" t="s">
        <v>71</v>
      </c>
      <c r="BS789" s="1">
        <v>43945</v>
      </c>
      <c r="BT789" s="2">
        <v>0.41666666666666669</v>
      </c>
      <c r="BU789" t="s">
        <v>813</v>
      </c>
      <c r="BV789" t="s">
        <v>80</v>
      </c>
      <c r="BY789">
        <v>4560</v>
      </c>
      <c r="CC789" t="s">
        <v>65</v>
      </c>
      <c r="CD789">
        <v>1609</v>
      </c>
      <c r="CE789" t="s">
        <v>91</v>
      </c>
      <c r="CF789" s="1">
        <v>43949</v>
      </c>
      <c r="CI789">
        <v>1</v>
      </c>
      <c r="CJ789">
        <v>1</v>
      </c>
      <c r="CK789">
        <v>22</v>
      </c>
      <c r="CL789" t="s">
        <v>74</v>
      </c>
    </row>
    <row r="790" spans="1:90" x14ac:dyDescent="0.25">
      <c r="A790" t="s">
        <v>61</v>
      </c>
      <c r="B790" t="s">
        <v>62</v>
      </c>
      <c r="C790" t="s">
        <v>63</v>
      </c>
      <c r="E790" t="str">
        <f>"FES1162745301"</f>
        <v>FES1162745301</v>
      </c>
      <c r="F790" s="1">
        <v>43944</v>
      </c>
      <c r="G790">
        <v>202010</v>
      </c>
      <c r="H790" t="s">
        <v>64</v>
      </c>
      <c r="I790" t="s">
        <v>65</v>
      </c>
      <c r="J790" t="s">
        <v>66</v>
      </c>
      <c r="K790" t="s">
        <v>67</v>
      </c>
      <c r="L790" t="s">
        <v>895</v>
      </c>
      <c r="M790" t="s">
        <v>896</v>
      </c>
      <c r="N790" t="s">
        <v>897</v>
      </c>
      <c r="O790" t="s">
        <v>69</v>
      </c>
      <c r="P790" t="str">
        <f>"2170736502                    "</f>
        <v xml:space="preserve">2170736502                    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19.100000000000001</v>
      </c>
      <c r="AN790">
        <v>0</v>
      </c>
      <c r="AO790">
        <v>0</v>
      </c>
      <c r="AP790">
        <v>0</v>
      </c>
      <c r="AQ790">
        <v>0</v>
      </c>
      <c r="AR790">
        <v>0</v>
      </c>
      <c r="AS790">
        <v>0</v>
      </c>
      <c r="AT790">
        <v>0</v>
      </c>
      <c r="AU790">
        <v>0</v>
      </c>
      <c r="AV790">
        <v>0</v>
      </c>
      <c r="AW790">
        <v>0</v>
      </c>
      <c r="AX790">
        <v>0</v>
      </c>
      <c r="AY790">
        <v>0</v>
      </c>
      <c r="AZ790">
        <v>0</v>
      </c>
      <c r="BA790">
        <v>0</v>
      </c>
      <c r="BB790">
        <v>0</v>
      </c>
      <c r="BG790">
        <v>0</v>
      </c>
      <c r="BH790">
        <v>1</v>
      </c>
      <c r="BI790">
        <v>4.9000000000000004</v>
      </c>
      <c r="BJ790">
        <v>3</v>
      </c>
      <c r="BK790">
        <v>5</v>
      </c>
      <c r="BL790">
        <v>210.14</v>
      </c>
      <c r="BM790">
        <v>31.52</v>
      </c>
      <c r="BN790">
        <v>241.66</v>
      </c>
      <c r="BO790">
        <v>241.66</v>
      </c>
      <c r="BQ790" t="s">
        <v>70</v>
      </c>
      <c r="BR790" t="s">
        <v>71</v>
      </c>
      <c r="BS790" s="1">
        <v>43949</v>
      </c>
      <c r="BT790" s="2">
        <v>0.57777777777777783</v>
      </c>
      <c r="BU790" t="s">
        <v>982</v>
      </c>
      <c r="BV790" t="s">
        <v>74</v>
      </c>
      <c r="BW790" t="s">
        <v>85</v>
      </c>
      <c r="BX790" t="s">
        <v>128</v>
      </c>
      <c r="BY790">
        <v>14938.56</v>
      </c>
      <c r="CA790" t="s">
        <v>899</v>
      </c>
      <c r="CC790" t="s">
        <v>896</v>
      </c>
      <c r="CD790">
        <v>4170</v>
      </c>
      <c r="CE790" t="s">
        <v>91</v>
      </c>
      <c r="CF790" s="1">
        <v>43950</v>
      </c>
      <c r="CI790">
        <v>1</v>
      </c>
      <c r="CJ790">
        <v>3</v>
      </c>
      <c r="CK790">
        <v>23</v>
      </c>
      <c r="CL790" t="s">
        <v>74</v>
      </c>
    </row>
    <row r="791" spans="1:90" x14ac:dyDescent="0.25">
      <c r="A791" t="s">
        <v>61</v>
      </c>
      <c r="B791" t="s">
        <v>62</v>
      </c>
      <c r="C791" t="s">
        <v>63</v>
      </c>
      <c r="E791" t="str">
        <f>"FES1162745290"</f>
        <v>FES1162745290</v>
      </c>
      <c r="F791" s="1">
        <v>43944</v>
      </c>
      <c r="G791">
        <v>202010</v>
      </c>
      <c r="H791" t="s">
        <v>64</v>
      </c>
      <c r="I791" t="s">
        <v>65</v>
      </c>
      <c r="J791" t="s">
        <v>66</v>
      </c>
      <c r="K791" t="s">
        <v>67</v>
      </c>
      <c r="L791" t="s">
        <v>120</v>
      </c>
      <c r="M791" t="s">
        <v>121</v>
      </c>
      <c r="N791" t="s">
        <v>728</v>
      </c>
      <c r="O791" t="s">
        <v>69</v>
      </c>
      <c r="P791" t="str">
        <f>"2170736479                    "</f>
        <v xml:space="preserve">2170736479                    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4.1900000000000004</v>
      </c>
      <c r="AN791">
        <v>0</v>
      </c>
      <c r="AO791">
        <v>0</v>
      </c>
      <c r="AP791">
        <v>0</v>
      </c>
      <c r="AQ791">
        <v>0</v>
      </c>
      <c r="AR791">
        <v>0</v>
      </c>
      <c r="AS791">
        <v>0</v>
      </c>
      <c r="AT791">
        <v>0</v>
      </c>
      <c r="AU791">
        <v>0</v>
      </c>
      <c r="AV791">
        <v>0</v>
      </c>
      <c r="AW791">
        <v>0</v>
      </c>
      <c r="AX791">
        <v>0</v>
      </c>
      <c r="AY791">
        <v>0</v>
      </c>
      <c r="AZ791">
        <v>0</v>
      </c>
      <c r="BA791">
        <v>0</v>
      </c>
      <c r="BB791">
        <v>0</v>
      </c>
      <c r="BG791">
        <v>0</v>
      </c>
      <c r="BH791">
        <v>1</v>
      </c>
      <c r="BI791">
        <v>1</v>
      </c>
      <c r="BJ791">
        <v>0.2</v>
      </c>
      <c r="BK791">
        <v>1</v>
      </c>
      <c r="BL791">
        <v>46.06</v>
      </c>
      <c r="BM791">
        <v>6.91</v>
      </c>
      <c r="BN791">
        <v>52.97</v>
      </c>
      <c r="BO791">
        <v>52.97</v>
      </c>
      <c r="BQ791" t="s">
        <v>109</v>
      </c>
      <c r="BR791" t="s">
        <v>71</v>
      </c>
      <c r="BS791" s="1">
        <v>43945</v>
      </c>
      <c r="BT791" s="2">
        <v>0.3972222222222222</v>
      </c>
      <c r="BU791" t="s">
        <v>983</v>
      </c>
      <c r="BV791" t="s">
        <v>80</v>
      </c>
      <c r="BY791">
        <v>1200</v>
      </c>
      <c r="CA791" t="s">
        <v>430</v>
      </c>
      <c r="CC791" t="s">
        <v>121</v>
      </c>
      <c r="CD791">
        <v>4000</v>
      </c>
      <c r="CE791" t="s">
        <v>73</v>
      </c>
      <c r="CF791" s="1">
        <v>43949</v>
      </c>
      <c r="CI791">
        <v>1</v>
      </c>
      <c r="CJ791">
        <v>1</v>
      </c>
      <c r="CK791">
        <v>21</v>
      </c>
      <c r="CL791" t="s">
        <v>74</v>
      </c>
    </row>
    <row r="792" spans="1:90" x14ac:dyDescent="0.25">
      <c r="A792" t="s">
        <v>61</v>
      </c>
      <c r="B792" t="s">
        <v>62</v>
      </c>
      <c r="C792" t="s">
        <v>63</v>
      </c>
      <c r="E792" t="str">
        <f>"FES1162745365"</f>
        <v>FES1162745365</v>
      </c>
      <c r="F792" s="1">
        <v>43944</v>
      </c>
      <c r="G792">
        <v>202010</v>
      </c>
      <c r="H792" t="s">
        <v>64</v>
      </c>
      <c r="I792" t="s">
        <v>65</v>
      </c>
      <c r="J792" t="s">
        <v>66</v>
      </c>
      <c r="K792" t="s">
        <v>67</v>
      </c>
      <c r="L792" t="s">
        <v>120</v>
      </c>
      <c r="M792" t="s">
        <v>121</v>
      </c>
      <c r="N792" t="s">
        <v>247</v>
      </c>
      <c r="O792" t="s">
        <v>69</v>
      </c>
      <c r="P792" t="str">
        <f>"2170736405                    "</f>
        <v xml:space="preserve">2170736405                    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4.1900000000000004</v>
      </c>
      <c r="AN792">
        <v>0</v>
      </c>
      <c r="AO792">
        <v>0</v>
      </c>
      <c r="AP792">
        <v>0</v>
      </c>
      <c r="AQ792">
        <v>0</v>
      </c>
      <c r="AR792">
        <v>0</v>
      </c>
      <c r="AS792">
        <v>0</v>
      </c>
      <c r="AT792">
        <v>0</v>
      </c>
      <c r="AU792">
        <v>0</v>
      </c>
      <c r="AV792">
        <v>0</v>
      </c>
      <c r="AW792">
        <v>0</v>
      </c>
      <c r="AX792">
        <v>0</v>
      </c>
      <c r="AY792">
        <v>0</v>
      </c>
      <c r="AZ792">
        <v>0</v>
      </c>
      <c r="BA792">
        <v>0</v>
      </c>
      <c r="BB792">
        <v>0</v>
      </c>
      <c r="BG792">
        <v>0</v>
      </c>
      <c r="BH792">
        <v>1</v>
      </c>
      <c r="BI792">
        <v>0.2</v>
      </c>
      <c r="BJ792">
        <v>1.5</v>
      </c>
      <c r="BK792">
        <v>1.5</v>
      </c>
      <c r="BL792">
        <v>46.06</v>
      </c>
      <c r="BM792">
        <v>6.91</v>
      </c>
      <c r="BN792">
        <v>52.97</v>
      </c>
      <c r="BO792">
        <v>52.97</v>
      </c>
      <c r="BQ792" t="s">
        <v>248</v>
      </c>
      <c r="BR792" t="s">
        <v>71</v>
      </c>
      <c r="BS792" t="s">
        <v>72</v>
      </c>
      <c r="BY792">
        <v>7427.78</v>
      </c>
      <c r="CC792" t="s">
        <v>121</v>
      </c>
      <c r="CD792">
        <v>4001</v>
      </c>
      <c r="CE792" t="s">
        <v>73</v>
      </c>
      <c r="CI792">
        <v>1</v>
      </c>
      <c r="CJ792" t="s">
        <v>72</v>
      </c>
      <c r="CK792">
        <v>21</v>
      </c>
      <c r="CL792" t="s">
        <v>74</v>
      </c>
    </row>
    <row r="793" spans="1:90" x14ac:dyDescent="0.25">
      <c r="A793" t="s">
        <v>61</v>
      </c>
      <c r="B793" t="s">
        <v>62</v>
      </c>
      <c r="C793" t="s">
        <v>63</v>
      </c>
      <c r="E793" t="str">
        <f>"FES1162745352"</f>
        <v>FES1162745352</v>
      </c>
      <c r="F793" s="1">
        <v>43944</v>
      </c>
      <c r="G793">
        <v>202010</v>
      </c>
      <c r="H793" t="s">
        <v>64</v>
      </c>
      <c r="I793" t="s">
        <v>65</v>
      </c>
      <c r="J793" t="s">
        <v>66</v>
      </c>
      <c r="K793" t="s">
        <v>67</v>
      </c>
      <c r="L793" t="s">
        <v>693</v>
      </c>
      <c r="M793" t="s">
        <v>694</v>
      </c>
      <c r="N793" t="s">
        <v>984</v>
      </c>
      <c r="O793" t="s">
        <v>69</v>
      </c>
      <c r="P793" t="str">
        <f>"2170735849                    "</f>
        <v xml:space="preserve">2170735849                    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0</v>
      </c>
      <c r="AM793">
        <v>8.11</v>
      </c>
      <c r="AN793">
        <v>0</v>
      </c>
      <c r="AO793">
        <v>0</v>
      </c>
      <c r="AP793">
        <v>0</v>
      </c>
      <c r="AQ793">
        <v>0</v>
      </c>
      <c r="AR793">
        <v>0</v>
      </c>
      <c r="AS793">
        <v>0</v>
      </c>
      <c r="AT793">
        <v>0</v>
      </c>
      <c r="AU793">
        <v>0</v>
      </c>
      <c r="AV793">
        <v>0</v>
      </c>
      <c r="AW793">
        <v>0</v>
      </c>
      <c r="AX793">
        <v>0</v>
      </c>
      <c r="AY793">
        <v>0</v>
      </c>
      <c r="AZ793">
        <v>0</v>
      </c>
      <c r="BA793">
        <v>0</v>
      </c>
      <c r="BB793">
        <v>0</v>
      </c>
      <c r="BG793">
        <v>0</v>
      </c>
      <c r="BH793">
        <v>1</v>
      </c>
      <c r="BI793">
        <v>1.1000000000000001</v>
      </c>
      <c r="BJ793">
        <v>2</v>
      </c>
      <c r="BK793">
        <v>2</v>
      </c>
      <c r="BL793">
        <v>89.23</v>
      </c>
      <c r="BM793">
        <v>13.38</v>
      </c>
      <c r="BN793">
        <v>102.61</v>
      </c>
      <c r="BO793">
        <v>102.61</v>
      </c>
      <c r="BQ793" t="s">
        <v>78</v>
      </c>
      <c r="BR793" t="s">
        <v>71</v>
      </c>
      <c r="BS793" s="1">
        <v>43951</v>
      </c>
      <c r="BT793" s="2">
        <v>0.5</v>
      </c>
      <c r="BU793" t="s">
        <v>985</v>
      </c>
      <c r="BY793">
        <v>10218.35</v>
      </c>
      <c r="CC793" t="s">
        <v>694</v>
      </c>
      <c r="CD793">
        <v>3236</v>
      </c>
      <c r="CE793" t="s">
        <v>73</v>
      </c>
      <c r="CI793">
        <v>4</v>
      </c>
      <c r="CJ793">
        <v>5</v>
      </c>
      <c r="CK793">
        <v>23</v>
      </c>
      <c r="CL793" t="s">
        <v>74</v>
      </c>
    </row>
    <row r="794" spans="1:90" x14ac:dyDescent="0.25">
      <c r="A794" t="s">
        <v>61</v>
      </c>
      <c r="B794" t="s">
        <v>62</v>
      </c>
      <c r="C794" t="s">
        <v>63</v>
      </c>
      <c r="E794" t="str">
        <f>"FES1162745229"</f>
        <v>FES1162745229</v>
      </c>
      <c r="F794" s="1">
        <v>43944</v>
      </c>
      <c r="G794">
        <v>202010</v>
      </c>
      <c r="H794" t="s">
        <v>64</v>
      </c>
      <c r="I794" t="s">
        <v>65</v>
      </c>
      <c r="J794" t="s">
        <v>66</v>
      </c>
      <c r="K794" t="s">
        <v>67</v>
      </c>
      <c r="L794" t="s">
        <v>158</v>
      </c>
      <c r="M794" t="s">
        <v>159</v>
      </c>
      <c r="N794" t="s">
        <v>913</v>
      </c>
      <c r="O794" t="s">
        <v>69</v>
      </c>
      <c r="P794" t="str">
        <f>"2170735757                    "</f>
        <v xml:space="preserve">2170735757                    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4.1900000000000004</v>
      </c>
      <c r="AN794">
        <v>0</v>
      </c>
      <c r="AO794">
        <v>0</v>
      </c>
      <c r="AP794">
        <v>0</v>
      </c>
      <c r="AQ794">
        <v>0</v>
      </c>
      <c r="AR794">
        <v>0</v>
      </c>
      <c r="AS794">
        <v>0</v>
      </c>
      <c r="AT794">
        <v>0</v>
      </c>
      <c r="AU794">
        <v>0</v>
      </c>
      <c r="AV794">
        <v>0</v>
      </c>
      <c r="AW794">
        <v>0</v>
      </c>
      <c r="AX794">
        <v>0</v>
      </c>
      <c r="AY794">
        <v>0</v>
      </c>
      <c r="AZ794">
        <v>0</v>
      </c>
      <c r="BA794">
        <v>0</v>
      </c>
      <c r="BB794">
        <v>0</v>
      </c>
      <c r="BG794">
        <v>0</v>
      </c>
      <c r="BH794">
        <v>1</v>
      </c>
      <c r="BI794">
        <v>1.2</v>
      </c>
      <c r="BJ794">
        <v>0.9</v>
      </c>
      <c r="BK794">
        <v>1.5</v>
      </c>
      <c r="BL794">
        <v>46.06</v>
      </c>
      <c r="BM794">
        <v>6.91</v>
      </c>
      <c r="BN794">
        <v>52.97</v>
      </c>
      <c r="BO794">
        <v>52.97</v>
      </c>
      <c r="BQ794" t="s">
        <v>109</v>
      </c>
      <c r="BR794" t="s">
        <v>71</v>
      </c>
      <c r="BS794" s="1">
        <v>43949</v>
      </c>
      <c r="BT794" s="2">
        <v>0.5</v>
      </c>
      <c r="BU794" t="s">
        <v>986</v>
      </c>
      <c r="BV794" t="s">
        <v>74</v>
      </c>
      <c r="BY794">
        <v>4507.49</v>
      </c>
      <c r="CC794" t="s">
        <v>159</v>
      </c>
      <c r="CD794">
        <v>3280</v>
      </c>
      <c r="CE794" t="s">
        <v>73</v>
      </c>
      <c r="CF794" s="1">
        <v>43951</v>
      </c>
      <c r="CI794">
        <v>1</v>
      </c>
      <c r="CJ794">
        <v>3</v>
      </c>
      <c r="CK794">
        <v>21</v>
      </c>
      <c r="CL794" t="s">
        <v>74</v>
      </c>
    </row>
    <row r="795" spans="1:90" x14ac:dyDescent="0.25">
      <c r="A795" t="s">
        <v>61</v>
      </c>
      <c r="B795" t="s">
        <v>62</v>
      </c>
      <c r="C795" t="s">
        <v>63</v>
      </c>
      <c r="E795" t="str">
        <f>"FES1162745338"</f>
        <v>FES1162745338</v>
      </c>
      <c r="F795" s="1">
        <v>43944</v>
      </c>
      <c r="G795">
        <v>202010</v>
      </c>
      <c r="H795" t="s">
        <v>64</v>
      </c>
      <c r="I795" t="s">
        <v>65</v>
      </c>
      <c r="J795" t="s">
        <v>66</v>
      </c>
      <c r="K795" t="s">
        <v>67</v>
      </c>
      <c r="L795" t="s">
        <v>151</v>
      </c>
      <c r="M795" t="s">
        <v>152</v>
      </c>
      <c r="N795" t="s">
        <v>414</v>
      </c>
      <c r="O795" t="s">
        <v>69</v>
      </c>
      <c r="P795" t="str">
        <f>"2170735503                    "</f>
        <v xml:space="preserve">2170735503                    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4.1900000000000004</v>
      </c>
      <c r="AN795">
        <v>0</v>
      </c>
      <c r="AO795">
        <v>0</v>
      </c>
      <c r="AP795">
        <v>0</v>
      </c>
      <c r="AQ795">
        <v>0</v>
      </c>
      <c r="AR795">
        <v>0</v>
      </c>
      <c r="AS795">
        <v>0</v>
      </c>
      <c r="AT795">
        <v>0</v>
      </c>
      <c r="AU795">
        <v>0</v>
      </c>
      <c r="AV795">
        <v>0</v>
      </c>
      <c r="AW795">
        <v>0</v>
      </c>
      <c r="AX795">
        <v>0</v>
      </c>
      <c r="AY795">
        <v>0</v>
      </c>
      <c r="AZ795">
        <v>0</v>
      </c>
      <c r="BA795">
        <v>0</v>
      </c>
      <c r="BB795">
        <v>0</v>
      </c>
      <c r="BG795">
        <v>0</v>
      </c>
      <c r="BH795">
        <v>1</v>
      </c>
      <c r="BI795">
        <v>1</v>
      </c>
      <c r="BJ795">
        <v>0.2</v>
      </c>
      <c r="BK795">
        <v>1</v>
      </c>
      <c r="BL795">
        <v>46.06</v>
      </c>
      <c r="BM795">
        <v>6.91</v>
      </c>
      <c r="BN795">
        <v>52.97</v>
      </c>
      <c r="BO795">
        <v>52.97</v>
      </c>
      <c r="BQ795" t="s">
        <v>78</v>
      </c>
      <c r="BR795" t="s">
        <v>71</v>
      </c>
      <c r="BS795" s="1">
        <v>43949</v>
      </c>
      <c r="BT795" s="2">
        <v>8.3333333333333329E-2</v>
      </c>
      <c r="BU795" t="s">
        <v>987</v>
      </c>
      <c r="BV795" t="s">
        <v>74</v>
      </c>
      <c r="BY795">
        <v>1200</v>
      </c>
      <c r="CC795" t="s">
        <v>152</v>
      </c>
      <c r="CD795">
        <v>3201</v>
      </c>
      <c r="CE795" t="s">
        <v>73</v>
      </c>
      <c r="CF795" s="1">
        <v>43951</v>
      </c>
      <c r="CI795">
        <v>1</v>
      </c>
      <c r="CJ795">
        <v>3</v>
      </c>
      <c r="CK795">
        <v>21</v>
      </c>
      <c r="CL795" t="s">
        <v>74</v>
      </c>
    </row>
    <row r="796" spans="1:90" x14ac:dyDescent="0.25">
      <c r="A796" t="s">
        <v>61</v>
      </c>
      <c r="B796" t="s">
        <v>62</v>
      </c>
      <c r="C796" t="s">
        <v>63</v>
      </c>
      <c r="E796" t="str">
        <f>"FES1162745259"</f>
        <v>FES1162745259</v>
      </c>
      <c r="F796" s="1">
        <v>43944</v>
      </c>
      <c r="G796">
        <v>202010</v>
      </c>
      <c r="H796" t="s">
        <v>64</v>
      </c>
      <c r="I796" t="s">
        <v>65</v>
      </c>
      <c r="J796" t="s">
        <v>66</v>
      </c>
      <c r="K796" t="s">
        <v>67</v>
      </c>
      <c r="L796" t="s">
        <v>368</v>
      </c>
      <c r="M796" t="s">
        <v>369</v>
      </c>
      <c r="N796" t="s">
        <v>599</v>
      </c>
      <c r="O796" t="s">
        <v>69</v>
      </c>
      <c r="P796" t="str">
        <f>"2170736254                    "</f>
        <v xml:space="preserve">2170736254                    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3.27</v>
      </c>
      <c r="AN796">
        <v>0</v>
      </c>
      <c r="AO796">
        <v>0</v>
      </c>
      <c r="AP796">
        <v>0</v>
      </c>
      <c r="AQ796">
        <v>0</v>
      </c>
      <c r="AR796">
        <v>0</v>
      </c>
      <c r="AS796">
        <v>0</v>
      </c>
      <c r="AT796">
        <v>0</v>
      </c>
      <c r="AU796">
        <v>0</v>
      </c>
      <c r="AV796">
        <v>0</v>
      </c>
      <c r="AW796">
        <v>0</v>
      </c>
      <c r="AX796">
        <v>0</v>
      </c>
      <c r="AY796">
        <v>0</v>
      </c>
      <c r="AZ796">
        <v>0</v>
      </c>
      <c r="BA796">
        <v>0</v>
      </c>
      <c r="BB796">
        <v>0</v>
      </c>
      <c r="BG796">
        <v>0</v>
      </c>
      <c r="BH796">
        <v>1</v>
      </c>
      <c r="BI796">
        <v>1</v>
      </c>
      <c r="BJ796">
        <v>0.2</v>
      </c>
      <c r="BK796">
        <v>1</v>
      </c>
      <c r="BL796">
        <v>35.979999999999997</v>
      </c>
      <c r="BM796">
        <v>5.4</v>
      </c>
      <c r="BN796">
        <v>41.38</v>
      </c>
      <c r="BO796">
        <v>41.38</v>
      </c>
      <c r="BQ796" t="s">
        <v>78</v>
      </c>
      <c r="BR796" t="s">
        <v>71</v>
      </c>
      <c r="BS796" s="1">
        <v>43945</v>
      </c>
      <c r="BT796" s="2">
        <v>0.63124999999999998</v>
      </c>
      <c r="BU796" t="s">
        <v>988</v>
      </c>
      <c r="BV796" t="s">
        <v>74</v>
      </c>
      <c r="BW796" t="s">
        <v>85</v>
      </c>
      <c r="BX796" t="s">
        <v>606</v>
      </c>
      <c r="BY796">
        <v>1200</v>
      </c>
      <c r="CA796" t="s">
        <v>428</v>
      </c>
      <c r="CC796" t="s">
        <v>369</v>
      </c>
      <c r="CD796">
        <v>1422</v>
      </c>
      <c r="CE796" t="s">
        <v>73</v>
      </c>
      <c r="CF796" s="1">
        <v>43949</v>
      </c>
      <c r="CI796">
        <v>1</v>
      </c>
      <c r="CJ796">
        <v>1</v>
      </c>
      <c r="CK796">
        <v>22</v>
      </c>
      <c r="CL796" t="s">
        <v>74</v>
      </c>
    </row>
    <row r="797" spans="1:90" x14ac:dyDescent="0.25">
      <c r="A797" t="s">
        <v>61</v>
      </c>
      <c r="B797" t="s">
        <v>62</v>
      </c>
      <c r="C797" t="s">
        <v>63</v>
      </c>
      <c r="E797" t="str">
        <f>"FES1162745315"</f>
        <v>FES1162745315</v>
      </c>
      <c r="F797" s="1">
        <v>43944</v>
      </c>
      <c r="G797">
        <v>202010</v>
      </c>
      <c r="H797" t="s">
        <v>64</v>
      </c>
      <c r="I797" t="s">
        <v>65</v>
      </c>
      <c r="J797" t="s">
        <v>66</v>
      </c>
      <c r="K797" t="s">
        <v>67</v>
      </c>
      <c r="L797" t="s">
        <v>120</v>
      </c>
      <c r="M797" t="s">
        <v>121</v>
      </c>
      <c r="N797" t="s">
        <v>412</v>
      </c>
      <c r="O797" t="s">
        <v>69</v>
      </c>
      <c r="P797" t="str">
        <f>"2170735348                    "</f>
        <v xml:space="preserve">2170735348                    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4.1900000000000004</v>
      </c>
      <c r="AN797">
        <v>0</v>
      </c>
      <c r="AO797">
        <v>0</v>
      </c>
      <c r="AP797">
        <v>0</v>
      </c>
      <c r="AQ797">
        <v>0</v>
      </c>
      <c r="AR797">
        <v>0</v>
      </c>
      <c r="AS797">
        <v>0</v>
      </c>
      <c r="AT797">
        <v>0</v>
      </c>
      <c r="AU797">
        <v>0</v>
      </c>
      <c r="AV797">
        <v>0</v>
      </c>
      <c r="AW797">
        <v>0</v>
      </c>
      <c r="AX797">
        <v>0</v>
      </c>
      <c r="AY797">
        <v>0</v>
      </c>
      <c r="AZ797">
        <v>0</v>
      </c>
      <c r="BA797">
        <v>0</v>
      </c>
      <c r="BB797">
        <v>0</v>
      </c>
      <c r="BG797">
        <v>0</v>
      </c>
      <c r="BH797">
        <v>1</v>
      </c>
      <c r="BI797">
        <v>1</v>
      </c>
      <c r="BJ797">
        <v>0.2</v>
      </c>
      <c r="BK797">
        <v>1</v>
      </c>
      <c r="BL797">
        <v>46.06</v>
      </c>
      <c r="BM797">
        <v>6.91</v>
      </c>
      <c r="BN797">
        <v>52.97</v>
      </c>
      <c r="BO797">
        <v>52.97</v>
      </c>
      <c r="BQ797" t="s">
        <v>989</v>
      </c>
      <c r="BR797" t="s">
        <v>71</v>
      </c>
      <c r="BS797" s="1">
        <v>43949</v>
      </c>
      <c r="BT797" s="2">
        <v>0.63124999999999998</v>
      </c>
      <c r="BU797" t="s">
        <v>990</v>
      </c>
      <c r="BV797" t="s">
        <v>74</v>
      </c>
      <c r="BW797" t="s">
        <v>85</v>
      </c>
      <c r="BX797" t="s">
        <v>128</v>
      </c>
      <c r="BY797">
        <v>1200</v>
      </c>
      <c r="CA797" t="s">
        <v>811</v>
      </c>
      <c r="CC797" t="s">
        <v>121</v>
      </c>
      <c r="CD797">
        <v>4072</v>
      </c>
      <c r="CE797" t="s">
        <v>73</v>
      </c>
      <c r="CF797" s="1">
        <v>43950</v>
      </c>
      <c r="CI797">
        <v>1</v>
      </c>
      <c r="CJ797">
        <v>3</v>
      </c>
      <c r="CK797">
        <v>21</v>
      </c>
      <c r="CL797" t="s">
        <v>74</v>
      </c>
    </row>
    <row r="798" spans="1:90" x14ac:dyDescent="0.25">
      <c r="A798" t="s">
        <v>61</v>
      </c>
      <c r="B798" t="s">
        <v>62</v>
      </c>
      <c r="C798" t="s">
        <v>63</v>
      </c>
      <c r="E798" t="str">
        <f>"FES1162745354"</f>
        <v>FES1162745354</v>
      </c>
      <c r="F798" s="1">
        <v>43944</v>
      </c>
      <c r="G798">
        <v>202010</v>
      </c>
      <c r="H798" t="s">
        <v>64</v>
      </c>
      <c r="I798" t="s">
        <v>65</v>
      </c>
      <c r="J798" t="s">
        <v>66</v>
      </c>
      <c r="K798" t="s">
        <v>67</v>
      </c>
      <c r="L798" t="s">
        <v>791</v>
      </c>
      <c r="M798" t="s">
        <v>792</v>
      </c>
      <c r="N798" t="s">
        <v>793</v>
      </c>
      <c r="O798" t="s">
        <v>69</v>
      </c>
      <c r="P798" t="str">
        <f>"2170736106                    "</f>
        <v xml:space="preserve">2170736106                    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0</v>
      </c>
      <c r="AM798">
        <v>8.11</v>
      </c>
      <c r="AN798">
        <v>0</v>
      </c>
      <c r="AO798">
        <v>0</v>
      </c>
      <c r="AP798">
        <v>0</v>
      </c>
      <c r="AQ798">
        <v>0</v>
      </c>
      <c r="AR798">
        <v>0</v>
      </c>
      <c r="AS798">
        <v>0</v>
      </c>
      <c r="AT798">
        <v>0</v>
      </c>
      <c r="AU798">
        <v>0</v>
      </c>
      <c r="AV798">
        <v>0</v>
      </c>
      <c r="AW798">
        <v>0</v>
      </c>
      <c r="AX798">
        <v>0</v>
      </c>
      <c r="AY798">
        <v>0</v>
      </c>
      <c r="AZ798">
        <v>0</v>
      </c>
      <c r="BA798">
        <v>0</v>
      </c>
      <c r="BB798">
        <v>0</v>
      </c>
      <c r="BG798">
        <v>0</v>
      </c>
      <c r="BH798">
        <v>1</v>
      </c>
      <c r="BI798">
        <v>1</v>
      </c>
      <c r="BJ798">
        <v>0.2</v>
      </c>
      <c r="BK798">
        <v>1</v>
      </c>
      <c r="BL798">
        <v>89.23</v>
      </c>
      <c r="BM798">
        <v>13.38</v>
      </c>
      <c r="BN798">
        <v>102.61</v>
      </c>
      <c r="BO798">
        <v>102.61</v>
      </c>
      <c r="BQ798" t="s">
        <v>78</v>
      </c>
      <c r="BR798" t="s">
        <v>71</v>
      </c>
      <c r="BS798" s="1">
        <v>43949</v>
      </c>
      <c r="BT798" s="2">
        <v>0.52083333333333337</v>
      </c>
      <c r="BU798" t="s">
        <v>927</v>
      </c>
      <c r="BV798" t="s">
        <v>80</v>
      </c>
      <c r="BY798">
        <v>1200</v>
      </c>
      <c r="CA798" t="s">
        <v>795</v>
      </c>
      <c r="CC798" t="s">
        <v>792</v>
      </c>
      <c r="CD798">
        <v>7160</v>
      </c>
      <c r="CE798" t="s">
        <v>73</v>
      </c>
      <c r="CI798">
        <v>3</v>
      </c>
      <c r="CJ798">
        <v>3</v>
      </c>
      <c r="CK798">
        <v>23</v>
      </c>
      <c r="CL798" t="s">
        <v>74</v>
      </c>
    </row>
    <row r="799" spans="1:90" x14ac:dyDescent="0.25">
      <c r="A799" t="s">
        <v>61</v>
      </c>
      <c r="B799" t="s">
        <v>62</v>
      </c>
      <c r="C799" t="s">
        <v>63</v>
      </c>
      <c r="E799" t="str">
        <f>"FES1162745249"</f>
        <v>FES1162745249</v>
      </c>
      <c r="F799" s="1">
        <v>43944</v>
      </c>
      <c r="G799">
        <v>202010</v>
      </c>
      <c r="H799" t="s">
        <v>64</v>
      </c>
      <c r="I799" t="s">
        <v>65</v>
      </c>
      <c r="J799" t="s">
        <v>66</v>
      </c>
      <c r="K799" t="s">
        <v>67</v>
      </c>
      <c r="L799" t="s">
        <v>212</v>
      </c>
      <c r="M799" t="s">
        <v>213</v>
      </c>
      <c r="N799" t="s">
        <v>935</v>
      </c>
      <c r="O799" t="s">
        <v>69</v>
      </c>
      <c r="P799" t="str">
        <f>"2170732718                    "</f>
        <v xml:space="preserve">2170732718                    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4.1900000000000004</v>
      </c>
      <c r="AN799">
        <v>0</v>
      </c>
      <c r="AO799">
        <v>0</v>
      </c>
      <c r="AP799">
        <v>0</v>
      </c>
      <c r="AQ799">
        <v>0</v>
      </c>
      <c r="AR799">
        <v>0</v>
      </c>
      <c r="AS799">
        <v>0</v>
      </c>
      <c r="AT799">
        <v>0</v>
      </c>
      <c r="AU799">
        <v>0</v>
      </c>
      <c r="AV799">
        <v>0</v>
      </c>
      <c r="AW799">
        <v>0</v>
      </c>
      <c r="AX799">
        <v>0</v>
      </c>
      <c r="AY799">
        <v>0</v>
      </c>
      <c r="AZ799">
        <v>0</v>
      </c>
      <c r="BA799">
        <v>0</v>
      </c>
      <c r="BB799">
        <v>0</v>
      </c>
      <c r="BG799">
        <v>0</v>
      </c>
      <c r="BH799">
        <v>1</v>
      </c>
      <c r="BI799">
        <v>1</v>
      </c>
      <c r="BJ799">
        <v>0.2</v>
      </c>
      <c r="BK799">
        <v>1</v>
      </c>
      <c r="BL799">
        <v>46.06</v>
      </c>
      <c r="BM799">
        <v>6.91</v>
      </c>
      <c r="BN799">
        <v>52.97</v>
      </c>
      <c r="BO799">
        <v>52.97</v>
      </c>
      <c r="BQ799" t="s">
        <v>70</v>
      </c>
      <c r="BR799" t="s">
        <v>71</v>
      </c>
      <c r="BS799" s="1">
        <v>43945</v>
      </c>
      <c r="BT799" s="2">
        <v>0.3972222222222222</v>
      </c>
      <c r="BU799" t="s">
        <v>991</v>
      </c>
      <c r="BV799" t="s">
        <v>80</v>
      </c>
      <c r="BY799">
        <v>1200</v>
      </c>
      <c r="CA799" t="s">
        <v>711</v>
      </c>
      <c r="CC799" t="s">
        <v>213</v>
      </c>
      <c r="CD799">
        <v>3610</v>
      </c>
      <c r="CE799" t="s">
        <v>73</v>
      </c>
      <c r="CF799" s="1">
        <v>43949</v>
      </c>
      <c r="CI799">
        <v>1</v>
      </c>
      <c r="CJ799">
        <v>1</v>
      </c>
      <c r="CK799">
        <v>21</v>
      </c>
      <c r="CL799" t="s">
        <v>74</v>
      </c>
    </row>
    <row r="800" spans="1:90" x14ac:dyDescent="0.25">
      <c r="A800" t="s">
        <v>61</v>
      </c>
      <c r="B800" t="s">
        <v>62</v>
      </c>
      <c r="C800" t="s">
        <v>63</v>
      </c>
      <c r="E800" t="str">
        <f>"FES1162745373"</f>
        <v>FES1162745373</v>
      </c>
      <c r="F800" s="1">
        <v>43944</v>
      </c>
      <c r="G800">
        <v>202010</v>
      </c>
      <c r="H800" t="s">
        <v>64</v>
      </c>
      <c r="I800" t="s">
        <v>65</v>
      </c>
      <c r="J800" t="s">
        <v>66</v>
      </c>
      <c r="K800" t="s">
        <v>67</v>
      </c>
      <c r="L800" t="s">
        <v>120</v>
      </c>
      <c r="M800" t="s">
        <v>121</v>
      </c>
      <c r="N800" t="s">
        <v>728</v>
      </c>
      <c r="O800" t="s">
        <v>69</v>
      </c>
      <c r="P800" t="str">
        <f>"2170736518                    "</f>
        <v xml:space="preserve">2170736518                    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4.1900000000000004</v>
      </c>
      <c r="AN800">
        <v>0</v>
      </c>
      <c r="AO800">
        <v>0</v>
      </c>
      <c r="AP800">
        <v>0</v>
      </c>
      <c r="AQ800">
        <v>0</v>
      </c>
      <c r="AR800">
        <v>0</v>
      </c>
      <c r="AS800">
        <v>0</v>
      </c>
      <c r="AT800">
        <v>0</v>
      </c>
      <c r="AU800">
        <v>0</v>
      </c>
      <c r="AV800">
        <v>0</v>
      </c>
      <c r="AW800">
        <v>0</v>
      </c>
      <c r="AX800">
        <v>0</v>
      </c>
      <c r="AY800">
        <v>0</v>
      </c>
      <c r="AZ800">
        <v>0</v>
      </c>
      <c r="BA800">
        <v>0</v>
      </c>
      <c r="BB800">
        <v>0</v>
      </c>
      <c r="BG800">
        <v>0</v>
      </c>
      <c r="BH800">
        <v>1</v>
      </c>
      <c r="BI800">
        <v>1</v>
      </c>
      <c r="BJ800">
        <v>0.2</v>
      </c>
      <c r="BK800">
        <v>1</v>
      </c>
      <c r="BL800">
        <v>46.06</v>
      </c>
      <c r="BM800">
        <v>6.91</v>
      </c>
      <c r="BN800">
        <v>52.97</v>
      </c>
      <c r="BO800">
        <v>52.97</v>
      </c>
      <c r="BQ800" t="s">
        <v>109</v>
      </c>
      <c r="BR800" t="s">
        <v>71</v>
      </c>
      <c r="BS800" s="1">
        <v>43945</v>
      </c>
      <c r="BT800" s="2">
        <v>0.3972222222222222</v>
      </c>
      <c r="BU800" t="s">
        <v>983</v>
      </c>
      <c r="BV800" t="s">
        <v>80</v>
      </c>
      <c r="BY800">
        <v>1200</v>
      </c>
      <c r="CA800" t="s">
        <v>430</v>
      </c>
      <c r="CC800" t="s">
        <v>121</v>
      </c>
      <c r="CD800">
        <v>4000</v>
      </c>
      <c r="CE800" t="s">
        <v>73</v>
      </c>
      <c r="CF800" s="1">
        <v>43949</v>
      </c>
      <c r="CI800">
        <v>1</v>
      </c>
      <c r="CJ800">
        <v>1</v>
      </c>
      <c r="CK800">
        <v>21</v>
      </c>
      <c r="CL800" t="s">
        <v>74</v>
      </c>
    </row>
    <row r="801" spans="1:90" x14ac:dyDescent="0.25">
      <c r="A801" t="s">
        <v>61</v>
      </c>
      <c r="B801" t="s">
        <v>62</v>
      </c>
      <c r="C801" t="s">
        <v>63</v>
      </c>
      <c r="E801" t="str">
        <f>"FES1162745381"</f>
        <v>FES1162745381</v>
      </c>
      <c r="F801" s="1">
        <v>43944</v>
      </c>
      <c r="G801">
        <v>202010</v>
      </c>
      <c r="H801" t="s">
        <v>64</v>
      </c>
      <c r="I801" t="s">
        <v>65</v>
      </c>
      <c r="J801" t="s">
        <v>66</v>
      </c>
      <c r="K801" t="s">
        <v>67</v>
      </c>
      <c r="L801" t="s">
        <v>92</v>
      </c>
      <c r="M801" t="s">
        <v>93</v>
      </c>
      <c r="N801" t="s">
        <v>788</v>
      </c>
      <c r="O801" t="s">
        <v>69</v>
      </c>
      <c r="P801" t="str">
        <f>"2170736528                    "</f>
        <v xml:space="preserve">2170736528                    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0</v>
      </c>
      <c r="AM801">
        <v>4.1900000000000004</v>
      </c>
      <c r="AN801">
        <v>0</v>
      </c>
      <c r="AO801">
        <v>0</v>
      </c>
      <c r="AP801">
        <v>0</v>
      </c>
      <c r="AQ801">
        <v>0</v>
      </c>
      <c r="AR801">
        <v>0</v>
      </c>
      <c r="AS801">
        <v>0</v>
      </c>
      <c r="AT801">
        <v>0</v>
      </c>
      <c r="AU801">
        <v>0</v>
      </c>
      <c r="AV801">
        <v>0</v>
      </c>
      <c r="AW801">
        <v>0</v>
      </c>
      <c r="AX801">
        <v>0</v>
      </c>
      <c r="AY801">
        <v>0</v>
      </c>
      <c r="AZ801">
        <v>0</v>
      </c>
      <c r="BA801">
        <v>0</v>
      </c>
      <c r="BB801">
        <v>0</v>
      </c>
      <c r="BG801">
        <v>0</v>
      </c>
      <c r="BH801">
        <v>1</v>
      </c>
      <c r="BI801">
        <v>1.3</v>
      </c>
      <c r="BJ801">
        <v>2</v>
      </c>
      <c r="BK801">
        <v>2</v>
      </c>
      <c r="BL801">
        <v>46.06</v>
      </c>
      <c r="BM801">
        <v>6.91</v>
      </c>
      <c r="BN801">
        <v>52.97</v>
      </c>
      <c r="BO801">
        <v>52.97</v>
      </c>
      <c r="BQ801" t="s">
        <v>70</v>
      </c>
      <c r="BR801" t="s">
        <v>71</v>
      </c>
      <c r="BS801" s="1">
        <v>43945</v>
      </c>
      <c r="BT801" s="2">
        <v>0.41388888888888892</v>
      </c>
      <c r="BU801" t="s">
        <v>789</v>
      </c>
      <c r="BV801" t="s">
        <v>80</v>
      </c>
      <c r="BY801">
        <v>9887.18</v>
      </c>
      <c r="CA801" t="s">
        <v>98</v>
      </c>
      <c r="CC801" t="s">
        <v>93</v>
      </c>
      <c r="CD801">
        <v>7925</v>
      </c>
      <c r="CE801" t="s">
        <v>73</v>
      </c>
      <c r="CF801" s="1">
        <v>43949</v>
      </c>
      <c r="CI801">
        <v>1</v>
      </c>
      <c r="CJ801">
        <v>1</v>
      </c>
      <c r="CK801">
        <v>21</v>
      </c>
      <c r="CL801" t="s">
        <v>74</v>
      </c>
    </row>
    <row r="802" spans="1:90" x14ac:dyDescent="0.25">
      <c r="A802" t="s">
        <v>61</v>
      </c>
      <c r="B802" t="s">
        <v>62</v>
      </c>
      <c r="C802" t="s">
        <v>63</v>
      </c>
      <c r="E802" t="str">
        <f>"FES1162745372"</f>
        <v>FES1162745372</v>
      </c>
      <c r="F802" s="1">
        <v>43944</v>
      </c>
      <c r="G802">
        <v>202010</v>
      </c>
      <c r="H802" t="s">
        <v>64</v>
      </c>
      <c r="I802" t="s">
        <v>65</v>
      </c>
      <c r="J802" t="s">
        <v>66</v>
      </c>
      <c r="K802" t="s">
        <v>67</v>
      </c>
      <c r="L802" t="s">
        <v>262</v>
      </c>
      <c r="M802" t="s">
        <v>262</v>
      </c>
      <c r="N802" t="s">
        <v>545</v>
      </c>
      <c r="O802" t="s">
        <v>69</v>
      </c>
      <c r="P802" t="str">
        <f>"2170736514                    "</f>
        <v xml:space="preserve">2170736514                    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8.11</v>
      </c>
      <c r="AN802">
        <v>0</v>
      </c>
      <c r="AO802">
        <v>0</v>
      </c>
      <c r="AP802">
        <v>0</v>
      </c>
      <c r="AQ802">
        <v>0</v>
      </c>
      <c r="AR802">
        <v>0</v>
      </c>
      <c r="AS802">
        <v>0</v>
      </c>
      <c r="AT802">
        <v>0</v>
      </c>
      <c r="AU802">
        <v>0</v>
      </c>
      <c r="AV802">
        <v>0</v>
      </c>
      <c r="AW802">
        <v>0</v>
      </c>
      <c r="AX802">
        <v>0</v>
      </c>
      <c r="AY802">
        <v>0</v>
      </c>
      <c r="AZ802">
        <v>0</v>
      </c>
      <c r="BA802">
        <v>0</v>
      </c>
      <c r="BB802">
        <v>0</v>
      </c>
      <c r="BG802">
        <v>0</v>
      </c>
      <c r="BH802">
        <v>1</v>
      </c>
      <c r="BI802">
        <v>1</v>
      </c>
      <c r="BJ802">
        <v>0.2</v>
      </c>
      <c r="BK802">
        <v>1</v>
      </c>
      <c r="BL802">
        <v>89.23</v>
      </c>
      <c r="BM802">
        <v>13.38</v>
      </c>
      <c r="BN802">
        <v>102.61</v>
      </c>
      <c r="BO802">
        <v>102.61</v>
      </c>
      <c r="BQ802" t="s">
        <v>70</v>
      </c>
      <c r="BR802" t="s">
        <v>71</v>
      </c>
      <c r="BS802" s="1">
        <v>43945</v>
      </c>
      <c r="BT802" s="2">
        <v>0.48055555555555557</v>
      </c>
      <c r="BU802" t="s">
        <v>546</v>
      </c>
      <c r="BV802" t="s">
        <v>80</v>
      </c>
      <c r="BY802">
        <v>1200</v>
      </c>
      <c r="CA802" t="s">
        <v>266</v>
      </c>
      <c r="CC802" t="s">
        <v>262</v>
      </c>
      <c r="CD802">
        <v>7646</v>
      </c>
      <c r="CE802" t="s">
        <v>73</v>
      </c>
      <c r="CF802" s="1">
        <v>43949</v>
      </c>
      <c r="CI802">
        <v>1</v>
      </c>
      <c r="CJ802">
        <v>1</v>
      </c>
      <c r="CK802">
        <v>23</v>
      </c>
      <c r="CL802" t="s">
        <v>74</v>
      </c>
    </row>
    <row r="803" spans="1:90" x14ac:dyDescent="0.25">
      <c r="A803" t="s">
        <v>61</v>
      </c>
      <c r="B803" t="s">
        <v>62</v>
      </c>
      <c r="C803" t="s">
        <v>63</v>
      </c>
      <c r="E803" t="str">
        <f>"FES1162745326"</f>
        <v>FES1162745326</v>
      </c>
      <c r="F803" s="1">
        <v>43944</v>
      </c>
      <c r="G803">
        <v>202010</v>
      </c>
      <c r="H803" t="s">
        <v>64</v>
      </c>
      <c r="I803" t="s">
        <v>65</v>
      </c>
      <c r="J803" t="s">
        <v>66</v>
      </c>
      <c r="K803" t="s">
        <v>67</v>
      </c>
      <c r="L803" t="s">
        <v>270</v>
      </c>
      <c r="M803" t="s">
        <v>271</v>
      </c>
      <c r="N803" t="s">
        <v>484</v>
      </c>
      <c r="O803" t="s">
        <v>69</v>
      </c>
      <c r="P803" t="str">
        <f>"2170735421                    "</f>
        <v xml:space="preserve">2170735421                    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3.27</v>
      </c>
      <c r="AN803">
        <v>0</v>
      </c>
      <c r="AO803">
        <v>0</v>
      </c>
      <c r="AP803">
        <v>0</v>
      </c>
      <c r="AQ803">
        <v>0</v>
      </c>
      <c r="AR803">
        <v>0</v>
      </c>
      <c r="AS803">
        <v>0</v>
      </c>
      <c r="AT803">
        <v>0</v>
      </c>
      <c r="AU803">
        <v>0</v>
      </c>
      <c r="AV803">
        <v>0</v>
      </c>
      <c r="AW803">
        <v>0</v>
      </c>
      <c r="AX803">
        <v>0</v>
      </c>
      <c r="AY803">
        <v>0</v>
      </c>
      <c r="AZ803">
        <v>0</v>
      </c>
      <c r="BA803">
        <v>0</v>
      </c>
      <c r="BB803">
        <v>0</v>
      </c>
      <c r="BG803">
        <v>0</v>
      </c>
      <c r="BH803">
        <v>1</v>
      </c>
      <c r="BI803">
        <v>1</v>
      </c>
      <c r="BJ803">
        <v>0.2</v>
      </c>
      <c r="BK803">
        <v>1</v>
      </c>
      <c r="BL803">
        <v>35.979999999999997</v>
      </c>
      <c r="BM803">
        <v>5.4</v>
      </c>
      <c r="BN803">
        <v>41.38</v>
      </c>
      <c r="BO803">
        <v>41.38</v>
      </c>
      <c r="BQ803" t="s">
        <v>70</v>
      </c>
      <c r="BR803" t="s">
        <v>71</v>
      </c>
      <c r="BS803" s="1">
        <v>43945</v>
      </c>
      <c r="BT803" s="2">
        <v>0.40277777777777773</v>
      </c>
      <c r="BU803" t="s">
        <v>228</v>
      </c>
      <c r="BV803" t="s">
        <v>80</v>
      </c>
      <c r="BY803">
        <v>1200</v>
      </c>
      <c r="CA803" t="s">
        <v>486</v>
      </c>
      <c r="CC803" t="s">
        <v>271</v>
      </c>
      <c r="CD803">
        <v>2013</v>
      </c>
      <c r="CE803" t="s">
        <v>73</v>
      </c>
      <c r="CF803" s="1">
        <v>43949</v>
      </c>
      <c r="CI803">
        <v>1</v>
      </c>
      <c r="CJ803">
        <v>1</v>
      </c>
      <c r="CK803">
        <v>22</v>
      </c>
      <c r="CL803" t="s">
        <v>74</v>
      </c>
    </row>
    <row r="804" spans="1:90" x14ac:dyDescent="0.25">
      <c r="A804" t="s">
        <v>61</v>
      </c>
      <c r="B804" t="s">
        <v>62</v>
      </c>
      <c r="C804" t="s">
        <v>63</v>
      </c>
      <c r="E804" t="str">
        <f>"FES1162745266"</f>
        <v>FES1162745266</v>
      </c>
      <c r="F804" s="1">
        <v>43944</v>
      </c>
      <c r="G804">
        <v>202010</v>
      </c>
      <c r="H804" t="s">
        <v>64</v>
      </c>
      <c r="I804" t="s">
        <v>65</v>
      </c>
      <c r="J804" t="s">
        <v>66</v>
      </c>
      <c r="K804" t="s">
        <v>67</v>
      </c>
      <c r="L804" t="s">
        <v>64</v>
      </c>
      <c r="M804" t="s">
        <v>65</v>
      </c>
      <c r="N804" t="s">
        <v>992</v>
      </c>
      <c r="O804" t="s">
        <v>69</v>
      </c>
      <c r="P804" t="str">
        <f>"2170732683                    "</f>
        <v xml:space="preserve">2170732683                    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0</v>
      </c>
      <c r="AM804">
        <v>3.66</v>
      </c>
      <c r="AN804">
        <v>0</v>
      </c>
      <c r="AO804">
        <v>0</v>
      </c>
      <c r="AP804">
        <v>0</v>
      </c>
      <c r="AQ804">
        <v>0</v>
      </c>
      <c r="AR804">
        <v>0</v>
      </c>
      <c r="AS804">
        <v>0</v>
      </c>
      <c r="AT804">
        <v>0</v>
      </c>
      <c r="AU804">
        <v>0</v>
      </c>
      <c r="AV804">
        <v>0</v>
      </c>
      <c r="AW804">
        <v>0</v>
      </c>
      <c r="AX804">
        <v>0</v>
      </c>
      <c r="AY804">
        <v>0</v>
      </c>
      <c r="AZ804">
        <v>0</v>
      </c>
      <c r="BA804">
        <v>0</v>
      </c>
      <c r="BB804">
        <v>0</v>
      </c>
      <c r="BG804">
        <v>0</v>
      </c>
      <c r="BH804">
        <v>1</v>
      </c>
      <c r="BI804">
        <v>2.5</v>
      </c>
      <c r="BJ804">
        <v>0.6</v>
      </c>
      <c r="BK804">
        <v>2.5</v>
      </c>
      <c r="BL804">
        <v>40.29</v>
      </c>
      <c r="BM804">
        <v>6.04</v>
      </c>
      <c r="BN804">
        <v>46.33</v>
      </c>
      <c r="BO804">
        <v>46.33</v>
      </c>
      <c r="BQ804" t="s">
        <v>78</v>
      </c>
      <c r="BR804" t="s">
        <v>71</v>
      </c>
      <c r="BS804" s="1">
        <v>43945</v>
      </c>
      <c r="BT804" s="2">
        <v>0.35416666666666669</v>
      </c>
      <c r="BU804" t="s">
        <v>993</v>
      </c>
      <c r="BV804" t="s">
        <v>80</v>
      </c>
      <c r="BY804">
        <v>3190.14</v>
      </c>
      <c r="CC804" t="s">
        <v>65</v>
      </c>
      <c r="CD804">
        <v>1619</v>
      </c>
      <c r="CE804" t="s">
        <v>91</v>
      </c>
      <c r="CF804" s="1">
        <v>43949</v>
      </c>
      <c r="CI804">
        <v>1</v>
      </c>
      <c r="CJ804">
        <v>1</v>
      </c>
      <c r="CK804">
        <v>22</v>
      </c>
      <c r="CL804" t="s">
        <v>74</v>
      </c>
    </row>
    <row r="805" spans="1:90" x14ac:dyDescent="0.25">
      <c r="A805" t="s">
        <v>61</v>
      </c>
      <c r="B805" t="s">
        <v>62</v>
      </c>
      <c r="C805" t="s">
        <v>63</v>
      </c>
      <c r="E805" t="str">
        <f>"FES1162745387"</f>
        <v>FES1162745387</v>
      </c>
      <c r="F805" s="1">
        <v>43944</v>
      </c>
      <c r="G805">
        <v>202010</v>
      </c>
      <c r="H805" t="s">
        <v>64</v>
      </c>
      <c r="I805" t="s">
        <v>65</v>
      </c>
      <c r="J805" t="s">
        <v>66</v>
      </c>
      <c r="K805" t="s">
        <v>67</v>
      </c>
      <c r="L805" t="s">
        <v>64</v>
      </c>
      <c r="M805" t="s">
        <v>65</v>
      </c>
      <c r="N805" t="s">
        <v>994</v>
      </c>
      <c r="O805" t="s">
        <v>69</v>
      </c>
      <c r="P805" t="str">
        <f>"2170736538                    "</f>
        <v xml:space="preserve">2170736538                    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0</v>
      </c>
      <c r="AM805">
        <v>4.84</v>
      </c>
      <c r="AN805">
        <v>0</v>
      </c>
      <c r="AO805">
        <v>0</v>
      </c>
      <c r="AP805">
        <v>0</v>
      </c>
      <c r="AQ805">
        <v>0</v>
      </c>
      <c r="AR805">
        <v>0</v>
      </c>
      <c r="AS805">
        <v>0</v>
      </c>
      <c r="AT805">
        <v>0</v>
      </c>
      <c r="AU805">
        <v>0</v>
      </c>
      <c r="AV805">
        <v>0</v>
      </c>
      <c r="AW805">
        <v>0</v>
      </c>
      <c r="AX805">
        <v>0</v>
      </c>
      <c r="AY805">
        <v>0</v>
      </c>
      <c r="AZ805">
        <v>0</v>
      </c>
      <c r="BA805">
        <v>0</v>
      </c>
      <c r="BB805">
        <v>0</v>
      </c>
      <c r="BG805">
        <v>0</v>
      </c>
      <c r="BH805">
        <v>1</v>
      </c>
      <c r="BI805">
        <v>4</v>
      </c>
      <c r="BJ805">
        <v>1.5</v>
      </c>
      <c r="BK805">
        <v>4</v>
      </c>
      <c r="BL805">
        <v>53.23</v>
      </c>
      <c r="BM805">
        <v>7.98</v>
      </c>
      <c r="BN805">
        <v>61.21</v>
      </c>
      <c r="BO805">
        <v>61.21</v>
      </c>
      <c r="BQ805" t="s">
        <v>78</v>
      </c>
      <c r="BR805" t="s">
        <v>71</v>
      </c>
      <c r="BS805" s="1">
        <v>43945</v>
      </c>
      <c r="BT805" s="2">
        <v>0.41666666666666669</v>
      </c>
      <c r="BU805" t="s">
        <v>995</v>
      </c>
      <c r="BV805" t="s">
        <v>80</v>
      </c>
      <c r="BY805">
        <v>7540</v>
      </c>
      <c r="CC805" t="s">
        <v>65</v>
      </c>
      <c r="CD805">
        <v>1600</v>
      </c>
      <c r="CE805" t="s">
        <v>91</v>
      </c>
      <c r="CF805" s="1">
        <v>43949</v>
      </c>
      <c r="CI805">
        <v>1</v>
      </c>
      <c r="CJ805">
        <v>1</v>
      </c>
      <c r="CK805">
        <v>22</v>
      </c>
      <c r="CL805" t="s">
        <v>74</v>
      </c>
    </row>
    <row r="806" spans="1:90" x14ac:dyDescent="0.25">
      <c r="A806" t="s">
        <v>61</v>
      </c>
      <c r="B806" t="s">
        <v>62</v>
      </c>
      <c r="C806" t="s">
        <v>63</v>
      </c>
      <c r="E806" t="str">
        <f>"FES1162745208"</f>
        <v>FES1162745208</v>
      </c>
      <c r="F806" s="1">
        <v>43944</v>
      </c>
      <c r="G806">
        <v>202010</v>
      </c>
      <c r="H806" t="s">
        <v>64</v>
      </c>
      <c r="I806" t="s">
        <v>65</v>
      </c>
      <c r="J806" t="s">
        <v>66</v>
      </c>
      <c r="K806" t="s">
        <v>67</v>
      </c>
      <c r="L806" t="s">
        <v>92</v>
      </c>
      <c r="M806" t="s">
        <v>93</v>
      </c>
      <c r="N806" t="s">
        <v>295</v>
      </c>
      <c r="O806" t="s">
        <v>69</v>
      </c>
      <c r="P806" t="str">
        <f>"2170735165                    "</f>
        <v xml:space="preserve">2170735165                    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4.1900000000000004</v>
      </c>
      <c r="AN806">
        <v>0</v>
      </c>
      <c r="AO806">
        <v>0</v>
      </c>
      <c r="AP806">
        <v>0</v>
      </c>
      <c r="AQ806">
        <v>0</v>
      </c>
      <c r="AR806">
        <v>0</v>
      </c>
      <c r="AS806">
        <v>0</v>
      </c>
      <c r="AT806">
        <v>0</v>
      </c>
      <c r="AU806">
        <v>0</v>
      </c>
      <c r="AV806">
        <v>0</v>
      </c>
      <c r="AW806">
        <v>0</v>
      </c>
      <c r="AX806">
        <v>0</v>
      </c>
      <c r="AY806">
        <v>0</v>
      </c>
      <c r="AZ806">
        <v>0</v>
      </c>
      <c r="BA806">
        <v>0</v>
      </c>
      <c r="BB806">
        <v>0</v>
      </c>
      <c r="BG806">
        <v>0</v>
      </c>
      <c r="BH806">
        <v>1</v>
      </c>
      <c r="BI806">
        <v>1.5</v>
      </c>
      <c r="BJ806">
        <v>1.2</v>
      </c>
      <c r="BK806">
        <v>1.5</v>
      </c>
      <c r="BL806">
        <v>46.06</v>
      </c>
      <c r="BM806">
        <v>6.91</v>
      </c>
      <c r="BN806">
        <v>52.97</v>
      </c>
      <c r="BO806">
        <v>52.97</v>
      </c>
      <c r="BQ806" t="s">
        <v>268</v>
      </c>
      <c r="BR806" t="s">
        <v>71</v>
      </c>
      <c r="BS806" s="1">
        <v>43945</v>
      </c>
      <c r="BT806" s="2">
        <v>0.38541666666666669</v>
      </c>
      <c r="BU806" t="s">
        <v>996</v>
      </c>
      <c r="BV806" t="s">
        <v>80</v>
      </c>
      <c r="BY806">
        <v>5848.07</v>
      </c>
      <c r="CA806" t="s">
        <v>538</v>
      </c>
      <c r="CC806" t="s">
        <v>93</v>
      </c>
      <c r="CD806">
        <v>7800</v>
      </c>
      <c r="CE806" t="s">
        <v>91</v>
      </c>
      <c r="CF806" s="1">
        <v>43949</v>
      </c>
      <c r="CI806">
        <v>1</v>
      </c>
      <c r="CJ806">
        <v>1</v>
      </c>
      <c r="CK806">
        <v>21</v>
      </c>
      <c r="CL806" t="s">
        <v>74</v>
      </c>
    </row>
    <row r="807" spans="1:90" x14ac:dyDescent="0.25">
      <c r="A807" t="s">
        <v>61</v>
      </c>
      <c r="B807" t="s">
        <v>62</v>
      </c>
      <c r="C807" t="s">
        <v>63</v>
      </c>
      <c r="E807" t="str">
        <f>"FES1162745232"</f>
        <v>FES1162745232</v>
      </c>
      <c r="F807" s="1">
        <v>43944</v>
      </c>
      <c r="G807">
        <v>202010</v>
      </c>
      <c r="H807" t="s">
        <v>64</v>
      </c>
      <c r="I807" t="s">
        <v>65</v>
      </c>
      <c r="J807" t="s">
        <v>66</v>
      </c>
      <c r="K807" t="s">
        <v>67</v>
      </c>
      <c r="L807" t="s">
        <v>92</v>
      </c>
      <c r="M807" t="s">
        <v>93</v>
      </c>
      <c r="N807" t="s">
        <v>997</v>
      </c>
      <c r="O807" t="s">
        <v>69</v>
      </c>
      <c r="P807" t="str">
        <f>"2170732942                    "</f>
        <v xml:space="preserve">2170732942                    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13.6</v>
      </c>
      <c r="AN807">
        <v>0</v>
      </c>
      <c r="AO807">
        <v>0</v>
      </c>
      <c r="AP807">
        <v>0</v>
      </c>
      <c r="AQ807">
        <v>0</v>
      </c>
      <c r="AR807">
        <v>0</v>
      </c>
      <c r="AS807">
        <v>0</v>
      </c>
      <c r="AT807">
        <v>0</v>
      </c>
      <c r="AU807">
        <v>0</v>
      </c>
      <c r="AV807">
        <v>0</v>
      </c>
      <c r="AW807">
        <v>0</v>
      </c>
      <c r="AX807">
        <v>0</v>
      </c>
      <c r="AY807">
        <v>0</v>
      </c>
      <c r="AZ807">
        <v>0</v>
      </c>
      <c r="BA807">
        <v>0</v>
      </c>
      <c r="BB807">
        <v>0</v>
      </c>
      <c r="BG807">
        <v>0</v>
      </c>
      <c r="BH807">
        <v>2</v>
      </c>
      <c r="BI807">
        <v>6.3</v>
      </c>
      <c r="BJ807">
        <v>5.3</v>
      </c>
      <c r="BK807">
        <v>6.5</v>
      </c>
      <c r="BL807">
        <v>149.61000000000001</v>
      </c>
      <c r="BM807">
        <v>22.44</v>
      </c>
      <c r="BN807">
        <v>172.05</v>
      </c>
      <c r="BO807">
        <v>172.05</v>
      </c>
      <c r="BQ807" t="s">
        <v>78</v>
      </c>
      <c r="BR807" t="s">
        <v>71</v>
      </c>
      <c r="BS807" s="1">
        <v>43945</v>
      </c>
      <c r="BT807" s="2">
        <v>0.37986111111111115</v>
      </c>
      <c r="BU807" t="s">
        <v>998</v>
      </c>
      <c r="BV807" t="s">
        <v>80</v>
      </c>
      <c r="BY807">
        <v>26538.720000000001</v>
      </c>
      <c r="CA807" t="s">
        <v>538</v>
      </c>
      <c r="CC807" t="s">
        <v>93</v>
      </c>
      <c r="CD807">
        <v>7800</v>
      </c>
      <c r="CE807" t="s">
        <v>381</v>
      </c>
      <c r="CF807" s="1">
        <v>43949</v>
      </c>
      <c r="CI807">
        <v>1</v>
      </c>
      <c r="CJ807">
        <v>1</v>
      </c>
      <c r="CK807">
        <v>21</v>
      </c>
      <c r="CL807" t="s">
        <v>74</v>
      </c>
    </row>
    <row r="808" spans="1:90" x14ac:dyDescent="0.25">
      <c r="A808" t="s">
        <v>61</v>
      </c>
      <c r="B808" t="s">
        <v>62</v>
      </c>
      <c r="C808" t="s">
        <v>63</v>
      </c>
      <c r="E808" t="str">
        <f>"FES1162745363"</f>
        <v>FES1162745363</v>
      </c>
      <c r="F808" s="1">
        <v>43944</v>
      </c>
      <c r="G808">
        <v>202010</v>
      </c>
      <c r="H808" t="s">
        <v>64</v>
      </c>
      <c r="I808" t="s">
        <v>65</v>
      </c>
      <c r="J808" t="s">
        <v>66</v>
      </c>
      <c r="K808" t="s">
        <v>67</v>
      </c>
      <c r="L808" t="s">
        <v>92</v>
      </c>
      <c r="M808" t="s">
        <v>93</v>
      </c>
      <c r="N808" t="s">
        <v>925</v>
      </c>
      <c r="O808" t="s">
        <v>69</v>
      </c>
      <c r="P808" t="str">
        <f>"2170733816                    "</f>
        <v xml:space="preserve">2170733816                    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4.1900000000000004</v>
      </c>
      <c r="AN808">
        <v>0</v>
      </c>
      <c r="AO808">
        <v>0</v>
      </c>
      <c r="AP808">
        <v>0</v>
      </c>
      <c r="AQ808">
        <v>0</v>
      </c>
      <c r="AR808">
        <v>0</v>
      </c>
      <c r="AS808">
        <v>0</v>
      </c>
      <c r="AT808">
        <v>0</v>
      </c>
      <c r="AU808">
        <v>0</v>
      </c>
      <c r="AV808">
        <v>0</v>
      </c>
      <c r="AW808">
        <v>0</v>
      </c>
      <c r="AX808">
        <v>0</v>
      </c>
      <c r="AY808">
        <v>0</v>
      </c>
      <c r="AZ808">
        <v>0</v>
      </c>
      <c r="BA808">
        <v>0</v>
      </c>
      <c r="BB808">
        <v>0</v>
      </c>
      <c r="BG808">
        <v>0</v>
      </c>
      <c r="BH808">
        <v>1</v>
      </c>
      <c r="BI808">
        <v>1.1000000000000001</v>
      </c>
      <c r="BJ808">
        <v>1.5</v>
      </c>
      <c r="BK808">
        <v>1.5</v>
      </c>
      <c r="BL808">
        <v>46.06</v>
      </c>
      <c r="BM808">
        <v>6.91</v>
      </c>
      <c r="BN808">
        <v>52.97</v>
      </c>
      <c r="BO808">
        <v>52.97</v>
      </c>
      <c r="BQ808" t="s">
        <v>78</v>
      </c>
      <c r="BR808" t="s">
        <v>71</v>
      </c>
      <c r="BS808" s="1">
        <v>43945</v>
      </c>
      <c r="BT808" s="2">
        <v>0.375</v>
      </c>
      <c r="BU808" t="s">
        <v>999</v>
      </c>
      <c r="BV808" t="s">
        <v>80</v>
      </c>
      <c r="BY808">
        <v>7444.03</v>
      </c>
      <c r="CA808" t="s">
        <v>98</v>
      </c>
      <c r="CC808" t="s">
        <v>93</v>
      </c>
      <c r="CD808">
        <v>7925</v>
      </c>
      <c r="CE808" t="s">
        <v>91</v>
      </c>
      <c r="CF808" s="1">
        <v>43949</v>
      </c>
      <c r="CI808">
        <v>1</v>
      </c>
      <c r="CJ808">
        <v>1</v>
      </c>
      <c r="CK808">
        <v>21</v>
      </c>
      <c r="CL808" t="s">
        <v>74</v>
      </c>
    </row>
    <row r="809" spans="1:90" x14ac:dyDescent="0.25">
      <c r="A809" t="s">
        <v>61</v>
      </c>
      <c r="B809" t="s">
        <v>62</v>
      </c>
      <c r="C809" t="s">
        <v>63</v>
      </c>
      <c r="E809" t="str">
        <f>"FES1162745285"</f>
        <v>FES1162745285</v>
      </c>
      <c r="F809" s="1">
        <v>43944</v>
      </c>
      <c r="G809">
        <v>202010</v>
      </c>
      <c r="H809" t="s">
        <v>64</v>
      </c>
      <c r="I809" t="s">
        <v>65</v>
      </c>
      <c r="J809" t="s">
        <v>66</v>
      </c>
      <c r="K809" t="s">
        <v>67</v>
      </c>
      <c r="L809" t="s">
        <v>443</v>
      </c>
      <c r="M809" t="s">
        <v>444</v>
      </c>
      <c r="N809" t="s">
        <v>1000</v>
      </c>
      <c r="O809" t="s">
        <v>69</v>
      </c>
      <c r="P809" t="str">
        <f>"2170736312                    "</f>
        <v xml:space="preserve">2170736312                    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0</v>
      </c>
      <c r="AM809">
        <v>13.07</v>
      </c>
      <c r="AN809">
        <v>0</v>
      </c>
      <c r="AO809">
        <v>0</v>
      </c>
      <c r="AP809">
        <v>0</v>
      </c>
      <c r="AQ809">
        <v>0</v>
      </c>
      <c r="AR809">
        <v>0</v>
      </c>
      <c r="AS809">
        <v>0</v>
      </c>
      <c r="AT809">
        <v>0</v>
      </c>
      <c r="AU809">
        <v>0</v>
      </c>
      <c r="AV809">
        <v>0</v>
      </c>
      <c r="AW809">
        <v>0</v>
      </c>
      <c r="AX809">
        <v>0</v>
      </c>
      <c r="AY809">
        <v>0</v>
      </c>
      <c r="AZ809">
        <v>0</v>
      </c>
      <c r="BA809">
        <v>0</v>
      </c>
      <c r="BB809">
        <v>0</v>
      </c>
      <c r="BG809">
        <v>0</v>
      </c>
      <c r="BH809">
        <v>1</v>
      </c>
      <c r="BI809">
        <v>7.1</v>
      </c>
      <c r="BJ809">
        <v>14.2</v>
      </c>
      <c r="BK809">
        <v>14.5</v>
      </c>
      <c r="BL809">
        <v>143.78</v>
      </c>
      <c r="BM809">
        <v>21.57</v>
      </c>
      <c r="BN809">
        <v>165.35</v>
      </c>
      <c r="BO809">
        <v>165.35</v>
      </c>
      <c r="BQ809" t="s">
        <v>70</v>
      </c>
      <c r="BR809" t="s">
        <v>71</v>
      </c>
      <c r="BS809" s="1">
        <v>43949</v>
      </c>
      <c r="BT809" s="2">
        <v>0.43541666666666662</v>
      </c>
      <c r="BU809" t="s">
        <v>1001</v>
      </c>
      <c r="BV809" t="s">
        <v>74</v>
      </c>
      <c r="BW809" t="s">
        <v>85</v>
      </c>
      <c r="BX809" t="s">
        <v>606</v>
      </c>
      <c r="BY809">
        <v>70848</v>
      </c>
      <c r="CA809" t="s">
        <v>486</v>
      </c>
      <c r="CC809" t="s">
        <v>444</v>
      </c>
      <c r="CD809">
        <v>1451</v>
      </c>
      <c r="CE809" t="s">
        <v>91</v>
      </c>
      <c r="CF809" s="1">
        <v>43950</v>
      </c>
      <c r="CI809">
        <v>1</v>
      </c>
      <c r="CJ809">
        <v>3</v>
      </c>
      <c r="CK809">
        <v>22</v>
      </c>
      <c r="CL809" t="s">
        <v>74</v>
      </c>
    </row>
    <row r="810" spans="1:90" x14ac:dyDescent="0.25">
      <c r="A810" t="s">
        <v>61</v>
      </c>
      <c r="B810" t="s">
        <v>62</v>
      </c>
      <c r="C810" t="s">
        <v>63</v>
      </c>
      <c r="E810" t="str">
        <f>"FES1162745311"</f>
        <v>FES1162745311</v>
      </c>
      <c r="F810" s="1">
        <v>43944</v>
      </c>
      <c r="G810">
        <v>202010</v>
      </c>
      <c r="H810" t="s">
        <v>64</v>
      </c>
      <c r="I810" t="s">
        <v>65</v>
      </c>
      <c r="J810" t="s">
        <v>66</v>
      </c>
      <c r="K810" t="s">
        <v>67</v>
      </c>
      <c r="L810" t="s">
        <v>92</v>
      </c>
      <c r="M810" t="s">
        <v>93</v>
      </c>
      <c r="N810" t="s">
        <v>94</v>
      </c>
      <c r="O810" t="s">
        <v>69</v>
      </c>
      <c r="P810" t="str">
        <f>"2170734978                    "</f>
        <v xml:space="preserve">2170734978                    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23.02</v>
      </c>
      <c r="AN810">
        <v>0</v>
      </c>
      <c r="AO810">
        <v>0</v>
      </c>
      <c r="AP810">
        <v>0</v>
      </c>
      <c r="AQ810">
        <v>0</v>
      </c>
      <c r="AR810">
        <v>0</v>
      </c>
      <c r="AS810">
        <v>0</v>
      </c>
      <c r="AT810">
        <v>0</v>
      </c>
      <c r="AU810">
        <v>0</v>
      </c>
      <c r="AV810">
        <v>0</v>
      </c>
      <c r="AW810">
        <v>0</v>
      </c>
      <c r="AX810">
        <v>0</v>
      </c>
      <c r="AY810">
        <v>0</v>
      </c>
      <c r="AZ810">
        <v>0</v>
      </c>
      <c r="BA810">
        <v>0</v>
      </c>
      <c r="BB810">
        <v>0</v>
      </c>
      <c r="BG810">
        <v>0</v>
      </c>
      <c r="BH810">
        <v>1</v>
      </c>
      <c r="BI810">
        <v>10.7</v>
      </c>
      <c r="BJ810">
        <v>6.5</v>
      </c>
      <c r="BK810">
        <v>11</v>
      </c>
      <c r="BL810">
        <v>253.17</v>
      </c>
      <c r="BM810">
        <v>37.979999999999997</v>
      </c>
      <c r="BN810">
        <v>291.14999999999998</v>
      </c>
      <c r="BO810">
        <v>291.14999999999998</v>
      </c>
      <c r="BQ810" t="s">
        <v>70</v>
      </c>
      <c r="BR810" t="s">
        <v>71</v>
      </c>
      <c r="BS810" s="1">
        <v>43945</v>
      </c>
      <c r="BT810" s="2">
        <v>0.55138888888888882</v>
      </c>
      <c r="BU810" t="s">
        <v>590</v>
      </c>
      <c r="BV810" t="s">
        <v>74</v>
      </c>
      <c r="BW810" t="s">
        <v>96</v>
      </c>
      <c r="BX810" t="s">
        <v>97</v>
      </c>
      <c r="BY810">
        <v>32262</v>
      </c>
      <c r="CA810" t="s">
        <v>164</v>
      </c>
      <c r="CC810" t="s">
        <v>93</v>
      </c>
      <c r="CD810">
        <v>7441</v>
      </c>
      <c r="CE810" t="s">
        <v>91</v>
      </c>
      <c r="CF810" s="1">
        <v>43949</v>
      </c>
      <c r="CI810">
        <v>1</v>
      </c>
      <c r="CJ810">
        <v>1</v>
      </c>
      <c r="CK810">
        <v>21</v>
      </c>
      <c r="CL810" t="s">
        <v>74</v>
      </c>
    </row>
    <row r="811" spans="1:90" x14ac:dyDescent="0.25">
      <c r="A811" t="s">
        <v>61</v>
      </c>
      <c r="B811" t="s">
        <v>62</v>
      </c>
      <c r="C811" t="s">
        <v>63</v>
      </c>
      <c r="E811" t="str">
        <f>"FES1162745241"</f>
        <v>FES1162745241</v>
      </c>
      <c r="F811" s="1">
        <v>43944</v>
      </c>
      <c r="G811">
        <v>202010</v>
      </c>
      <c r="H811" t="s">
        <v>64</v>
      </c>
      <c r="I811" t="s">
        <v>65</v>
      </c>
      <c r="J811" t="s">
        <v>66</v>
      </c>
      <c r="K811" t="s">
        <v>67</v>
      </c>
      <c r="L811" t="s">
        <v>92</v>
      </c>
      <c r="M811" t="s">
        <v>93</v>
      </c>
      <c r="N811" t="s">
        <v>1002</v>
      </c>
      <c r="O811" t="s">
        <v>69</v>
      </c>
      <c r="P811" t="str">
        <f>"2170732957                    "</f>
        <v xml:space="preserve">2170732957                    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0</v>
      </c>
      <c r="AM811">
        <v>7.33</v>
      </c>
      <c r="AN811">
        <v>0</v>
      </c>
      <c r="AO811">
        <v>0</v>
      </c>
      <c r="AP811">
        <v>0</v>
      </c>
      <c r="AQ811">
        <v>0</v>
      </c>
      <c r="AR811">
        <v>0</v>
      </c>
      <c r="AS811">
        <v>0</v>
      </c>
      <c r="AT811">
        <v>0</v>
      </c>
      <c r="AU811">
        <v>0</v>
      </c>
      <c r="AV811">
        <v>0</v>
      </c>
      <c r="AW811">
        <v>0</v>
      </c>
      <c r="AX811">
        <v>0</v>
      </c>
      <c r="AY811">
        <v>0</v>
      </c>
      <c r="AZ811">
        <v>0</v>
      </c>
      <c r="BA811">
        <v>0</v>
      </c>
      <c r="BB811">
        <v>0</v>
      </c>
      <c r="BG811">
        <v>0</v>
      </c>
      <c r="BH811">
        <v>1</v>
      </c>
      <c r="BI811">
        <v>3.2</v>
      </c>
      <c r="BJ811">
        <v>0.9</v>
      </c>
      <c r="BK811">
        <v>3.5</v>
      </c>
      <c r="BL811">
        <v>80.58</v>
      </c>
      <c r="BM811">
        <v>12.09</v>
      </c>
      <c r="BN811">
        <v>92.67</v>
      </c>
      <c r="BO811">
        <v>92.67</v>
      </c>
      <c r="BQ811" t="s">
        <v>78</v>
      </c>
      <c r="BR811" t="s">
        <v>71</v>
      </c>
      <c r="BS811" s="1">
        <v>43945</v>
      </c>
      <c r="BT811" s="2">
        <v>0.52083333333333337</v>
      </c>
      <c r="BU811" t="s">
        <v>1003</v>
      </c>
      <c r="BV811" t="s">
        <v>74</v>
      </c>
      <c r="BW811" t="s">
        <v>265</v>
      </c>
      <c r="BX811" t="s">
        <v>97</v>
      </c>
      <c r="BY811">
        <v>4691.0200000000004</v>
      </c>
      <c r="CA811" t="s">
        <v>538</v>
      </c>
      <c r="CC811" t="s">
        <v>93</v>
      </c>
      <c r="CD811">
        <v>8000</v>
      </c>
      <c r="CE811" t="s">
        <v>91</v>
      </c>
      <c r="CF811" s="1">
        <v>43949</v>
      </c>
      <c r="CI811">
        <v>1</v>
      </c>
      <c r="CJ811">
        <v>1</v>
      </c>
      <c r="CK811">
        <v>21</v>
      </c>
      <c r="CL811" t="s">
        <v>74</v>
      </c>
    </row>
    <row r="812" spans="1:90" x14ac:dyDescent="0.25">
      <c r="A812" t="s">
        <v>61</v>
      </c>
      <c r="B812" t="s">
        <v>62</v>
      </c>
      <c r="C812" t="s">
        <v>63</v>
      </c>
      <c r="E812" t="str">
        <f>"FES1162745276"</f>
        <v>FES1162745276</v>
      </c>
      <c r="F812" s="1">
        <v>43944</v>
      </c>
      <c r="G812">
        <v>202010</v>
      </c>
      <c r="H812" t="s">
        <v>64</v>
      </c>
      <c r="I812" t="s">
        <v>65</v>
      </c>
      <c r="J812" t="s">
        <v>66</v>
      </c>
      <c r="K812" t="s">
        <v>67</v>
      </c>
      <c r="L812" t="s">
        <v>64</v>
      </c>
      <c r="M812" t="s">
        <v>65</v>
      </c>
      <c r="N812" t="s">
        <v>1004</v>
      </c>
      <c r="O812" t="s">
        <v>69</v>
      </c>
      <c r="P812" t="str">
        <f>"2170734984                    "</f>
        <v xml:space="preserve">2170734984                    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0</v>
      </c>
      <c r="AM812">
        <v>3.27</v>
      </c>
      <c r="AN812">
        <v>0</v>
      </c>
      <c r="AO812">
        <v>0</v>
      </c>
      <c r="AP812">
        <v>0</v>
      </c>
      <c r="AQ812">
        <v>0</v>
      </c>
      <c r="AR812">
        <v>0</v>
      </c>
      <c r="AS812">
        <v>0</v>
      </c>
      <c r="AT812">
        <v>0</v>
      </c>
      <c r="AU812">
        <v>0</v>
      </c>
      <c r="AV812">
        <v>0</v>
      </c>
      <c r="AW812">
        <v>0</v>
      </c>
      <c r="AX812">
        <v>0</v>
      </c>
      <c r="AY812">
        <v>0</v>
      </c>
      <c r="AZ812">
        <v>0</v>
      </c>
      <c r="BA812">
        <v>0</v>
      </c>
      <c r="BB812">
        <v>0</v>
      </c>
      <c r="BG812">
        <v>0</v>
      </c>
      <c r="BH812">
        <v>1</v>
      </c>
      <c r="BI812">
        <v>1</v>
      </c>
      <c r="BJ812">
        <v>0.2</v>
      </c>
      <c r="BK812">
        <v>1</v>
      </c>
      <c r="BL812">
        <v>35.979999999999997</v>
      </c>
      <c r="BM812">
        <v>5.4</v>
      </c>
      <c r="BN812">
        <v>41.38</v>
      </c>
      <c r="BO812">
        <v>41.38</v>
      </c>
      <c r="BQ812" t="s">
        <v>78</v>
      </c>
      <c r="BR812" t="s">
        <v>71</v>
      </c>
      <c r="BS812" s="1">
        <v>43949</v>
      </c>
      <c r="BT812" s="2">
        <v>0.41666666666666669</v>
      </c>
      <c r="BU812" t="s">
        <v>816</v>
      </c>
      <c r="BV812" t="s">
        <v>74</v>
      </c>
      <c r="BW812" t="s">
        <v>817</v>
      </c>
      <c r="BX812" t="s">
        <v>606</v>
      </c>
      <c r="BY812">
        <v>1200</v>
      </c>
      <c r="CA812" t="s">
        <v>310</v>
      </c>
      <c r="CC812" t="s">
        <v>65</v>
      </c>
      <c r="CD812">
        <v>1601</v>
      </c>
      <c r="CE812" t="s">
        <v>73</v>
      </c>
      <c r="CF812" s="1">
        <v>43951</v>
      </c>
      <c r="CI812">
        <v>1</v>
      </c>
      <c r="CJ812">
        <v>3</v>
      </c>
      <c r="CK812">
        <v>22</v>
      </c>
      <c r="CL812" t="s">
        <v>74</v>
      </c>
    </row>
    <row r="813" spans="1:90" x14ac:dyDescent="0.25">
      <c r="A813" t="s">
        <v>61</v>
      </c>
      <c r="B813" t="s">
        <v>62</v>
      </c>
      <c r="C813" t="s">
        <v>63</v>
      </c>
      <c r="E813" t="str">
        <f>"FES1162745239"</f>
        <v>FES1162745239</v>
      </c>
      <c r="F813" s="1">
        <v>43944</v>
      </c>
      <c r="G813">
        <v>202010</v>
      </c>
      <c r="H813" t="s">
        <v>64</v>
      </c>
      <c r="I813" t="s">
        <v>65</v>
      </c>
      <c r="J813" t="s">
        <v>66</v>
      </c>
      <c r="K813" t="s">
        <v>67</v>
      </c>
      <c r="L813" t="s">
        <v>262</v>
      </c>
      <c r="M813" t="s">
        <v>262</v>
      </c>
      <c r="N813" t="s">
        <v>963</v>
      </c>
      <c r="O813" t="s">
        <v>69</v>
      </c>
      <c r="P813" t="str">
        <f>"2170736334                    "</f>
        <v xml:space="preserve">2170736334                    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0</v>
      </c>
      <c r="AM813">
        <v>8.11</v>
      </c>
      <c r="AN813">
        <v>0</v>
      </c>
      <c r="AO813">
        <v>0</v>
      </c>
      <c r="AP813">
        <v>0</v>
      </c>
      <c r="AQ813">
        <v>0</v>
      </c>
      <c r="AR813">
        <v>0</v>
      </c>
      <c r="AS813">
        <v>0</v>
      </c>
      <c r="AT813">
        <v>0</v>
      </c>
      <c r="AU813">
        <v>0</v>
      </c>
      <c r="AV813">
        <v>0</v>
      </c>
      <c r="AW813">
        <v>0</v>
      </c>
      <c r="AX813">
        <v>0</v>
      </c>
      <c r="AY813">
        <v>0</v>
      </c>
      <c r="AZ813">
        <v>0</v>
      </c>
      <c r="BA813">
        <v>0</v>
      </c>
      <c r="BB813">
        <v>0</v>
      </c>
      <c r="BG813">
        <v>0</v>
      </c>
      <c r="BH813">
        <v>1</v>
      </c>
      <c r="BI813">
        <v>1</v>
      </c>
      <c r="BJ813">
        <v>0.2</v>
      </c>
      <c r="BK813">
        <v>1</v>
      </c>
      <c r="BL813">
        <v>89.23</v>
      </c>
      <c r="BM813">
        <v>13.38</v>
      </c>
      <c r="BN813">
        <v>102.61</v>
      </c>
      <c r="BO813">
        <v>102.61</v>
      </c>
      <c r="BQ813" t="s">
        <v>78</v>
      </c>
      <c r="BR813" t="s">
        <v>71</v>
      </c>
      <c r="BS813" s="1">
        <v>43945</v>
      </c>
      <c r="BT813" s="2">
        <v>0.53541666666666665</v>
      </c>
      <c r="BU813" t="s">
        <v>964</v>
      </c>
      <c r="BV813" t="s">
        <v>80</v>
      </c>
      <c r="BY813">
        <v>1200</v>
      </c>
      <c r="CA813" t="s">
        <v>266</v>
      </c>
      <c r="CC813" t="s">
        <v>262</v>
      </c>
      <c r="CD813">
        <v>7654</v>
      </c>
      <c r="CE813" t="s">
        <v>73</v>
      </c>
      <c r="CF813" s="1">
        <v>43949</v>
      </c>
      <c r="CI813">
        <v>1</v>
      </c>
      <c r="CJ813">
        <v>1</v>
      </c>
      <c r="CK813">
        <v>23</v>
      </c>
      <c r="CL813" t="s">
        <v>74</v>
      </c>
    </row>
    <row r="814" spans="1:90" x14ac:dyDescent="0.25">
      <c r="A814" t="s">
        <v>61</v>
      </c>
      <c r="B814" t="s">
        <v>62</v>
      </c>
      <c r="C814" t="s">
        <v>63</v>
      </c>
      <c r="E814" t="str">
        <f>"FES1162745244"</f>
        <v>FES1162745244</v>
      </c>
      <c r="F814" s="1">
        <v>43944</v>
      </c>
      <c r="G814">
        <v>202010</v>
      </c>
      <c r="H814" t="s">
        <v>64</v>
      </c>
      <c r="I814" t="s">
        <v>65</v>
      </c>
      <c r="J814" t="s">
        <v>66</v>
      </c>
      <c r="K814" t="s">
        <v>67</v>
      </c>
      <c r="L814" t="s">
        <v>92</v>
      </c>
      <c r="M814" t="s">
        <v>93</v>
      </c>
      <c r="N814" t="s">
        <v>1002</v>
      </c>
      <c r="O814" t="s">
        <v>69</v>
      </c>
      <c r="P814" t="str">
        <f>"2170736265                    "</f>
        <v xml:space="preserve">2170736265                    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0</v>
      </c>
      <c r="AM814">
        <v>4.1900000000000004</v>
      </c>
      <c r="AN814">
        <v>0</v>
      </c>
      <c r="AO814">
        <v>0</v>
      </c>
      <c r="AP814">
        <v>0</v>
      </c>
      <c r="AQ814">
        <v>0</v>
      </c>
      <c r="AR814">
        <v>0</v>
      </c>
      <c r="AS814">
        <v>0</v>
      </c>
      <c r="AT814">
        <v>0</v>
      </c>
      <c r="AU814">
        <v>0</v>
      </c>
      <c r="AV814">
        <v>0</v>
      </c>
      <c r="AW814">
        <v>0</v>
      </c>
      <c r="AX814">
        <v>0</v>
      </c>
      <c r="AY814">
        <v>0</v>
      </c>
      <c r="AZ814">
        <v>0</v>
      </c>
      <c r="BA814">
        <v>0</v>
      </c>
      <c r="BB814">
        <v>0</v>
      </c>
      <c r="BG814">
        <v>0</v>
      </c>
      <c r="BH814">
        <v>1</v>
      </c>
      <c r="BI814">
        <v>0.9</v>
      </c>
      <c r="BJ814">
        <v>1.4</v>
      </c>
      <c r="BK814">
        <v>1.5</v>
      </c>
      <c r="BL814">
        <v>46.06</v>
      </c>
      <c r="BM814">
        <v>6.91</v>
      </c>
      <c r="BN814">
        <v>52.97</v>
      </c>
      <c r="BO814">
        <v>52.97</v>
      </c>
      <c r="BQ814" t="s">
        <v>78</v>
      </c>
      <c r="BR814" t="s">
        <v>71</v>
      </c>
      <c r="BS814" s="1">
        <v>43945</v>
      </c>
      <c r="BT814" s="2">
        <v>0.52083333333333337</v>
      </c>
      <c r="BU814" t="s">
        <v>1003</v>
      </c>
      <c r="BV814" t="s">
        <v>74</v>
      </c>
      <c r="BW814" t="s">
        <v>265</v>
      </c>
      <c r="BX814" t="s">
        <v>97</v>
      </c>
      <c r="BY814">
        <v>7184.25</v>
      </c>
      <c r="CA814" t="s">
        <v>538</v>
      </c>
      <c r="CC814" t="s">
        <v>93</v>
      </c>
      <c r="CD814">
        <v>8000</v>
      </c>
      <c r="CE814" t="s">
        <v>73</v>
      </c>
      <c r="CF814" s="1">
        <v>43949</v>
      </c>
      <c r="CI814">
        <v>1</v>
      </c>
      <c r="CJ814">
        <v>1</v>
      </c>
      <c r="CK814">
        <v>21</v>
      </c>
      <c r="CL814" t="s">
        <v>74</v>
      </c>
    </row>
    <row r="815" spans="1:90" x14ac:dyDescent="0.25">
      <c r="A815" t="s">
        <v>61</v>
      </c>
      <c r="B815" t="s">
        <v>62</v>
      </c>
      <c r="C815" t="s">
        <v>63</v>
      </c>
      <c r="E815" t="str">
        <f>"FES1162745289"</f>
        <v>FES1162745289</v>
      </c>
      <c r="F815" s="1">
        <v>43944</v>
      </c>
      <c r="G815">
        <v>202010</v>
      </c>
      <c r="H815" t="s">
        <v>64</v>
      </c>
      <c r="I815" t="s">
        <v>65</v>
      </c>
      <c r="J815" t="s">
        <v>66</v>
      </c>
      <c r="K815" t="s">
        <v>67</v>
      </c>
      <c r="L815" t="s">
        <v>116</v>
      </c>
      <c r="M815" t="s">
        <v>117</v>
      </c>
      <c r="N815" t="s">
        <v>118</v>
      </c>
      <c r="O815" t="s">
        <v>69</v>
      </c>
      <c r="P815" t="str">
        <f>"2170736475                    "</f>
        <v xml:space="preserve">2170736475                    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8.11</v>
      </c>
      <c r="AN815">
        <v>0</v>
      </c>
      <c r="AO815">
        <v>0</v>
      </c>
      <c r="AP815">
        <v>0</v>
      </c>
      <c r="AQ815">
        <v>0</v>
      </c>
      <c r="AR815">
        <v>0</v>
      </c>
      <c r="AS815">
        <v>0</v>
      </c>
      <c r="AT815">
        <v>0</v>
      </c>
      <c r="AU815">
        <v>0</v>
      </c>
      <c r="AV815">
        <v>0</v>
      </c>
      <c r="AW815">
        <v>0</v>
      </c>
      <c r="AX815">
        <v>0</v>
      </c>
      <c r="AY815">
        <v>0</v>
      </c>
      <c r="AZ815">
        <v>0</v>
      </c>
      <c r="BA815">
        <v>0</v>
      </c>
      <c r="BB815">
        <v>0</v>
      </c>
      <c r="BG815">
        <v>0</v>
      </c>
      <c r="BH815">
        <v>1</v>
      </c>
      <c r="BI815">
        <v>1</v>
      </c>
      <c r="BJ815">
        <v>0.2</v>
      </c>
      <c r="BK815">
        <v>1</v>
      </c>
      <c r="BL815">
        <v>89.23</v>
      </c>
      <c r="BM815">
        <v>13.38</v>
      </c>
      <c r="BN815">
        <v>102.61</v>
      </c>
      <c r="BO815">
        <v>102.61</v>
      </c>
      <c r="BQ815" t="s">
        <v>78</v>
      </c>
      <c r="BR815" t="s">
        <v>71</v>
      </c>
      <c r="BS815" s="1">
        <v>43945</v>
      </c>
      <c r="BT815" s="2">
        <v>0.41666666666666669</v>
      </c>
      <c r="BU815" t="s">
        <v>119</v>
      </c>
      <c r="BV815" t="s">
        <v>80</v>
      </c>
      <c r="BY815">
        <v>1200</v>
      </c>
      <c r="CC815" t="s">
        <v>117</v>
      </c>
      <c r="CD815">
        <v>7300</v>
      </c>
      <c r="CE815" t="s">
        <v>73</v>
      </c>
      <c r="CF815" s="1">
        <v>43949</v>
      </c>
      <c r="CI815">
        <v>1</v>
      </c>
      <c r="CJ815">
        <v>1</v>
      </c>
      <c r="CK815">
        <v>23</v>
      </c>
      <c r="CL815" t="s">
        <v>74</v>
      </c>
    </row>
    <row r="816" spans="1:90" x14ac:dyDescent="0.25">
      <c r="A816" t="s">
        <v>61</v>
      </c>
      <c r="B816" t="s">
        <v>62</v>
      </c>
      <c r="C816" t="s">
        <v>63</v>
      </c>
      <c r="E816" t="str">
        <f>"FES1162745287"</f>
        <v>FES1162745287</v>
      </c>
      <c r="F816" s="1">
        <v>43944</v>
      </c>
      <c r="G816">
        <v>202010</v>
      </c>
      <c r="H816" t="s">
        <v>64</v>
      </c>
      <c r="I816" t="s">
        <v>65</v>
      </c>
      <c r="J816" t="s">
        <v>66</v>
      </c>
      <c r="K816" t="s">
        <v>67</v>
      </c>
      <c r="L816" t="s">
        <v>99</v>
      </c>
      <c r="M816" t="s">
        <v>100</v>
      </c>
      <c r="N816" t="s">
        <v>512</v>
      </c>
      <c r="O816" t="s">
        <v>69</v>
      </c>
      <c r="P816" t="str">
        <f>"2170736369                    "</f>
        <v xml:space="preserve">2170736369                    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0</v>
      </c>
      <c r="AM816">
        <v>8.11</v>
      </c>
      <c r="AN816">
        <v>0</v>
      </c>
      <c r="AO816">
        <v>0</v>
      </c>
      <c r="AP816">
        <v>0</v>
      </c>
      <c r="AQ816">
        <v>0</v>
      </c>
      <c r="AR816">
        <v>0</v>
      </c>
      <c r="AS816">
        <v>0</v>
      </c>
      <c r="AT816">
        <v>0</v>
      </c>
      <c r="AU816">
        <v>0</v>
      </c>
      <c r="AV816">
        <v>0</v>
      </c>
      <c r="AW816">
        <v>0</v>
      </c>
      <c r="AX816">
        <v>0</v>
      </c>
      <c r="AY816">
        <v>0</v>
      </c>
      <c r="AZ816">
        <v>0</v>
      </c>
      <c r="BA816">
        <v>0</v>
      </c>
      <c r="BB816">
        <v>0</v>
      </c>
      <c r="BG816">
        <v>0</v>
      </c>
      <c r="BH816">
        <v>1</v>
      </c>
      <c r="BI816">
        <v>0.8</v>
      </c>
      <c r="BJ816">
        <v>1.8</v>
      </c>
      <c r="BK816">
        <v>2</v>
      </c>
      <c r="BL816">
        <v>89.23</v>
      </c>
      <c r="BM816">
        <v>13.38</v>
      </c>
      <c r="BN816">
        <v>102.61</v>
      </c>
      <c r="BO816">
        <v>102.61</v>
      </c>
      <c r="BQ816" t="s">
        <v>268</v>
      </c>
      <c r="BR816" t="s">
        <v>71</v>
      </c>
      <c r="BS816" s="1">
        <v>43949</v>
      </c>
      <c r="BT816" s="2">
        <v>0.3666666666666667</v>
      </c>
      <c r="BU816" t="s">
        <v>1005</v>
      </c>
      <c r="BV816" t="s">
        <v>80</v>
      </c>
      <c r="BY816">
        <v>8868.67</v>
      </c>
      <c r="CA816" t="s">
        <v>103</v>
      </c>
      <c r="CC816" t="s">
        <v>100</v>
      </c>
      <c r="CD816">
        <v>6850</v>
      </c>
      <c r="CE816" t="s">
        <v>73</v>
      </c>
      <c r="CI816">
        <v>3</v>
      </c>
      <c r="CJ816">
        <v>3</v>
      </c>
      <c r="CK816">
        <v>23</v>
      </c>
      <c r="CL816" t="s">
        <v>74</v>
      </c>
    </row>
    <row r="817" spans="1:90" x14ac:dyDescent="0.25">
      <c r="A817" t="s">
        <v>61</v>
      </c>
      <c r="B817" t="s">
        <v>62</v>
      </c>
      <c r="C817" t="s">
        <v>63</v>
      </c>
      <c r="E817" t="str">
        <f>"FES1162745288"</f>
        <v>FES1162745288</v>
      </c>
      <c r="F817" s="1">
        <v>43944</v>
      </c>
      <c r="G817">
        <v>202010</v>
      </c>
      <c r="H817" t="s">
        <v>64</v>
      </c>
      <c r="I817" t="s">
        <v>65</v>
      </c>
      <c r="J817" t="s">
        <v>66</v>
      </c>
      <c r="K817" t="s">
        <v>67</v>
      </c>
      <c r="L817" t="s">
        <v>841</v>
      </c>
      <c r="M817" t="s">
        <v>842</v>
      </c>
      <c r="N817" t="s">
        <v>843</v>
      </c>
      <c r="O817" t="s">
        <v>69</v>
      </c>
      <c r="P817" t="str">
        <f>"2170736394                    "</f>
        <v xml:space="preserve">2170736394                    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8.11</v>
      </c>
      <c r="AN817">
        <v>0</v>
      </c>
      <c r="AO817">
        <v>0</v>
      </c>
      <c r="AP817">
        <v>0</v>
      </c>
      <c r="AQ817">
        <v>0</v>
      </c>
      <c r="AR817">
        <v>0</v>
      </c>
      <c r="AS817">
        <v>0</v>
      </c>
      <c r="AT817">
        <v>0</v>
      </c>
      <c r="AU817">
        <v>0</v>
      </c>
      <c r="AV817">
        <v>0</v>
      </c>
      <c r="AW817">
        <v>0</v>
      </c>
      <c r="AX817">
        <v>0</v>
      </c>
      <c r="AY817">
        <v>0</v>
      </c>
      <c r="AZ817">
        <v>0</v>
      </c>
      <c r="BA817">
        <v>0</v>
      </c>
      <c r="BB817">
        <v>0</v>
      </c>
      <c r="BG817">
        <v>0</v>
      </c>
      <c r="BH817">
        <v>1</v>
      </c>
      <c r="BI817">
        <v>1</v>
      </c>
      <c r="BJ817">
        <v>0.2</v>
      </c>
      <c r="BK817">
        <v>1</v>
      </c>
      <c r="BL817">
        <v>89.23</v>
      </c>
      <c r="BM817">
        <v>13.38</v>
      </c>
      <c r="BN817">
        <v>102.61</v>
      </c>
      <c r="BO817">
        <v>102.61</v>
      </c>
      <c r="BQ817" t="s">
        <v>70</v>
      </c>
      <c r="BR817" t="s">
        <v>71</v>
      </c>
      <c r="BS817" s="1">
        <v>43949</v>
      </c>
      <c r="BT817" s="2">
        <v>0.375</v>
      </c>
      <c r="BU817" t="s">
        <v>844</v>
      </c>
      <c r="BV817" t="s">
        <v>80</v>
      </c>
      <c r="BY817">
        <v>1200</v>
      </c>
      <c r="CC817" t="s">
        <v>842</v>
      </c>
      <c r="CD817">
        <v>6740</v>
      </c>
      <c r="CE817" t="s">
        <v>73</v>
      </c>
      <c r="CI817">
        <v>3</v>
      </c>
      <c r="CJ817">
        <v>3</v>
      </c>
      <c r="CK817">
        <v>23</v>
      </c>
      <c r="CL817" t="s">
        <v>74</v>
      </c>
    </row>
    <row r="818" spans="1:90" x14ac:dyDescent="0.25">
      <c r="A818" t="s">
        <v>61</v>
      </c>
      <c r="B818" t="s">
        <v>62</v>
      </c>
      <c r="C818" t="s">
        <v>63</v>
      </c>
      <c r="E818" t="str">
        <f>"FES1162744932"</f>
        <v>FES1162744932</v>
      </c>
      <c r="F818" s="1">
        <v>43944</v>
      </c>
      <c r="G818">
        <v>202010</v>
      </c>
      <c r="H818" t="s">
        <v>64</v>
      </c>
      <c r="I818" t="s">
        <v>65</v>
      </c>
      <c r="J818" t="s">
        <v>66</v>
      </c>
      <c r="K818" t="s">
        <v>67</v>
      </c>
      <c r="L818" t="s">
        <v>684</v>
      </c>
      <c r="M818" t="s">
        <v>685</v>
      </c>
      <c r="N818" t="s">
        <v>686</v>
      </c>
      <c r="O818" t="s">
        <v>69</v>
      </c>
      <c r="P818" t="str">
        <f>"2170736164                    "</f>
        <v xml:space="preserve">2170736164                    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0</v>
      </c>
      <c r="AM818">
        <v>4.1900000000000004</v>
      </c>
      <c r="AN818">
        <v>0</v>
      </c>
      <c r="AO818">
        <v>0</v>
      </c>
      <c r="AP818">
        <v>0</v>
      </c>
      <c r="AQ818">
        <v>0</v>
      </c>
      <c r="AR818">
        <v>0</v>
      </c>
      <c r="AS818">
        <v>0</v>
      </c>
      <c r="AT818">
        <v>0</v>
      </c>
      <c r="AU818">
        <v>0</v>
      </c>
      <c r="AV818">
        <v>0</v>
      </c>
      <c r="AW818">
        <v>0</v>
      </c>
      <c r="AX818">
        <v>0</v>
      </c>
      <c r="AY818">
        <v>0</v>
      </c>
      <c r="AZ818">
        <v>0</v>
      </c>
      <c r="BA818">
        <v>0</v>
      </c>
      <c r="BB818">
        <v>0</v>
      </c>
      <c r="BG818">
        <v>0</v>
      </c>
      <c r="BH818">
        <v>1</v>
      </c>
      <c r="BI818">
        <v>1.9</v>
      </c>
      <c r="BJ818">
        <v>0.9</v>
      </c>
      <c r="BK818">
        <v>2</v>
      </c>
      <c r="BL818">
        <v>46.06</v>
      </c>
      <c r="BM818">
        <v>6.91</v>
      </c>
      <c r="BN818">
        <v>52.97</v>
      </c>
      <c r="BO818">
        <v>52.97</v>
      </c>
      <c r="BQ818" t="s">
        <v>78</v>
      </c>
      <c r="BR818" t="s">
        <v>71</v>
      </c>
      <c r="BS818" s="1">
        <v>43945</v>
      </c>
      <c r="BT818" s="2">
        <v>0.54166666666666663</v>
      </c>
      <c r="BU818" t="s">
        <v>1006</v>
      </c>
      <c r="BV818" t="s">
        <v>74</v>
      </c>
      <c r="BW818" t="s">
        <v>85</v>
      </c>
      <c r="BX818" t="s">
        <v>128</v>
      </c>
      <c r="BY818">
        <v>4345.6000000000004</v>
      </c>
      <c r="CC818" t="s">
        <v>685</v>
      </c>
      <c r="CD818">
        <v>4113</v>
      </c>
      <c r="CE818" t="s">
        <v>91</v>
      </c>
      <c r="CF818" s="1">
        <v>43949</v>
      </c>
      <c r="CI818">
        <v>1</v>
      </c>
      <c r="CJ818">
        <v>1</v>
      </c>
      <c r="CK818">
        <v>21</v>
      </c>
      <c r="CL818" t="s">
        <v>74</v>
      </c>
    </row>
    <row r="819" spans="1:90" x14ac:dyDescent="0.25">
      <c r="A819" t="s">
        <v>61</v>
      </c>
      <c r="B819" t="s">
        <v>62</v>
      </c>
      <c r="C819" t="s">
        <v>63</v>
      </c>
      <c r="E819" t="str">
        <f>"FES1162744934"</f>
        <v>FES1162744934</v>
      </c>
      <c r="F819" s="1">
        <v>43944</v>
      </c>
      <c r="G819">
        <v>202010</v>
      </c>
      <c r="H819" t="s">
        <v>64</v>
      </c>
      <c r="I819" t="s">
        <v>65</v>
      </c>
      <c r="J819" t="s">
        <v>66</v>
      </c>
      <c r="K819" t="s">
        <v>67</v>
      </c>
      <c r="L819" t="s">
        <v>684</v>
      </c>
      <c r="M819" t="s">
        <v>685</v>
      </c>
      <c r="N819" t="s">
        <v>686</v>
      </c>
      <c r="O819" t="s">
        <v>69</v>
      </c>
      <c r="P819" t="str">
        <f>"2170736177                    "</f>
        <v xml:space="preserve">2170736177                    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0</v>
      </c>
      <c r="AM819">
        <v>4.1900000000000004</v>
      </c>
      <c r="AN819">
        <v>0</v>
      </c>
      <c r="AO819">
        <v>0</v>
      </c>
      <c r="AP819">
        <v>0</v>
      </c>
      <c r="AQ819">
        <v>0</v>
      </c>
      <c r="AR819">
        <v>0</v>
      </c>
      <c r="AS819">
        <v>0</v>
      </c>
      <c r="AT819">
        <v>0</v>
      </c>
      <c r="AU819">
        <v>0</v>
      </c>
      <c r="AV819">
        <v>0</v>
      </c>
      <c r="AW819">
        <v>0</v>
      </c>
      <c r="AX819">
        <v>0</v>
      </c>
      <c r="AY819">
        <v>0</v>
      </c>
      <c r="AZ819">
        <v>0</v>
      </c>
      <c r="BA819">
        <v>0</v>
      </c>
      <c r="BB819">
        <v>0</v>
      </c>
      <c r="BG819">
        <v>0</v>
      </c>
      <c r="BH819">
        <v>1</v>
      </c>
      <c r="BI819">
        <v>1.1000000000000001</v>
      </c>
      <c r="BJ819">
        <v>1</v>
      </c>
      <c r="BK819">
        <v>1.5</v>
      </c>
      <c r="BL819">
        <v>46.06</v>
      </c>
      <c r="BM819">
        <v>6.91</v>
      </c>
      <c r="BN819">
        <v>52.97</v>
      </c>
      <c r="BO819">
        <v>52.97</v>
      </c>
      <c r="BQ819" t="s">
        <v>78</v>
      </c>
      <c r="BR819" t="s">
        <v>71</v>
      </c>
      <c r="BS819" s="1">
        <v>43945</v>
      </c>
      <c r="BT819" s="2">
        <v>0.54166666666666663</v>
      </c>
      <c r="BU819" t="s">
        <v>1006</v>
      </c>
      <c r="BV819" t="s">
        <v>74</v>
      </c>
      <c r="BW819" t="s">
        <v>85</v>
      </c>
      <c r="BX819" t="s">
        <v>128</v>
      </c>
      <c r="BY819">
        <v>4768.5</v>
      </c>
      <c r="CC819" t="s">
        <v>685</v>
      </c>
      <c r="CD819">
        <v>4113</v>
      </c>
      <c r="CE819" t="s">
        <v>91</v>
      </c>
      <c r="CF819" s="1">
        <v>43949</v>
      </c>
      <c r="CI819">
        <v>1</v>
      </c>
      <c r="CJ819">
        <v>1</v>
      </c>
      <c r="CK819">
        <v>21</v>
      </c>
      <c r="CL819" t="s">
        <v>74</v>
      </c>
    </row>
    <row r="820" spans="1:90" x14ac:dyDescent="0.25">
      <c r="A820" t="s">
        <v>61</v>
      </c>
      <c r="B820" t="s">
        <v>62</v>
      </c>
      <c r="C820" t="s">
        <v>63</v>
      </c>
      <c r="E820" t="str">
        <f>"FES1162744923"</f>
        <v>FES1162744923</v>
      </c>
      <c r="F820" s="1">
        <v>43944</v>
      </c>
      <c r="G820">
        <v>202010</v>
      </c>
      <c r="H820" t="s">
        <v>64</v>
      </c>
      <c r="I820" t="s">
        <v>65</v>
      </c>
      <c r="J820" t="s">
        <v>66</v>
      </c>
      <c r="K820" t="s">
        <v>67</v>
      </c>
      <c r="L820" t="s">
        <v>684</v>
      </c>
      <c r="M820" t="s">
        <v>685</v>
      </c>
      <c r="N820" t="s">
        <v>686</v>
      </c>
      <c r="O820" t="s">
        <v>69</v>
      </c>
      <c r="P820" t="str">
        <f>"2170732871                    "</f>
        <v xml:space="preserve">2170732871                    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0</v>
      </c>
      <c r="AM820">
        <v>6.28</v>
      </c>
      <c r="AN820">
        <v>0</v>
      </c>
      <c r="AO820">
        <v>0</v>
      </c>
      <c r="AP820">
        <v>0</v>
      </c>
      <c r="AQ820">
        <v>0</v>
      </c>
      <c r="AR820">
        <v>0</v>
      </c>
      <c r="AS820">
        <v>0</v>
      </c>
      <c r="AT820">
        <v>0</v>
      </c>
      <c r="AU820">
        <v>0</v>
      </c>
      <c r="AV820">
        <v>0</v>
      </c>
      <c r="AW820">
        <v>0</v>
      </c>
      <c r="AX820">
        <v>0</v>
      </c>
      <c r="AY820">
        <v>0</v>
      </c>
      <c r="AZ820">
        <v>0</v>
      </c>
      <c r="BA820">
        <v>0</v>
      </c>
      <c r="BB820">
        <v>0</v>
      </c>
      <c r="BG820">
        <v>0</v>
      </c>
      <c r="BH820">
        <v>1</v>
      </c>
      <c r="BI820">
        <v>3</v>
      </c>
      <c r="BJ820">
        <v>2</v>
      </c>
      <c r="BK820">
        <v>3</v>
      </c>
      <c r="BL820">
        <v>69.069999999999993</v>
      </c>
      <c r="BM820">
        <v>10.36</v>
      </c>
      <c r="BN820">
        <v>79.430000000000007</v>
      </c>
      <c r="BO820">
        <v>79.430000000000007</v>
      </c>
      <c r="BQ820" t="s">
        <v>78</v>
      </c>
      <c r="BR820" t="s">
        <v>71</v>
      </c>
      <c r="BS820" s="1">
        <v>43945</v>
      </c>
      <c r="BT820" s="2">
        <v>0.47916666666666669</v>
      </c>
      <c r="BU820" t="s">
        <v>1006</v>
      </c>
      <c r="BV820" t="s">
        <v>74</v>
      </c>
      <c r="BW820" t="s">
        <v>85</v>
      </c>
      <c r="BX820" t="s">
        <v>128</v>
      </c>
      <c r="BY820">
        <v>10190.700000000001</v>
      </c>
      <c r="CC820" t="s">
        <v>685</v>
      </c>
      <c r="CD820">
        <v>4113</v>
      </c>
      <c r="CE820" t="s">
        <v>91</v>
      </c>
      <c r="CF820" s="1">
        <v>43949</v>
      </c>
      <c r="CI820">
        <v>1</v>
      </c>
      <c r="CJ820">
        <v>1</v>
      </c>
      <c r="CK820">
        <v>21</v>
      </c>
      <c r="CL820" t="s">
        <v>74</v>
      </c>
    </row>
    <row r="821" spans="1:90" x14ac:dyDescent="0.25">
      <c r="A821" t="s">
        <v>61</v>
      </c>
      <c r="B821" t="s">
        <v>62</v>
      </c>
      <c r="C821" t="s">
        <v>63</v>
      </c>
      <c r="E821" t="str">
        <f>"FES1162745330"</f>
        <v>FES1162745330</v>
      </c>
      <c r="F821" s="1">
        <v>43944</v>
      </c>
      <c r="G821">
        <v>202010</v>
      </c>
      <c r="H821" t="s">
        <v>64</v>
      </c>
      <c r="I821" t="s">
        <v>65</v>
      </c>
      <c r="J821" t="s">
        <v>66</v>
      </c>
      <c r="K821" t="s">
        <v>67</v>
      </c>
      <c r="L821" t="s">
        <v>75</v>
      </c>
      <c r="M821" t="s">
        <v>76</v>
      </c>
      <c r="N821" t="s">
        <v>493</v>
      </c>
      <c r="O821" t="s">
        <v>69</v>
      </c>
      <c r="P821" t="str">
        <f>"2170735438                    "</f>
        <v xml:space="preserve">2170735438                    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0</v>
      </c>
      <c r="AM821">
        <v>4.0599999999999996</v>
      </c>
      <c r="AN821">
        <v>0</v>
      </c>
      <c r="AO821">
        <v>0</v>
      </c>
      <c r="AP821">
        <v>0</v>
      </c>
      <c r="AQ821">
        <v>0</v>
      </c>
      <c r="AR821">
        <v>0</v>
      </c>
      <c r="AS821">
        <v>0</v>
      </c>
      <c r="AT821">
        <v>0</v>
      </c>
      <c r="AU821">
        <v>0</v>
      </c>
      <c r="AV821">
        <v>0</v>
      </c>
      <c r="AW821">
        <v>0</v>
      </c>
      <c r="AX821">
        <v>0</v>
      </c>
      <c r="AY821">
        <v>0</v>
      </c>
      <c r="AZ821">
        <v>0</v>
      </c>
      <c r="BA821">
        <v>0</v>
      </c>
      <c r="BB821">
        <v>0</v>
      </c>
      <c r="BG821">
        <v>0</v>
      </c>
      <c r="BH821">
        <v>1</v>
      </c>
      <c r="BI821">
        <v>1.1000000000000001</v>
      </c>
      <c r="BJ821">
        <v>2.6</v>
      </c>
      <c r="BK821">
        <v>3</v>
      </c>
      <c r="BL821">
        <v>44.61</v>
      </c>
      <c r="BM821">
        <v>6.69</v>
      </c>
      <c r="BN821">
        <v>51.3</v>
      </c>
      <c r="BO821">
        <v>51.3</v>
      </c>
      <c r="BQ821" t="s">
        <v>70</v>
      </c>
      <c r="BR821" t="s">
        <v>71</v>
      </c>
      <c r="BS821" s="1">
        <v>43949</v>
      </c>
      <c r="BT821" s="2">
        <v>0.33333333333333331</v>
      </c>
      <c r="BU821" t="s">
        <v>878</v>
      </c>
      <c r="BV821" t="s">
        <v>74</v>
      </c>
      <c r="BW821" t="s">
        <v>85</v>
      </c>
      <c r="BX821" t="s">
        <v>606</v>
      </c>
      <c r="BY821">
        <v>13047.29</v>
      </c>
      <c r="CC821" t="s">
        <v>76</v>
      </c>
      <c r="CD821">
        <v>1459</v>
      </c>
      <c r="CE821" t="s">
        <v>73</v>
      </c>
      <c r="CF821" s="1">
        <v>43950</v>
      </c>
      <c r="CI821">
        <v>1</v>
      </c>
      <c r="CJ821">
        <v>3</v>
      </c>
      <c r="CK821">
        <v>22</v>
      </c>
      <c r="CL821" t="s">
        <v>74</v>
      </c>
    </row>
    <row r="822" spans="1:90" x14ac:dyDescent="0.25">
      <c r="A822" t="s">
        <v>61</v>
      </c>
      <c r="B822" t="s">
        <v>62</v>
      </c>
      <c r="C822" t="s">
        <v>63</v>
      </c>
      <c r="E822" t="str">
        <f>"FES1162745281"</f>
        <v>FES1162745281</v>
      </c>
      <c r="F822" s="1">
        <v>43944</v>
      </c>
      <c r="G822">
        <v>202010</v>
      </c>
      <c r="H822" t="s">
        <v>64</v>
      </c>
      <c r="I822" t="s">
        <v>65</v>
      </c>
      <c r="J822" t="s">
        <v>66</v>
      </c>
      <c r="K822" t="s">
        <v>67</v>
      </c>
      <c r="L822" t="s">
        <v>791</v>
      </c>
      <c r="M822" t="s">
        <v>792</v>
      </c>
      <c r="N822" t="s">
        <v>793</v>
      </c>
      <c r="O822" t="s">
        <v>69</v>
      </c>
      <c r="P822" t="str">
        <f>"2170736106                    "</f>
        <v xml:space="preserve">2170736106                    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0</v>
      </c>
      <c r="AM822">
        <v>8.11</v>
      </c>
      <c r="AN822">
        <v>0</v>
      </c>
      <c r="AO822">
        <v>0</v>
      </c>
      <c r="AP822">
        <v>0</v>
      </c>
      <c r="AQ822">
        <v>0</v>
      </c>
      <c r="AR822">
        <v>0</v>
      </c>
      <c r="AS822">
        <v>0</v>
      </c>
      <c r="AT822">
        <v>0</v>
      </c>
      <c r="AU822">
        <v>0</v>
      </c>
      <c r="AV822">
        <v>0</v>
      </c>
      <c r="AW822">
        <v>0</v>
      </c>
      <c r="AX822">
        <v>0</v>
      </c>
      <c r="AY822">
        <v>0</v>
      </c>
      <c r="AZ822">
        <v>0</v>
      </c>
      <c r="BA822">
        <v>0</v>
      </c>
      <c r="BB822">
        <v>0</v>
      </c>
      <c r="BG822">
        <v>0</v>
      </c>
      <c r="BH822">
        <v>1</v>
      </c>
      <c r="BI822">
        <v>0.9</v>
      </c>
      <c r="BJ822">
        <v>1.8</v>
      </c>
      <c r="BK822">
        <v>2</v>
      </c>
      <c r="BL822">
        <v>89.23</v>
      </c>
      <c r="BM822">
        <v>13.38</v>
      </c>
      <c r="BN822">
        <v>102.61</v>
      </c>
      <c r="BO822">
        <v>102.61</v>
      </c>
      <c r="BQ822" t="s">
        <v>78</v>
      </c>
      <c r="BR822" t="s">
        <v>71</v>
      </c>
      <c r="BS822" s="1">
        <v>43949</v>
      </c>
      <c r="BT822" s="2">
        <v>0.52083333333333337</v>
      </c>
      <c r="BU822" t="s">
        <v>927</v>
      </c>
      <c r="BV822" t="s">
        <v>80</v>
      </c>
      <c r="BY822">
        <v>8847.14</v>
      </c>
      <c r="CA822" t="s">
        <v>795</v>
      </c>
      <c r="CC822" t="s">
        <v>792</v>
      </c>
      <c r="CD822">
        <v>7160</v>
      </c>
      <c r="CE822" t="s">
        <v>73</v>
      </c>
      <c r="CI822">
        <v>3</v>
      </c>
      <c r="CJ822">
        <v>3</v>
      </c>
      <c r="CK822">
        <v>23</v>
      </c>
      <c r="CL822" t="s">
        <v>74</v>
      </c>
    </row>
    <row r="823" spans="1:90" x14ac:dyDescent="0.25">
      <c r="A823" t="s">
        <v>61</v>
      </c>
      <c r="B823" t="s">
        <v>62</v>
      </c>
      <c r="C823" t="s">
        <v>63</v>
      </c>
      <c r="E823" t="str">
        <f>"FES1162745331"</f>
        <v>FES1162745331</v>
      </c>
      <c r="F823" s="1">
        <v>43944</v>
      </c>
      <c r="G823">
        <v>202010</v>
      </c>
      <c r="H823" t="s">
        <v>64</v>
      </c>
      <c r="I823" t="s">
        <v>65</v>
      </c>
      <c r="J823" t="s">
        <v>66</v>
      </c>
      <c r="K823" t="s">
        <v>67</v>
      </c>
      <c r="L823" t="s">
        <v>92</v>
      </c>
      <c r="M823" t="s">
        <v>93</v>
      </c>
      <c r="N823" t="s">
        <v>94</v>
      </c>
      <c r="O823" t="s">
        <v>69</v>
      </c>
      <c r="P823" t="str">
        <f>"2170735455                    "</f>
        <v xml:space="preserve">2170735455                    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4.1900000000000004</v>
      </c>
      <c r="AN823">
        <v>0</v>
      </c>
      <c r="AO823">
        <v>0</v>
      </c>
      <c r="AP823">
        <v>0</v>
      </c>
      <c r="AQ823">
        <v>0</v>
      </c>
      <c r="AR823">
        <v>0</v>
      </c>
      <c r="AS823">
        <v>0</v>
      </c>
      <c r="AT823">
        <v>0</v>
      </c>
      <c r="AU823">
        <v>0</v>
      </c>
      <c r="AV823">
        <v>0</v>
      </c>
      <c r="AW823">
        <v>0</v>
      </c>
      <c r="AX823">
        <v>0</v>
      </c>
      <c r="AY823">
        <v>0</v>
      </c>
      <c r="AZ823">
        <v>0</v>
      </c>
      <c r="BA823">
        <v>0</v>
      </c>
      <c r="BB823">
        <v>0</v>
      </c>
      <c r="BG823">
        <v>0</v>
      </c>
      <c r="BH823">
        <v>1</v>
      </c>
      <c r="BI823">
        <v>0.2</v>
      </c>
      <c r="BJ823">
        <v>1.4</v>
      </c>
      <c r="BK823">
        <v>1.5</v>
      </c>
      <c r="BL823">
        <v>46.06</v>
      </c>
      <c r="BM823">
        <v>6.91</v>
      </c>
      <c r="BN823">
        <v>52.97</v>
      </c>
      <c r="BO823">
        <v>52.97</v>
      </c>
      <c r="BQ823" t="s">
        <v>70</v>
      </c>
      <c r="BR823" t="s">
        <v>71</v>
      </c>
      <c r="BS823" s="1">
        <v>43945</v>
      </c>
      <c r="BT823" s="2">
        <v>0.41666666666666669</v>
      </c>
      <c r="BU823" t="s">
        <v>590</v>
      </c>
      <c r="BV823" t="s">
        <v>80</v>
      </c>
      <c r="BY823">
        <v>6772.08</v>
      </c>
      <c r="CC823" t="s">
        <v>93</v>
      </c>
      <c r="CD823">
        <v>7441</v>
      </c>
      <c r="CE823" t="s">
        <v>73</v>
      </c>
      <c r="CF823" s="1">
        <v>43949</v>
      </c>
      <c r="CI823">
        <v>1</v>
      </c>
      <c r="CJ823">
        <v>1</v>
      </c>
      <c r="CK823">
        <v>21</v>
      </c>
      <c r="CL823" t="s">
        <v>74</v>
      </c>
    </row>
    <row r="824" spans="1:90" x14ac:dyDescent="0.25">
      <c r="A824" t="s">
        <v>61</v>
      </c>
      <c r="B824" t="s">
        <v>62</v>
      </c>
      <c r="C824" t="s">
        <v>63</v>
      </c>
      <c r="E824" t="str">
        <f>"FES1162745256"</f>
        <v>FES1162745256</v>
      </c>
      <c r="F824" s="1">
        <v>43944</v>
      </c>
      <c r="G824">
        <v>202010</v>
      </c>
      <c r="H824" t="s">
        <v>64</v>
      </c>
      <c r="I824" t="s">
        <v>65</v>
      </c>
      <c r="J824" t="s">
        <v>66</v>
      </c>
      <c r="K824" t="s">
        <v>67</v>
      </c>
      <c r="L824" t="s">
        <v>64</v>
      </c>
      <c r="M824" t="s">
        <v>65</v>
      </c>
      <c r="N824" t="s">
        <v>812</v>
      </c>
      <c r="O824" t="s">
        <v>69</v>
      </c>
      <c r="P824" t="str">
        <f>"2170735955                    "</f>
        <v xml:space="preserve">2170735955                    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3.27</v>
      </c>
      <c r="AN824">
        <v>0</v>
      </c>
      <c r="AO824">
        <v>0</v>
      </c>
      <c r="AP824">
        <v>0</v>
      </c>
      <c r="AQ824">
        <v>0</v>
      </c>
      <c r="AR824">
        <v>0</v>
      </c>
      <c r="AS824">
        <v>0</v>
      </c>
      <c r="AT824">
        <v>0</v>
      </c>
      <c r="AU824">
        <v>0</v>
      </c>
      <c r="AV824">
        <v>0</v>
      </c>
      <c r="AW824">
        <v>0</v>
      </c>
      <c r="AX824">
        <v>0</v>
      </c>
      <c r="AY824">
        <v>0</v>
      </c>
      <c r="AZ824">
        <v>0</v>
      </c>
      <c r="BA824">
        <v>0</v>
      </c>
      <c r="BB824">
        <v>0</v>
      </c>
      <c r="BG824">
        <v>0</v>
      </c>
      <c r="BH824">
        <v>1</v>
      </c>
      <c r="BI824">
        <v>1</v>
      </c>
      <c r="BJ824">
        <v>0.2</v>
      </c>
      <c r="BK824">
        <v>1</v>
      </c>
      <c r="BL824">
        <v>35.979999999999997</v>
      </c>
      <c r="BM824">
        <v>5.4</v>
      </c>
      <c r="BN824">
        <v>41.38</v>
      </c>
      <c r="BO824">
        <v>41.38</v>
      </c>
      <c r="BQ824" t="s">
        <v>70</v>
      </c>
      <c r="BR824" t="s">
        <v>71</v>
      </c>
      <c r="BS824" s="1">
        <v>43945</v>
      </c>
      <c r="BT824" s="2">
        <v>0.41666666666666669</v>
      </c>
      <c r="BU824" t="s">
        <v>813</v>
      </c>
      <c r="BV824" t="s">
        <v>80</v>
      </c>
      <c r="BY824">
        <v>1200</v>
      </c>
      <c r="CC824" t="s">
        <v>65</v>
      </c>
      <c r="CD824">
        <v>1609</v>
      </c>
      <c r="CE824" t="s">
        <v>73</v>
      </c>
      <c r="CF824" s="1">
        <v>43949</v>
      </c>
      <c r="CI824">
        <v>1</v>
      </c>
      <c r="CJ824">
        <v>1</v>
      </c>
      <c r="CK824">
        <v>22</v>
      </c>
      <c r="CL824" t="s">
        <v>74</v>
      </c>
    </row>
    <row r="825" spans="1:90" x14ac:dyDescent="0.25">
      <c r="A825" t="s">
        <v>61</v>
      </c>
      <c r="B825" t="s">
        <v>62</v>
      </c>
      <c r="C825" t="s">
        <v>63</v>
      </c>
      <c r="E825" t="str">
        <f>"FES1162745181"</f>
        <v>FES1162745181</v>
      </c>
      <c r="F825" s="1">
        <v>43944</v>
      </c>
      <c r="G825">
        <v>202010</v>
      </c>
      <c r="H825" t="s">
        <v>64</v>
      </c>
      <c r="I825" t="s">
        <v>65</v>
      </c>
      <c r="J825" t="s">
        <v>66</v>
      </c>
      <c r="K825" t="s">
        <v>67</v>
      </c>
      <c r="L825" t="s">
        <v>177</v>
      </c>
      <c r="M825" t="s">
        <v>178</v>
      </c>
      <c r="N825" t="s">
        <v>179</v>
      </c>
      <c r="O825" t="s">
        <v>69</v>
      </c>
      <c r="P825" t="str">
        <f>"2170736320                    "</f>
        <v xml:space="preserve">2170736320                    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29.29</v>
      </c>
      <c r="AN825">
        <v>0</v>
      </c>
      <c r="AO825">
        <v>0</v>
      </c>
      <c r="AP825">
        <v>0</v>
      </c>
      <c r="AQ825">
        <v>0</v>
      </c>
      <c r="AR825">
        <v>0</v>
      </c>
      <c r="AS825">
        <v>0</v>
      </c>
      <c r="AT825">
        <v>0</v>
      </c>
      <c r="AU825">
        <v>0</v>
      </c>
      <c r="AV825">
        <v>0</v>
      </c>
      <c r="AW825">
        <v>0</v>
      </c>
      <c r="AX825">
        <v>0</v>
      </c>
      <c r="AY825">
        <v>0</v>
      </c>
      <c r="AZ825">
        <v>0</v>
      </c>
      <c r="BA825">
        <v>0</v>
      </c>
      <c r="BB825">
        <v>0</v>
      </c>
      <c r="BG825">
        <v>0</v>
      </c>
      <c r="BH825">
        <v>1</v>
      </c>
      <c r="BI825">
        <v>14</v>
      </c>
      <c r="BJ825">
        <v>5.9</v>
      </c>
      <c r="BK825">
        <v>14</v>
      </c>
      <c r="BL825">
        <v>322.2</v>
      </c>
      <c r="BM825">
        <v>48.33</v>
      </c>
      <c r="BN825">
        <v>370.53</v>
      </c>
      <c r="BO825">
        <v>370.53</v>
      </c>
      <c r="BQ825" t="s">
        <v>70</v>
      </c>
      <c r="BR825" t="s">
        <v>71</v>
      </c>
      <c r="BS825" s="1">
        <v>43945</v>
      </c>
      <c r="BT825" s="2">
        <v>0.48125000000000001</v>
      </c>
      <c r="BU825" t="s">
        <v>235</v>
      </c>
      <c r="BV825" t="s">
        <v>80</v>
      </c>
      <c r="BY825">
        <v>29587.71</v>
      </c>
      <c r="CA825" t="s">
        <v>741</v>
      </c>
      <c r="CC825" t="s">
        <v>178</v>
      </c>
      <c r="CD825">
        <v>4302</v>
      </c>
      <c r="CE825" t="s">
        <v>91</v>
      </c>
      <c r="CF825" s="1">
        <v>43949</v>
      </c>
      <c r="CI825">
        <v>1</v>
      </c>
      <c r="CJ825">
        <v>1</v>
      </c>
      <c r="CK825">
        <v>21</v>
      </c>
      <c r="CL825" t="s">
        <v>74</v>
      </c>
    </row>
    <row r="826" spans="1:90" x14ac:dyDescent="0.25">
      <c r="A826" t="s">
        <v>61</v>
      </c>
      <c r="B826" t="s">
        <v>62</v>
      </c>
      <c r="C826" t="s">
        <v>63</v>
      </c>
      <c r="E826" t="str">
        <f>"FES1162745059"</f>
        <v>FES1162745059</v>
      </c>
      <c r="F826" s="1">
        <v>43944</v>
      </c>
      <c r="G826">
        <v>202010</v>
      </c>
      <c r="H826" t="s">
        <v>64</v>
      </c>
      <c r="I826" t="s">
        <v>65</v>
      </c>
      <c r="J826" t="s">
        <v>66</v>
      </c>
      <c r="K826" t="s">
        <v>67</v>
      </c>
      <c r="L826" t="s">
        <v>968</v>
      </c>
      <c r="M826" t="s">
        <v>969</v>
      </c>
      <c r="N826" t="s">
        <v>970</v>
      </c>
      <c r="O826" t="s">
        <v>69</v>
      </c>
      <c r="P826" t="str">
        <f>"2170735029                    "</f>
        <v xml:space="preserve">2170735029                    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8.11</v>
      </c>
      <c r="AN826">
        <v>0</v>
      </c>
      <c r="AO826">
        <v>0</v>
      </c>
      <c r="AP826">
        <v>0</v>
      </c>
      <c r="AQ826">
        <v>0</v>
      </c>
      <c r="AR826">
        <v>0</v>
      </c>
      <c r="AS826">
        <v>0</v>
      </c>
      <c r="AT826">
        <v>0</v>
      </c>
      <c r="AU826">
        <v>0</v>
      </c>
      <c r="AV826">
        <v>0</v>
      </c>
      <c r="AW826">
        <v>0</v>
      </c>
      <c r="AX826">
        <v>0</v>
      </c>
      <c r="AY826">
        <v>0</v>
      </c>
      <c r="AZ826">
        <v>0</v>
      </c>
      <c r="BA826">
        <v>0</v>
      </c>
      <c r="BB826">
        <v>0</v>
      </c>
      <c r="BG826">
        <v>0</v>
      </c>
      <c r="BH826">
        <v>1</v>
      </c>
      <c r="BI826">
        <v>1</v>
      </c>
      <c r="BJ826">
        <v>1.4</v>
      </c>
      <c r="BK826">
        <v>1.5</v>
      </c>
      <c r="BL826">
        <v>89.23</v>
      </c>
      <c r="BM826">
        <v>13.38</v>
      </c>
      <c r="BN826">
        <v>102.61</v>
      </c>
      <c r="BO826">
        <v>102.61</v>
      </c>
      <c r="BQ826" t="s">
        <v>78</v>
      </c>
      <c r="BR826" t="s">
        <v>71</v>
      </c>
      <c r="BS826" s="1">
        <v>43945</v>
      </c>
      <c r="BT826" s="2">
        <v>0.6958333333333333</v>
      </c>
      <c r="BU826" t="s">
        <v>971</v>
      </c>
      <c r="BV826" t="s">
        <v>80</v>
      </c>
      <c r="BY826">
        <v>6793.97</v>
      </c>
      <c r="CA826" t="s">
        <v>899</v>
      </c>
      <c r="CC826" t="s">
        <v>969</v>
      </c>
      <c r="CD826">
        <v>4242</v>
      </c>
      <c r="CE826" t="s">
        <v>73</v>
      </c>
      <c r="CF826" s="1">
        <v>43950</v>
      </c>
      <c r="CI826">
        <v>2</v>
      </c>
      <c r="CJ826">
        <v>1</v>
      </c>
      <c r="CK826">
        <v>23</v>
      </c>
      <c r="CL826" t="s">
        <v>74</v>
      </c>
    </row>
    <row r="827" spans="1:90" x14ac:dyDescent="0.25">
      <c r="A827" t="s">
        <v>61</v>
      </c>
      <c r="B827" t="s">
        <v>62</v>
      </c>
      <c r="C827" t="s">
        <v>63</v>
      </c>
      <c r="E827" t="str">
        <f>"FES1162745384"</f>
        <v>FES1162745384</v>
      </c>
      <c r="F827" s="1">
        <v>43944</v>
      </c>
      <c r="G827">
        <v>202010</v>
      </c>
      <c r="H827" t="s">
        <v>64</v>
      </c>
      <c r="I827" t="s">
        <v>65</v>
      </c>
      <c r="J827" t="s">
        <v>66</v>
      </c>
      <c r="K827" t="s">
        <v>67</v>
      </c>
      <c r="L827" t="s">
        <v>116</v>
      </c>
      <c r="M827" t="s">
        <v>117</v>
      </c>
      <c r="N827" t="s">
        <v>118</v>
      </c>
      <c r="O827" t="s">
        <v>69</v>
      </c>
      <c r="P827" t="str">
        <f>"2170736533                    "</f>
        <v xml:space="preserve">2170736533                    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0</v>
      </c>
      <c r="AM827">
        <v>8.11</v>
      </c>
      <c r="AN827">
        <v>0</v>
      </c>
      <c r="AO827">
        <v>0</v>
      </c>
      <c r="AP827">
        <v>0</v>
      </c>
      <c r="AQ827">
        <v>0</v>
      </c>
      <c r="AR827">
        <v>0</v>
      </c>
      <c r="AS827">
        <v>0</v>
      </c>
      <c r="AT827">
        <v>0</v>
      </c>
      <c r="AU827">
        <v>0</v>
      </c>
      <c r="AV827">
        <v>0</v>
      </c>
      <c r="AW827">
        <v>0</v>
      </c>
      <c r="AX827">
        <v>0</v>
      </c>
      <c r="AY827">
        <v>0</v>
      </c>
      <c r="AZ827">
        <v>0</v>
      </c>
      <c r="BA827">
        <v>0</v>
      </c>
      <c r="BB827">
        <v>0</v>
      </c>
      <c r="BG827">
        <v>0</v>
      </c>
      <c r="BH827">
        <v>1</v>
      </c>
      <c r="BI827">
        <v>0.9</v>
      </c>
      <c r="BJ827">
        <v>0.7</v>
      </c>
      <c r="BK827">
        <v>1</v>
      </c>
      <c r="BL827">
        <v>89.23</v>
      </c>
      <c r="BM827">
        <v>13.38</v>
      </c>
      <c r="BN827">
        <v>102.61</v>
      </c>
      <c r="BO827">
        <v>102.61</v>
      </c>
      <c r="BQ827" t="s">
        <v>78</v>
      </c>
      <c r="BR827" t="s">
        <v>71</v>
      </c>
      <c r="BS827" s="1">
        <v>43945</v>
      </c>
      <c r="BT827" s="2">
        <v>0.41666666666666669</v>
      </c>
      <c r="BU827" t="s">
        <v>119</v>
      </c>
      <c r="BV827" t="s">
        <v>80</v>
      </c>
      <c r="BY827">
        <v>3545.54</v>
      </c>
      <c r="CC827" t="s">
        <v>117</v>
      </c>
      <c r="CD827">
        <v>7300</v>
      </c>
      <c r="CE827" t="s">
        <v>91</v>
      </c>
      <c r="CF827" s="1">
        <v>43949</v>
      </c>
      <c r="CI827">
        <v>1</v>
      </c>
      <c r="CJ827">
        <v>1</v>
      </c>
      <c r="CK827">
        <v>23</v>
      </c>
      <c r="CL827" t="s">
        <v>74</v>
      </c>
    </row>
    <row r="828" spans="1:90" x14ac:dyDescent="0.25">
      <c r="A828" t="s">
        <v>61</v>
      </c>
      <c r="B828" t="s">
        <v>62</v>
      </c>
      <c r="C828" t="s">
        <v>63</v>
      </c>
      <c r="E828" t="str">
        <f>"009935712258"</f>
        <v>009935712258</v>
      </c>
      <c r="F828" s="1">
        <v>43944</v>
      </c>
      <c r="G828">
        <v>202010</v>
      </c>
      <c r="H828" t="s">
        <v>64</v>
      </c>
      <c r="I828" t="s">
        <v>65</v>
      </c>
      <c r="J828" t="s">
        <v>66</v>
      </c>
      <c r="K828" t="s">
        <v>67</v>
      </c>
      <c r="L828" t="s">
        <v>212</v>
      </c>
      <c r="M828" t="s">
        <v>213</v>
      </c>
      <c r="N828" t="s">
        <v>889</v>
      </c>
      <c r="O828" t="s">
        <v>69</v>
      </c>
      <c r="P828" t="str">
        <f>"1162745212                    "</f>
        <v xml:space="preserve">1162745212                    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0</v>
      </c>
      <c r="AM828">
        <v>5.23</v>
      </c>
      <c r="AN828">
        <v>0</v>
      </c>
      <c r="AO828">
        <v>0</v>
      </c>
      <c r="AP828">
        <v>0</v>
      </c>
      <c r="AQ828">
        <v>0</v>
      </c>
      <c r="AR828">
        <v>0</v>
      </c>
      <c r="AS828">
        <v>0</v>
      </c>
      <c r="AT828">
        <v>0</v>
      </c>
      <c r="AU828">
        <v>0</v>
      </c>
      <c r="AV828">
        <v>0</v>
      </c>
      <c r="AW828">
        <v>0</v>
      </c>
      <c r="AX828">
        <v>0</v>
      </c>
      <c r="AY828">
        <v>0</v>
      </c>
      <c r="AZ828">
        <v>0</v>
      </c>
      <c r="BA828">
        <v>0</v>
      </c>
      <c r="BB828">
        <v>0</v>
      </c>
      <c r="BG828">
        <v>0</v>
      </c>
      <c r="BH828">
        <v>1</v>
      </c>
      <c r="BI828">
        <v>0.6</v>
      </c>
      <c r="BJ828">
        <v>2.1</v>
      </c>
      <c r="BK828">
        <v>2.5</v>
      </c>
      <c r="BL828">
        <v>57.56</v>
      </c>
      <c r="BM828">
        <v>8.6300000000000008</v>
      </c>
      <c r="BN828">
        <v>66.19</v>
      </c>
      <c r="BO828">
        <v>66.19</v>
      </c>
      <c r="BP828" t="s">
        <v>1007</v>
      </c>
      <c r="BQ828" t="s">
        <v>268</v>
      </c>
      <c r="BR828" t="s">
        <v>71</v>
      </c>
      <c r="BS828" s="1">
        <v>43945</v>
      </c>
      <c r="BT828" s="2">
        <v>0.36944444444444446</v>
      </c>
      <c r="BU828" t="s">
        <v>890</v>
      </c>
      <c r="BV828" t="s">
        <v>80</v>
      </c>
      <c r="BY828">
        <v>10375.620000000001</v>
      </c>
      <c r="CA828" t="s">
        <v>711</v>
      </c>
      <c r="CC828" t="s">
        <v>213</v>
      </c>
      <c r="CD828">
        <v>3610</v>
      </c>
      <c r="CE828" t="s">
        <v>73</v>
      </c>
      <c r="CF828" s="1">
        <v>43949</v>
      </c>
      <c r="CI828">
        <v>1</v>
      </c>
      <c r="CJ828">
        <v>1</v>
      </c>
      <c r="CK828">
        <v>21</v>
      </c>
      <c r="CL828" t="s">
        <v>74</v>
      </c>
    </row>
    <row r="829" spans="1:90" x14ac:dyDescent="0.25">
      <c r="A829" t="s">
        <v>61</v>
      </c>
      <c r="B829" t="s">
        <v>62</v>
      </c>
      <c r="C829" t="s">
        <v>63</v>
      </c>
      <c r="E829" t="str">
        <f>"FES1162745327"</f>
        <v>FES1162745327</v>
      </c>
      <c r="F829" s="1">
        <v>43944</v>
      </c>
      <c r="G829">
        <v>202010</v>
      </c>
      <c r="H829" t="s">
        <v>64</v>
      </c>
      <c r="I829" t="s">
        <v>65</v>
      </c>
      <c r="J829" t="s">
        <v>66</v>
      </c>
      <c r="K829" t="s">
        <v>67</v>
      </c>
      <c r="L829" t="s">
        <v>270</v>
      </c>
      <c r="M829" t="s">
        <v>271</v>
      </c>
      <c r="N829" t="s">
        <v>484</v>
      </c>
      <c r="O829" t="s">
        <v>69</v>
      </c>
      <c r="P829" t="str">
        <f>"2170735422                    "</f>
        <v xml:space="preserve">2170735422                    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3.27</v>
      </c>
      <c r="AN829">
        <v>0</v>
      </c>
      <c r="AO829">
        <v>0</v>
      </c>
      <c r="AP829">
        <v>0</v>
      </c>
      <c r="AQ829">
        <v>0</v>
      </c>
      <c r="AR829">
        <v>0</v>
      </c>
      <c r="AS829">
        <v>0</v>
      </c>
      <c r="AT829">
        <v>0</v>
      </c>
      <c r="AU829">
        <v>0</v>
      </c>
      <c r="AV829">
        <v>0</v>
      </c>
      <c r="AW829">
        <v>0</v>
      </c>
      <c r="AX829">
        <v>0</v>
      </c>
      <c r="AY829">
        <v>0</v>
      </c>
      <c r="AZ829">
        <v>0</v>
      </c>
      <c r="BA829">
        <v>0</v>
      </c>
      <c r="BB829">
        <v>0</v>
      </c>
      <c r="BG829">
        <v>0</v>
      </c>
      <c r="BH829">
        <v>1</v>
      </c>
      <c r="BI829">
        <v>1</v>
      </c>
      <c r="BJ829">
        <v>0.2</v>
      </c>
      <c r="BK829">
        <v>1</v>
      </c>
      <c r="BL829">
        <v>35.979999999999997</v>
      </c>
      <c r="BM829">
        <v>5.4</v>
      </c>
      <c r="BN829">
        <v>41.38</v>
      </c>
      <c r="BO829">
        <v>41.38</v>
      </c>
      <c r="BQ829" t="s">
        <v>70</v>
      </c>
      <c r="BR829" t="s">
        <v>71</v>
      </c>
      <c r="BS829" s="1">
        <v>43945</v>
      </c>
      <c r="BT829" s="2">
        <v>0.40277777777777773</v>
      </c>
      <c r="BU829" t="s">
        <v>228</v>
      </c>
      <c r="BV829" t="s">
        <v>80</v>
      </c>
      <c r="BY829">
        <v>1200</v>
      </c>
      <c r="CA829" t="s">
        <v>486</v>
      </c>
      <c r="CC829" t="s">
        <v>271</v>
      </c>
      <c r="CD829">
        <v>2013</v>
      </c>
      <c r="CE829" t="s">
        <v>73</v>
      </c>
      <c r="CF829" s="1">
        <v>43949</v>
      </c>
      <c r="CI829">
        <v>1</v>
      </c>
      <c r="CJ829">
        <v>1</v>
      </c>
      <c r="CK829">
        <v>22</v>
      </c>
      <c r="CL829" t="s">
        <v>74</v>
      </c>
    </row>
    <row r="830" spans="1:90" x14ac:dyDescent="0.25">
      <c r="A830" t="s">
        <v>61</v>
      </c>
      <c r="B830" t="s">
        <v>62</v>
      </c>
      <c r="C830" t="s">
        <v>63</v>
      </c>
      <c r="E830" t="str">
        <f>"FES1162745206"</f>
        <v>FES1162745206</v>
      </c>
      <c r="F830" s="1">
        <v>43944</v>
      </c>
      <c r="G830">
        <v>202010</v>
      </c>
      <c r="H830" t="s">
        <v>64</v>
      </c>
      <c r="I830" t="s">
        <v>65</v>
      </c>
      <c r="J830" t="s">
        <v>66</v>
      </c>
      <c r="K830" t="s">
        <v>67</v>
      </c>
      <c r="L830" t="s">
        <v>262</v>
      </c>
      <c r="M830" t="s">
        <v>262</v>
      </c>
      <c r="N830" t="s">
        <v>963</v>
      </c>
      <c r="O830" t="s">
        <v>69</v>
      </c>
      <c r="P830" t="str">
        <f>"2170735973                    "</f>
        <v xml:space="preserve">2170735973                    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15.44</v>
      </c>
      <c r="AN830">
        <v>0</v>
      </c>
      <c r="AO830">
        <v>0</v>
      </c>
      <c r="AP830">
        <v>0</v>
      </c>
      <c r="AQ830">
        <v>0</v>
      </c>
      <c r="AR830">
        <v>0</v>
      </c>
      <c r="AS830">
        <v>0</v>
      </c>
      <c r="AT830">
        <v>0</v>
      </c>
      <c r="AU830">
        <v>0</v>
      </c>
      <c r="AV830">
        <v>0</v>
      </c>
      <c r="AW830">
        <v>0</v>
      </c>
      <c r="AX830">
        <v>0</v>
      </c>
      <c r="AY830">
        <v>0</v>
      </c>
      <c r="AZ830">
        <v>0</v>
      </c>
      <c r="BA830">
        <v>0</v>
      </c>
      <c r="BB830">
        <v>0</v>
      </c>
      <c r="BG830">
        <v>0</v>
      </c>
      <c r="BH830">
        <v>1</v>
      </c>
      <c r="BI830">
        <v>4</v>
      </c>
      <c r="BJ830">
        <v>1.1000000000000001</v>
      </c>
      <c r="BK830">
        <v>4</v>
      </c>
      <c r="BL830">
        <v>169.84</v>
      </c>
      <c r="BM830">
        <v>25.48</v>
      </c>
      <c r="BN830">
        <v>195.32</v>
      </c>
      <c r="BO830">
        <v>195.32</v>
      </c>
      <c r="BQ830" t="s">
        <v>78</v>
      </c>
      <c r="BR830" t="s">
        <v>71</v>
      </c>
      <c r="BS830" s="1">
        <v>43945</v>
      </c>
      <c r="BT830" s="2">
        <v>0.53541666666666665</v>
      </c>
      <c r="BU830" t="s">
        <v>964</v>
      </c>
      <c r="BV830" t="s">
        <v>80</v>
      </c>
      <c r="BY830">
        <v>5427</v>
      </c>
      <c r="CA830" t="s">
        <v>266</v>
      </c>
      <c r="CC830" t="s">
        <v>262</v>
      </c>
      <c r="CD830">
        <v>7646</v>
      </c>
      <c r="CE830" t="s">
        <v>91</v>
      </c>
      <c r="CF830" s="1">
        <v>43949</v>
      </c>
      <c r="CI830">
        <v>1</v>
      </c>
      <c r="CJ830">
        <v>1</v>
      </c>
      <c r="CK830">
        <v>23</v>
      </c>
      <c r="CL830" t="s">
        <v>74</v>
      </c>
    </row>
    <row r="831" spans="1:90" x14ac:dyDescent="0.25">
      <c r="A831" t="s">
        <v>61</v>
      </c>
      <c r="B831" t="s">
        <v>62</v>
      </c>
      <c r="C831" t="s">
        <v>63</v>
      </c>
      <c r="E831" t="str">
        <f>"FES1162745377"</f>
        <v>FES1162745377</v>
      </c>
      <c r="F831" s="1">
        <v>43944</v>
      </c>
      <c r="G831">
        <v>202010</v>
      </c>
      <c r="H831" t="s">
        <v>64</v>
      </c>
      <c r="I831" t="s">
        <v>65</v>
      </c>
      <c r="J831" t="s">
        <v>66</v>
      </c>
      <c r="K831" t="s">
        <v>67</v>
      </c>
      <c r="L831" t="s">
        <v>92</v>
      </c>
      <c r="M831" t="s">
        <v>93</v>
      </c>
      <c r="N831" t="s">
        <v>320</v>
      </c>
      <c r="O831" t="s">
        <v>69</v>
      </c>
      <c r="P831" t="str">
        <f>"2170736521                    "</f>
        <v xml:space="preserve">2170736521                    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0</v>
      </c>
      <c r="AM831">
        <v>4.1900000000000004</v>
      </c>
      <c r="AN831">
        <v>0</v>
      </c>
      <c r="AO831">
        <v>0</v>
      </c>
      <c r="AP831">
        <v>0</v>
      </c>
      <c r="AQ831">
        <v>0</v>
      </c>
      <c r="AR831">
        <v>0</v>
      </c>
      <c r="AS831">
        <v>0</v>
      </c>
      <c r="AT831">
        <v>0</v>
      </c>
      <c r="AU831">
        <v>0</v>
      </c>
      <c r="AV831">
        <v>0</v>
      </c>
      <c r="AW831">
        <v>0</v>
      </c>
      <c r="AX831">
        <v>0</v>
      </c>
      <c r="AY831">
        <v>0</v>
      </c>
      <c r="AZ831">
        <v>0</v>
      </c>
      <c r="BA831">
        <v>0</v>
      </c>
      <c r="BB831">
        <v>0</v>
      </c>
      <c r="BG831">
        <v>0</v>
      </c>
      <c r="BH831">
        <v>1</v>
      </c>
      <c r="BI831">
        <v>0.9</v>
      </c>
      <c r="BJ831">
        <v>2</v>
      </c>
      <c r="BK831">
        <v>2</v>
      </c>
      <c r="BL831">
        <v>46.06</v>
      </c>
      <c r="BM831">
        <v>6.91</v>
      </c>
      <c r="BN831">
        <v>52.97</v>
      </c>
      <c r="BO831">
        <v>52.97</v>
      </c>
      <c r="BQ831" t="s">
        <v>70</v>
      </c>
      <c r="BR831" t="s">
        <v>71</v>
      </c>
      <c r="BS831" s="1">
        <v>43945</v>
      </c>
      <c r="BT831" s="2">
        <v>0.45416666666666666</v>
      </c>
      <c r="BU831" t="s">
        <v>1008</v>
      </c>
      <c r="BV831" t="s">
        <v>74</v>
      </c>
      <c r="BW831" t="s">
        <v>96</v>
      </c>
      <c r="BX831" t="s">
        <v>97</v>
      </c>
      <c r="BY831">
        <v>10103.52</v>
      </c>
      <c r="CA831" t="s">
        <v>98</v>
      </c>
      <c r="CC831" t="s">
        <v>93</v>
      </c>
      <c r="CD831">
        <v>7925</v>
      </c>
      <c r="CE831" t="s">
        <v>73</v>
      </c>
      <c r="CF831" s="1">
        <v>43949</v>
      </c>
      <c r="CI831">
        <v>1</v>
      </c>
      <c r="CJ831">
        <v>1</v>
      </c>
      <c r="CK831">
        <v>21</v>
      </c>
      <c r="CL831" t="s">
        <v>74</v>
      </c>
    </row>
    <row r="832" spans="1:90" x14ac:dyDescent="0.25">
      <c r="A832" t="s">
        <v>61</v>
      </c>
      <c r="B832" t="s">
        <v>62</v>
      </c>
      <c r="C832" t="s">
        <v>63</v>
      </c>
      <c r="E832" t="str">
        <f>"FES1162745255"</f>
        <v>FES1162745255</v>
      </c>
      <c r="F832" s="1">
        <v>43944</v>
      </c>
      <c r="G832">
        <v>202010</v>
      </c>
      <c r="H832" t="s">
        <v>64</v>
      </c>
      <c r="I832" t="s">
        <v>65</v>
      </c>
      <c r="J832" t="s">
        <v>66</v>
      </c>
      <c r="K832" t="s">
        <v>67</v>
      </c>
      <c r="L832" t="s">
        <v>212</v>
      </c>
      <c r="M832" t="s">
        <v>213</v>
      </c>
      <c r="N832" t="s">
        <v>935</v>
      </c>
      <c r="O832" t="s">
        <v>69</v>
      </c>
      <c r="P832" t="str">
        <f>"2170734393                    "</f>
        <v xml:space="preserve">2170734393                    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0</v>
      </c>
      <c r="AM832">
        <v>4.1900000000000004</v>
      </c>
      <c r="AN832">
        <v>0</v>
      </c>
      <c r="AO832">
        <v>0</v>
      </c>
      <c r="AP832">
        <v>0</v>
      </c>
      <c r="AQ832">
        <v>0</v>
      </c>
      <c r="AR832">
        <v>0</v>
      </c>
      <c r="AS832">
        <v>0</v>
      </c>
      <c r="AT832">
        <v>0</v>
      </c>
      <c r="AU832">
        <v>0</v>
      </c>
      <c r="AV832">
        <v>0</v>
      </c>
      <c r="AW832">
        <v>0</v>
      </c>
      <c r="AX832">
        <v>0</v>
      </c>
      <c r="AY832">
        <v>0</v>
      </c>
      <c r="AZ832">
        <v>0</v>
      </c>
      <c r="BA832">
        <v>0</v>
      </c>
      <c r="BB832">
        <v>0</v>
      </c>
      <c r="BG832">
        <v>0</v>
      </c>
      <c r="BH832">
        <v>1</v>
      </c>
      <c r="BI832">
        <v>2</v>
      </c>
      <c r="BJ832">
        <v>0.9</v>
      </c>
      <c r="BK832">
        <v>2</v>
      </c>
      <c r="BL832">
        <v>46.06</v>
      </c>
      <c r="BM832">
        <v>6.91</v>
      </c>
      <c r="BN832">
        <v>52.97</v>
      </c>
      <c r="BO832">
        <v>52.97</v>
      </c>
      <c r="BQ832" t="s">
        <v>70</v>
      </c>
      <c r="BR832" t="s">
        <v>71</v>
      </c>
      <c r="BS832" s="1">
        <v>43945</v>
      </c>
      <c r="BT832" s="2">
        <v>0.3972222222222222</v>
      </c>
      <c r="BU832" t="s">
        <v>991</v>
      </c>
      <c r="BV832" t="s">
        <v>80</v>
      </c>
      <c r="BY832">
        <v>4435.8100000000004</v>
      </c>
      <c r="CA832" t="s">
        <v>711</v>
      </c>
      <c r="CC832" t="s">
        <v>213</v>
      </c>
      <c r="CD832">
        <v>3610</v>
      </c>
      <c r="CE832" t="s">
        <v>91</v>
      </c>
      <c r="CF832" s="1">
        <v>43949</v>
      </c>
      <c r="CI832">
        <v>1</v>
      </c>
      <c r="CJ832">
        <v>1</v>
      </c>
      <c r="CK832">
        <v>21</v>
      </c>
      <c r="CL832" t="s">
        <v>74</v>
      </c>
    </row>
    <row r="833" spans="1:90" x14ac:dyDescent="0.25">
      <c r="A833" t="s">
        <v>61</v>
      </c>
      <c r="B833" t="s">
        <v>62</v>
      </c>
      <c r="C833" t="s">
        <v>63</v>
      </c>
      <c r="E833" t="str">
        <f>"FES1162744964"</f>
        <v>FES1162744964</v>
      </c>
      <c r="F833" s="1">
        <v>43944</v>
      </c>
      <c r="G833">
        <v>202010</v>
      </c>
      <c r="H833" t="s">
        <v>64</v>
      </c>
      <c r="I833" t="s">
        <v>65</v>
      </c>
      <c r="J833" t="s">
        <v>66</v>
      </c>
      <c r="K833" t="s">
        <v>67</v>
      </c>
      <c r="L833" t="s">
        <v>270</v>
      </c>
      <c r="M833" t="s">
        <v>271</v>
      </c>
      <c r="N833" t="s">
        <v>495</v>
      </c>
      <c r="O833" t="s">
        <v>69</v>
      </c>
      <c r="P833" t="str">
        <f>"2170734625                    "</f>
        <v xml:space="preserve">2170734625                    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0</v>
      </c>
      <c r="AM833">
        <v>3.27</v>
      </c>
      <c r="AN833">
        <v>0</v>
      </c>
      <c r="AO833">
        <v>0</v>
      </c>
      <c r="AP833">
        <v>0</v>
      </c>
      <c r="AQ833">
        <v>0</v>
      </c>
      <c r="AR833">
        <v>0</v>
      </c>
      <c r="AS833">
        <v>0</v>
      </c>
      <c r="AT833">
        <v>0</v>
      </c>
      <c r="AU833">
        <v>0</v>
      </c>
      <c r="AV833">
        <v>0</v>
      </c>
      <c r="AW833">
        <v>0</v>
      </c>
      <c r="AX833">
        <v>0</v>
      </c>
      <c r="AY833">
        <v>0</v>
      </c>
      <c r="AZ833">
        <v>0</v>
      </c>
      <c r="BA833">
        <v>0</v>
      </c>
      <c r="BB833">
        <v>0</v>
      </c>
      <c r="BG833">
        <v>0</v>
      </c>
      <c r="BH833">
        <v>1</v>
      </c>
      <c r="BI833">
        <v>1</v>
      </c>
      <c r="BJ833">
        <v>0.2</v>
      </c>
      <c r="BK833">
        <v>1</v>
      </c>
      <c r="BL833">
        <v>35.979999999999997</v>
      </c>
      <c r="BM833">
        <v>5.4</v>
      </c>
      <c r="BN833">
        <v>41.38</v>
      </c>
      <c r="BO833">
        <v>41.38</v>
      </c>
      <c r="BQ833" t="s">
        <v>70</v>
      </c>
      <c r="BR833" t="s">
        <v>71</v>
      </c>
      <c r="BS833" s="1">
        <v>43945</v>
      </c>
      <c r="BT833" s="2">
        <v>0.42430555555555555</v>
      </c>
      <c r="BU833" t="s">
        <v>1009</v>
      </c>
      <c r="BV833" t="s">
        <v>80</v>
      </c>
      <c r="BY833">
        <v>1200</v>
      </c>
      <c r="CA833" t="s">
        <v>486</v>
      </c>
      <c r="CC833" t="s">
        <v>271</v>
      </c>
      <c r="CD833">
        <v>2013</v>
      </c>
      <c r="CE833" t="s">
        <v>73</v>
      </c>
      <c r="CF833" s="1">
        <v>43949</v>
      </c>
      <c r="CI833">
        <v>1</v>
      </c>
      <c r="CJ833">
        <v>1</v>
      </c>
      <c r="CK833">
        <v>22</v>
      </c>
      <c r="CL833" t="s">
        <v>74</v>
      </c>
    </row>
    <row r="834" spans="1:90" x14ac:dyDescent="0.25">
      <c r="A834" t="s">
        <v>61</v>
      </c>
      <c r="B834" t="s">
        <v>62</v>
      </c>
      <c r="C834" t="s">
        <v>63</v>
      </c>
      <c r="E834" t="str">
        <f>"FES1162745364"</f>
        <v>FES1162745364</v>
      </c>
      <c r="F834" s="1">
        <v>43944</v>
      </c>
      <c r="G834">
        <v>202010</v>
      </c>
      <c r="H834" t="s">
        <v>64</v>
      </c>
      <c r="I834" t="s">
        <v>65</v>
      </c>
      <c r="J834" t="s">
        <v>66</v>
      </c>
      <c r="K834" t="s">
        <v>67</v>
      </c>
      <c r="L834" t="s">
        <v>298</v>
      </c>
      <c r="M834" t="s">
        <v>299</v>
      </c>
      <c r="N834" t="s">
        <v>300</v>
      </c>
      <c r="O834" t="s">
        <v>69</v>
      </c>
      <c r="P834" t="str">
        <f>"2170736395                    "</f>
        <v xml:space="preserve">2170736395                    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0</v>
      </c>
      <c r="AM834">
        <v>8.11</v>
      </c>
      <c r="AN834">
        <v>0</v>
      </c>
      <c r="AO834">
        <v>0</v>
      </c>
      <c r="AP834">
        <v>0</v>
      </c>
      <c r="AQ834">
        <v>0</v>
      </c>
      <c r="AR834">
        <v>0</v>
      </c>
      <c r="AS834">
        <v>0</v>
      </c>
      <c r="AT834">
        <v>0</v>
      </c>
      <c r="AU834">
        <v>0</v>
      </c>
      <c r="AV834">
        <v>0</v>
      </c>
      <c r="AW834">
        <v>0</v>
      </c>
      <c r="AX834">
        <v>0</v>
      </c>
      <c r="AY834">
        <v>0</v>
      </c>
      <c r="AZ834">
        <v>0</v>
      </c>
      <c r="BA834">
        <v>0</v>
      </c>
      <c r="BB834">
        <v>0</v>
      </c>
      <c r="BG834">
        <v>0</v>
      </c>
      <c r="BH834">
        <v>1</v>
      </c>
      <c r="BI834">
        <v>1.8</v>
      </c>
      <c r="BJ834">
        <v>0.8</v>
      </c>
      <c r="BK834">
        <v>2</v>
      </c>
      <c r="BL834">
        <v>89.23</v>
      </c>
      <c r="BM834">
        <v>13.38</v>
      </c>
      <c r="BN834">
        <v>102.61</v>
      </c>
      <c r="BO834">
        <v>102.61</v>
      </c>
      <c r="BQ834" t="s">
        <v>78</v>
      </c>
      <c r="BR834" t="s">
        <v>71</v>
      </c>
      <c r="BS834" t="s">
        <v>72</v>
      </c>
      <c r="BW834" t="s">
        <v>1010</v>
      </c>
      <c r="BX834" t="s">
        <v>838</v>
      </c>
      <c r="BY834">
        <v>4114.55</v>
      </c>
      <c r="CC834" t="s">
        <v>299</v>
      </c>
      <c r="CD834">
        <v>4380</v>
      </c>
      <c r="CE834" t="s">
        <v>91</v>
      </c>
      <c r="CI834">
        <v>1</v>
      </c>
      <c r="CJ834" t="s">
        <v>72</v>
      </c>
      <c r="CK834">
        <v>23</v>
      </c>
      <c r="CL834" t="s">
        <v>74</v>
      </c>
    </row>
    <row r="835" spans="1:90" x14ac:dyDescent="0.25">
      <c r="A835" t="s">
        <v>61</v>
      </c>
      <c r="B835" t="s">
        <v>62</v>
      </c>
      <c r="C835" t="s">
        <v>63</v>
      </c>
      <c r="E835" t="str">
        <f>"FES1162745293"</f>
        <v>FES1162745293</v>
      </c>
      <c r="F835" s="1">
        <v>43944</v>
      </c>
      <c r="G835">
        <v>202010</v>
      </c>
      <c r="H835" t="s">
        <v>64</v>
      </c>
      <c r="I835" t="s">
        <v>65</v>
      </c>
      <c r="J835" t="s">
        <v>66</v>
      </c>
      <c r="K835" t="s">
        <v>67</v>
      </c>
      <c r="L835" t="s">
        <v>64</v>
      </c>
      <c r="M835" t="s">
        <v>65</v>
      </c>
      <c r="N835" t="s">
        <v>1011</v>
      </c>
      <c r="O835" t="s">
        <v>69</v>
      </c>
      <c r="P835" t="str">
        <f>"2170735924                    "</f>
        <v xml:space="preserve">2170735924                    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0</v>
      </c>
      <c r="AM835">
        <v>5.23</v>
      </c>
      <c r="AN835">
        <v>0</v>
      </c>
      <c r="AO835">
        <v>0</v>
      </c>
      <c r="AP835">
        <v>0</v>
      </c>
      <c r="AQ835">
        <v>0</v>
      </c>
      <c r="AR835">
        <v>0</v>
      </c>
      <c r="AS835">
        <v>0</v>
      </c>
      <c r="AT835">
        <v>0</v>
      </c>
      <c r="AU835">
        <v>0</v>
      </c>
      <c r="AV835">
        <v>0</v>
      </c>
      <c r="AW835">
        <v>0</v>
      </c>
      <c r="AX835">
        <v>0</v>
      </c>
      <c r="AY835">
        <v>0</v>
      </c>
      <c r="AZ835">
        <v>0</v>
      </c>
      <c r="BA835">
        <v>0</v>
      </c>
      <c r="BB835">
        <v>0</v>
      </c>
      <c r="BG835">
        <v>0</v>
      </c>
      <c r="BH835">
        <v>1</v>
      </c>
      <c r="BI835">
        <v>3</v>
      </c>
      <c r="BJ835">
        <v>4.5</v>
      </c>
      <c r="BK835">
        <v>4.5</v>
      </c>
      <c r="BL835">
        <v>57.54</v>
      </c>
      <c r="BM835">
        <v>8.6300000000000008</v>
      </c>
      <c r="BN835">
        <v>66.17</v>
      </c>
      <c r="BO835">
        <v>66.17</v>
      </c>
      <c r="BQ835" t="s">
        <v>78</v>
      </c>
      <c r="BR835" t="s">
        <v>71</v>
      </c>
      <c r="BS835" s="1">
        <v>43945</v>
      </c>
      <c r="BT835" s="2">
        <v>0.4375</v>
      </c>
      <c r="BU835" t="s">
        <v>1012</v>
      </c>
      <c r="BV835" t="s">
        <v>80</v>
      </c>
      <c r="BY835">
        <v>22336.7</v>
      </c>
      <c r="CC835" t="s">
        <v>65</v>
      </c>
      <c r="CD835">
        <v>1686</v>
      </c>
      <c r="CE835" t="s">
        <v>91</v>
      </c>
      <c r="CF835" s="1">
        <v>43949</v>
      </c>
      <c r="CI835">
        <v>1</v>
      </c>
      <c r="CJ835">
        <v>1</v>
      </c>
      <c r="CK835">
        <v>22</v>
      </c>
      <c r="CL835" t="s">
        <v>74</v>
      </c>
    </row>
    <row r="836" spans="1:90" x14ac:dyDescent="0.25">
      <c r="A836" t="s">
        <v>61</v>
      </c>
      <c r="B836" t="s">
        <v>62</v>
      </c>
      <c r="C836" t="s">
        <v>63</v>
      </c>
      <c r="E836" t="str">
        <f>"FES1162745257"</f>
        <v>FES1162745257</v>
      </c>
      <c r="F836" s="1">
        <v>43944</v>
      </c>
      <c r="G836">
        <v>202010</v>
      </c>
      <c r="H836" t="s">
        <v>64</v>
      </c>
      <c r="I836" t="s">
        <v>65</v>
      </c>
      <c r="J836" t="s">
        <v>66</v>
      </c>
      <c r="K836" t="s">
        <v>67</v>
      </c>
      <c r="L836" t="s">
        <v>92</v>
      </c>
      <c r="M836" t="s">
        <v>93</v>
      </c>
      <c r="N836" t="s">
        <v>482</v>
      </c>
      <c r="O836" t="s">
        <v>69</v>
      </c>
      <c r="P836" t="str">
        <f>"2170736354                    "</f>
        <v xml:space="preserve">2170736354                    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4.1900000000000004</v>
      </c>
      <c r="AN836">
        <v>0</v>
      </c>
      <c r="AO836">
        <v>0</v>
      </c>
      <c r="AP836">
        <v>0</v>
      </c>
      <c r="AQ836">
        <v>0</v>
      </c>
      <c r="AR836">
        <v>0</v>
      </c>
      <c r="AS836">
        <v>0</v>
      </c>
      <c r="AT836">
        <v>0</v>
      </c>
      <c r="AU836">
        <v>0</v>
      </c>
      <c r="AV836">
        <v>0</v>
      </c>
      <c r="AW836">
        <v>0</v>
      </c>
      <c r="AX836">
        <v>0</v>
      </c>
      <c r="AY836">
        <v>0</v>
      </c>
      <c r="AZ836">
        <v>0</v>
      </c>
      <c r="BA836">
        <v>0</v>
      </c>
      <c r="BB836">
        <v>0</v>
      </c>
      <c r="BG836">
        <v>0</v>
      </c>
      <c r="BH836">
        <v>1</v>
      </c>
      <c r="BI836">
        <v>0.6</v>
      </c>
      <c r="BJ836">
        <v>1.2</v>
      </c>
      <c r="BK836">
        <v>1.5</v>
      </c>
      <c r="BL836">
        <v>46.06</v>
      </c>
      <c r="BM836">
        <v>6.91</v>
      </c>
      <c r="BN836">
        <v>52.97</v>
      </c>
      <c r="BO836">
        <v>52.97</v>
      </c>
      <c r="BQ836" t="s">
        <v>78</v>
      </c>
      <c r="BR836" t="s">
        <v>71</v>
      </c>
      <c r="BS836" s="1">
        <v>43945</v>
      </c>
      <c r="BT836" s="2">
        <v>0.5708333333333333</v>
      </c>
      <c r="BU836" t="s">
        <v>900</v>
      </c>
      <c r="BV836" t="s">
        <v>74</v>
      </c>
      <c r="BW836" t="s">
        <v>96</v>
      </c>
      <c r="BX836" t="s">
        <v>97</v>
      </c>
      <c r="BY836">
        <v>6219.45</v>
      </c>
      <c r="CA836" t="s">
        <v>331</v>
      </c>
      <c r="CC836" t="s">
        <v>93</v>
      </c>
      <c r="CD836">
        <v>7441</v>
      </c>
      <c r="CE836" t="s">
        <v>91</v>
      </c>
      <c r="CF836" s="1">
        <v>43949</v>
      </c>
      <c r="CI836">
        <v>1</v>
      </c>
      <c r="CJ836">
        <v>1</v>
      </c>
      <c r="CK836">
        <v>21</v>
      </c>
      <c r="CL836" t="s">
        <v>74</v>
      </c>
    </row>
    <row r="837" spans="1:90" x14ac:dyDescent="0.25">
      <c r="A837" t="s">
        <v>61</v>
      </c>
      <c r="B837" t="s">
        <v>62</v>
      </c>
      <c r="C837" t="s">
        <v>63</v>
      </c>
      <c r="E837" t="str">
        <f>"FES1162745376"</f>
        <v>FES1162745376</v>
      </c>
      <c r="F837" s="1">
        <v>43944</v>
      </c>
      <c r="G837">
        <v>202010</v>
      </c>
      <c r="H837" t="s">
        <v>64</v>
      </c>
      <c r="I837" t="s">
        <v>65</v>
      </c>
      <c r="J837" t="s">
        <v>66</v>
      </c>
      <c r="K837" t="s">
        <v>67</v>
      </c>
      <c r="L837" t="s">
        <v>92</v>
      </c>
      <c r="M837" t="s">
        <v>93</v>
      </c>
      <c r="N837" t="s">
        <v>320</v>
      </c>
      <c r="O837" t="s">
        <v>69</v>
      </c>
      <c r="P837" t="str">
        <f>"2170736520                    "</f>
        <v xml:space="preserve">2170736520                    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4.1900000000000004</v>
      </c>
      <c r="AN837">
        <v>0</v>
      </c>
      <c r="AO837">
        <v>0</v>
      </c>
      <c r="AP837">
        <v>0</v>
      </c>
      <c r="AQ837">
        <v>0</v>
      </c>
      <c r="AR837">
        <v>0</v>
      </c>
      <c r="AS837">
        <v>0</v>
      </c>
      <c r="AT837">
        <v>0</v>
      </c>
      <c r="AU837">
        <v>0</v>
      </c>
      <c r="AV837">
        <v>0</v>
      </c>
      <c r="AW837">
        <v>0</v>
      </c>
      <c r="AX837">
        <v>0</v>
      </c>
      <c r="AY837">
        <v>0</v>
      </c>
      <c r="AZ837">
        <v>0</v>
      </c>
      <c r="BA837">
        <v>0</v>
      </c>
      <c r="BB837">
        <v>0</v>
      </c>
      <c r="BG837">
        <v>0</v>
      </c>
      <c r="BH837">
        <v>1</v>
      </c>
      <c r="BI837">
        <v>1.3</v>
      </c>
      <c r="BJ837">
        <v>1.7</v>
      </c>
      <c r="BK837">
        <v>2</v>
      </c>
      <c r="BL837">
        <v>46.06</v>
      </c>
      <c r="BM837">
        <v>6.91</v>
      </c>
      <c r="BN837">
        <v>52.97</v>
      </c>
      <c r="BO837">
        <v>52.97</v>
      </c>
      <c r="BQ837" t="s">
        <v>70</v>
      </c>
      <c r="BR837" t="s">
        <v>71</v>
      </c>
      <c r="BS837" s="1">
        <v>43945</v>
      </c>
      <c r="BT837" s="2">
        <v>0.45416666666666666</v>
      </c>
      <c r="BU837" t="s">
        <v>1008</v>
      </c>
      <c r="BV837" t="s">
        <v>74</v>
      </c>
      <c r="BW837" t="s">
        <v>96</v>
      </c>
      <c r="BX837" t="s">
        <v>97</v>
      </c>
      <c r="BY837">
        <v>8493.07</v>
      </c>
      <c r="CA837" t="s">
        <v>98</v>
      </c>
      <c r="CC837" t="s">
        <v>93</v>
      </c>
      <c r="CD837">
        <v>7925</v>
      </c>
      <c r="CE837" t="s">
        <v>91</v>
      </c>
      <c r="CF837" s="1">
        <v>43949</v>
      </c>
      <c r="CI837">
        <v>1</v>
      </c>
      <c r="CJ837">
        <v>1</v>
      </c>
      <c r="CK837">
        <v>21</v>
      </c>
      <c r="CL837" t="s">
        <v>74</v>
      </c>
    </row>
    <row r="838" spans="1:90" x14ac:dyDescent="0.25">
      <c r="A838" t="s">
        <v>61</v>
      </c>
      <c r="B838" t="s">
        <v>62</v>
      </c>
      <c r="C838" t="s">
        <v>63</v>
      </c>
      <c r="E838" t="str">
        <f>"FES1162745390"</f>
        <v>FES1162745390</v>
      </c>
      <c r="F838" s="1">
        <v>43944</v>
      </c>
      <c r="G838">
        <v>202010</v>
      </c>
      <c r="H838" t="s">
        <v>64</v>
      </c>
      <c r="I838" t="s">
        <v>65</v>
      </c>
      <c r="J838" t="s">
        <v>66</v>
      </c>
      <c r="K838" t="s">
        <v>67</v>
      </c>
      <c r="L838" t="s">
        <v>184</v>
      </c>
      <c r="M838" t="s">
        <v>185</v>
      </c>
      <c r="N838" t="s">
        <v>186</v>
      </c>
      <c r="O838" t="s">
        <v>69</v>
      </c>
      <c r="P838" t="str">
        <f>"2170736435                    "</f>
        <v xml:space="preserve">2170736435                    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0</v>
      </c>
      <c r="AM838">
        <v>8.11</v>
      </c>
      <c r="AN838">
        <v>0</v>
      </c>
      <c r="AO838">
        <v>0</v>
      </c>
      <c r="AP838">
        <v>0</v>
      </c>
      <c r="AQ838">
        <v>0</v>
      </c>
      <c r="AR838">
        <v>0</v>
      </c>
      <c r="AS838">
        <v>0</v>
      </c>
      <c r="AT838">
        <v>0</v>
      </c>
      <c r="AU838">
        <v>0</v>
      </c>
      <c r="AV838">
        <v>0</v>
      </c>
      <c r="AW838">
        <v>0</v>
      </c>
      <c r="AX838">
        <v>0</v>
      </c>
      <c r="AY838">
        <v>0</v>
      </c>
      <c r="AZ838">
        <v>0</v>
      </c>
      <c r="BA838">
        <v>0</v>
      </c>
      <c r="BB838">
        <v>0</v>
      </c>
      <c r="BG838">
        <v>0</v>
      </c>
      <c r="BH838">
        <v>1</v>
      </c>
      <c r="BI838">
        <v>1.3</v>
      </c>
      <c r="BJ838">
        <v>1.6</v>
      </c>
      <c r="BK838">
        <v>2</v>
      </c>
      <c r="BL838">
        <v>89.23</v>
      </c>
      <c r="BM838">
        <v>13.38</v>
      </c>
      <c r="BN838">
        <v>102.61</v>
      </c>
      <c r="BO838">
        <v>102.61</v>
      </c>
      <c r="BQ838" t="s">
        <v>70</v>
      </c>
      <c r="BR838" t="s">
        <v>71</v>
      </c>
      <c r="BS838" s="1">
        <v>43945</v>
      </c>
      <c r="BT838" s="2">
        <v>0.44097222222222227</v>
      </c>
      <c r="BU838" t="s">
        <v>328</v>
      </c>
      <c r="BV838" t="s">
        <v>80</v>
      </c>
      <c r="BY838">
        <v>7794.75</v>
      </c>
      <c r="CA838" t="s">
        <v>245</v>
      </c>
      <c r="CC838" t="s">
        <v>185</v>
      </c>
      <c r="CD838">
        <v>7130</v>
      </c>
      <c r="CE838" t="s">
        <v>91</v>
      </c>
      <c r="CF838" s="1">
        <v>43949</v>
      </c>
      <c r="CI838">
        <v>1</v>
      </c>
      <c r="CJ838">
        <v>1</v>
      </c>
      <c r="CK838">
        <v>23</v>
      </c>
      <c r="CL838" t="s">
        <v>74</v>
      </c>
    </row>
    <row r="839" spans="1:90" x14ac:dyDescent="0.25">
      <c r="A839" t="s">
        <v>61</v>
      </c>
      <c r="B839" t="s">
        <v>62</v>
      </c>
      <c r="C839" t="s">
        <v>63</v>
      </c>
      <c r="E839" t="str">
        <f>"FES1162745317"</f>
        <v>FES1162745317</v>
      </c>
      <c r="F839" s="1">
        <v>43944</v>
      </c>
      <c r="G839">
        <v>202010</v>
      </c>
      <c r="H839" t="s">
        <v>64</v>
      </c>
      <c r="I839" t="s">
        <v>65</v>
      </c>
      <c r="J839" t="s">
        <v>66</v>
      </c>
      <c r="K839" t="s">
        <v>67</v>
      </c>
      <c r="L839" t="s">
        <v>177</v>
      </c>
      <c r="M839" t="s">
        <v>178</v>
      </c>
      <c r="N839" t="s">
        <v>179</v>
      </c>
      <c r="O839" t="s">
        <v>69</v>
      </c>
      <c r="P839" t="str">
        <f>"2170735365                    "</f>
        <v xml:space="preserve">2170735365                    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0</v>
      </c>
      <c r="AM839">
        <v>4.1900000000000004</v>
      </c>
      <c r="AN839">
        <v>0</v>
      </c>
      <c r="AO839">
        <v>0</v>
      </c>
      <c r="AP839">
        <v>0</v>
      </c>
      <c r="AQ839">
        <v>0</v>
      </c>
      <c r="AR839">
        <v>0</v>
      </c>
      <c r="AS839">
        <v>0</v>
      </c>
      <c r="AT839">
        <v>0</v>
      </c>
      <c r="AU839">
        <v>0</v>
      </c>
      <c r="AV839">
        <v>0</v>
      </c>
      <c r="AW839">
        <v>0</v>
      </c>
      <c r="AX839">
        <v>0</v>
      </c>
      <c r="AY839">
        <v>0</v>
      </c>
      <c r="AZ839">
        <v>0</v>
      </c>
      <c r="BA839">
        <v>0</v>
      </c>
      <c r="BB839">
        <v>0</v>
      </c>
      <c r="BG839">
        <v>0</v>
      </c>
      <c r="BH839">
        <v>1</v>
      </c>
      <c r="BI839">
        <v>1.5</v>
      </c>
      <c r="BJ839">
        <v>1.2</v>
      </c>
      <c r="BK839">
        <v>1.5</v>
      </c>
      <c r="BL839">
        <v>46.06</v>
      </c>
      <c r="BM839">
        <v>6.91</v>
      </c>
      <c r="BN839">
        <v>52.97</v>
      </c>
      <c r="BO839">
        <v>52.97</v>
      </c>
      <c r="BQ839" t="s">
        <v>70</v>
      </c>
      <c r="BR839" t="s">
        <v>71</v>
      </c>
      <c r="BS839" s="1">
        <v>43945</v>
      </c>
      <c r="BT839" s="2">
        <v>0.48125000000000001</v>
      </c>
      <c r="BU839" t="s">
        <v>235</v>
      </c>
      <c r="BV839" t="s">
        <v>80</v>
      </c>
      <c r="BY839">
        <v>5940.28</v>
      </c>
      <c r="CA839" t="s">
        <v>741</v>
      </c>
      <c r="CC839" t="s">
        <v>178</v>
      </c>
      <c r="CD839">
        <v>4302</v>
      </c>
      <c r="CE839" t="s">
        <v>73</v>
      </c>
      <c r="CF839" s="1">
        <v>43949</v>
      </c>
      <c r="CI839">
        <v>1</v>
      </c>
      <c r="CJ839">
        <v>1</v>
      </c>
      <c r="CK839">
        <v>21</v>
      </c>
      <c r="CL839" t="s">
        <v>74</v>
      </c>
    </row>
    <row r="840" spans="1:90" x14ac:dyDescent="0.25">
      <c r="A840" t="s">
        <v>61</v>
      </c>
      <c r="B840" t="s">
        <v>62</v>
      </c>
      <c r="C840" t="s">
        <v>63</v>
      </c>
      <c r="E840" t="str">
        <f>"FES1162745380"</f>
        <v>FES1162745380</v>
      </c>
      <c r="F840" s="1">
        <v>43944</v>
      </c>
      <c r="G840">
        <v>202010</v>
      </c>
      <c r="H840" t="s">
        <v>64</v>
      </c>
      <c r="I840" t="s">
        <v>65</v>
      </c>
      <c r="J840" t="s">
        <v>66</v>
      </c>
      <c r="K840" t="s">
        <v>67</v>
      </c>
      <c r="L840" t="s">
        <v>92</v>
      </c>
      <c r="M840" t="s">
        <v>93</v>
      </c>
      <c r="N840" t="s">
        <v>94</v>
      </c>
      <c r="O840" t="s">
        <v>69</v>
      </c>
      <c r="P840" t="str">
        <f>"2170736527                    "</f>
        <v xml:space="preserve">2170736527                    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4.1900000000000004</v>
      </c>
      <c r="AN840">
        <v>0</v>
      </c>
      <c r="AO840">
        <v>0</v>
      </c>
      <c r="AP840">
        <v>0</v>
      </c>
      <c r="AQ840">
        <v>0</v>
      </c>
      <c r="AR840">
        <v>0</v>
      </c>
      <c r="AS840">
        <v>0</v>
      </c>
      <c r="AT840">
        <v>0</v>
      </c>
      <c r="AU840">
        <v>0</v>
      </c>
      <c r="AV840">
        <v>0</v>
      </c>
      <c r="AW840">
        <v>0</v>
      </c>
      <c r="AX840">
        <v>0</v>
      </c>
      <c r="AY840">
        <v>0</v>
      </c>
      <c r="AZ840">
        <v>0</v>
      </c>
      <c r="BA840">
        <v>0</v>
      </c>
      <c r="BB840">
        <v>0</v>
      </c>
      <c r="BG840">
        <v>0</v>
      </c>
      <c r="BH840">
        <v>1</v>
      </c>
      <c r="BI840">
        <v>1</v>
      </c>
      <c r="BJ840">
        <v>0.2</v>
      </c>
      <c r="BK840">
        <v>1</v>
      </c>
      <c r="BL840">
        <v>46.06</v>
      </c>
      <c r="BM840">
        <v>6.91</v>
      </c>
      <c r="BN840">
        <v>52.97</v>
      </c>
      <c r="BO840">
        <v>52.97</v>
      </c>
      <c r="BQ840" t="s">
        <v>70</v>
      </c>
      <c r="BR840" t="s">
        <v>71</v>
      </c>
      <c r="BS840" s="1">
        <v>43945</v>
      </c>
      <c r="BT840" s="2">
        <v>0.55208333333333337</v>
      </c>
      <c r="BU840" t="s">
        <v>304</v>
      </c>
      <c r="BV840" t="s">
        <v>74</v>
      </c>
      <c r="BW840" t="s">
        <v>96</v>
      </c>
      <c r="BX840" t="s">
        <v>97</v>
      </c>
      <c r="BY840">
        <v>1200</v>
      </c>
      <c r="CA840" t="s">
        <v>164</v>
      </c>
      <c r="CC840" t="s">
        <v>93</v>
      </c>
      <c r="CD840">
        <v>7441</v>
      </c>
      <c r="CE840" t="s">
        <v>73</v>
      </c>
      <c r="CF840" s="1">
        <v>43949</v>
      </c>
      <c r="CI840">
        <v>1</v>
      </c>
      <c r="CJ840">
        <v>1</v>
      </c>
      <c r="CK840">
        <v>21</v>
      </c>
      <c r="CL840" t="s">
        <v>74</v>
      </c>
    </row>
    <row r="841" spans="1:90" x14ac:dyDescent="0.25">
      <c r="A841" t="s">
        <v>61</v>
      </c>
      <c r="B841" t="s">
        <v>62</v>
      </c>
      <c r="C841" t="s">
        <v>63</v>
      </c>
      <c r="E841" t="str">
        <f>"FES1162745283"</f>
        <v>FES1162745283</v>
      </c>
      <c r="F841" s="1">
        <v>43944</v>
      </c>
      <c r="G841">
        <v>202010</v>
      </c>
      <c r="H841" t="s">
        <v>64</v>
      </c>
      <c r="I841" t="s">
        <v>65</v>
      </c>
      <c r="J841" t="s">
        <v>66</v>
      </c>
      <c r="K841" t="s">
        <v>67</v>
      </c>
      <c r="L841" t="s">
        <v>270</v>
      </c>
      <c r="M841" t="s">
        <v>271</v>
      </c>
      <c r="N841" t="s">
        <v>1013</v>
      </c>
      <c r="O841" t="s">
        <v>69</v>
      </c>
      <c r="P841" t="str">
        <f>"2170736281                    "</f>
        <v xml:space="preserve">2170736281                    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0</v>
      </c>
      <c r="AM841">
        <v>5.62</v>
      </c>
      <c r="AN841">
        <v>0</v>
      </c>
      <c r="AO841">
        <v>0</v>
      </c>
      <c r="AP841">
        <v>0</v>
      </c>
      <c r="AQ841">
        <v>0</v>
      </c>
      <c r="AR841">
        <v>0</v>
      </c>
      <c r="AS841">
        <v>0</v>
      </c>
      <c r="AT841">
        <v>0</v>
      </c>
      <c r="AU841">
        <v>0</v>
      </c>
      <c r="AV841">
        <v>0</v>
      </c>
      <c r="AW841">
        <v>0</v>
      </c>
      <c r="AX841">
        <v>0</v>
      </c>
      <c r="AY841">
        <v>0</v>
      </c>
      <c r="AZ841">
        <v>0</v>
      </c>
      <c r="BA841">
        <v>0</v>
      </c>
      <c r="BB841">
        <v>0</v>
      </c>
      <c r="BG841">
        <v>0</v>
      </c>
      <c r="BH841">
        <v>1</v>
      </c>
      <c r="BI841">
        <v>4.5999999999999996</v>
      </c>
      <c r="BJ841">
        <v>1.5</v>
      </c>
      <c r="BK841">
        <v>5</v>
      </c>
      <c r="BL841">
        <v>61.85</v>
      </c>
      <c r="BM841">
        <v>9.2799999999999994</v>
      </c>
      <c r="BN841">
        <v>71.13</v>
      </c>
      <c r="BO841">
        <v>71.13</v>
      </c>
      <c r="BQ841" t="s">
        <v>78</v>
      </c>
      <c r="BR841" t="s">
        <v>71</v>
      </c>
      <c r="BS841" t="s">
        <v>72</v>
      </c>
      <c r="BW841" t="s">
        <v>942</v>
      </c>
      <c r="BX841" t="s">
        <v>838</v>
      </c>
      <c r="BY841">
        <v>7341.6</v>
      </c>
      <c r="CC841" t="s">
        <v>271</v>
      </c>
      <c r="CD841">
        <v>2094</v>
      </c>
      <c r="CE841" t="s">
        <v>91</v>
      </c>
      <c r="CI841">
        <v>1</v>
      </c>
      <c r="CJ841" t="s">
        <v>72</v>
      </c>
      <c r="CK841">
        <v>22</v>
      </c>
      <c r="CL841" t="s">
        <v>74</v>
      </c>
    </row>
    <row r="842" spans="1:90" x14ac:dyDescent="0.25">
      <c r="A842" t="s">
        <v>61</v>
      </c>
      <c r="B842" t="s">
        <v>62</v>
      </c>
      <c r="C842" t="s">
        <v>63</v>
      </c>
      <c r="E842" t="str">
        <f>"FES1162745258"</f>
        <v>FES1162745258</v>
      </c>
      <c r="F842" s="1">
        <v>43944</v>
      </c>
      <c r="G842">
        <v>202010</v>
      </c>
      <c r="H842" t="s">
        <v>64</v>
      </c>
      <c r="I842" t="s">
        <v>65</v>
      </c>
      <c r="J842" t="s">
        <v>66</v>
      </c>
      <c r="K842" t="s">
        <v>67</v>
      </c>
      <c r="L842" t="s">
        <v>262</v>
      </c>
      <c r="M842" t="s">
        <v>262</v>
      </c>
      <c r="N842" t="s">
        <v>963</v>
      </c>
      <c r="O842" t="s">
        <v>69</v>
      </c>
      <c r="P842" t="str">
        <f>"2170734390                    "</f>
        <v xml:space="preserve">2170734390                    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0</v>
      </c>
      <c r="AM842">
        <v>8.11</v>
      </c>
      <c r="AN842">
        <v>0</v>
      </c>
      <c r="AO842">
        <v>0</v>
      </c>
      <c r="AP842">
        <v>0</v>
      </c>
      <c r="AQ842">
        <v>0</v>
      </c>
      <c r="AR842">
        <v>0</v>
      </c>
      <c r="AS842">
        <v>0</v>
      </c>
      <c r="AT842">
        <v>0</v>
      </c>
      <c r="AU842">
        <v>0</v>
      </c>
      <c r="AV842">
        <v>0</v>
      </c>
      <c r="AW842">
        <v>0</v>
      </c>
      <c r="AX842">
        <v>0</v>
      </c>
      <c r="AY842">
        <v>0</v>
      </c>
      <c r="AZ842">
        <v>0</v>
      </c>
      <c r="BA842">
        <v>0</v>
      </c>
      <c r="BB842">
        <v>0</v>
      </c>
      <c r="BG842">
        <v>0</v>
      </c>
      <c r="BH842">
        <v>1</v>
      </c>
      <c r="BI842">
        <v>0.9</v>
      </c>
      <c r="BJ842">
        <v>0.9</v>
      </c>
      <c r="BK842">
        <v>1</v>
      </c>
      <c r="BL842">
        <v>89.23</v>
      </c>
      <c r="BM842">
        <v>13.38</v>
      </c>
      <c r="BN842">
        <v>102.61</v>
      </c>
      <c r="BO842">
        <v>102.61</v>
      </c>
      <c r="BQ842" t="s">
        <v>78</v>
      </c>
      <c r="BR842" t="s">
        <v>71</v>
      </c>
      <c r="BS842" s="1">
        <v>43945</v>
      </c>
      <c r="BT842" s="2">
        <v>0.53541666666666665</v>
      </c>
      <c r="BU842" t="s">
        <v>964</v>
      </c>
      <c r="BV842" t="s">
        <v>80</v>
      </c>
      <c r="BY842">
        <v>4510.5</v>
      </c>
      <c r="CA842" t="s">
        <v>266</v>
      </c>
      <c r="CC842" t="s">
        <v>262</v>
      </c>
      <c r="CD842">
        <v>7654</v>
      </c>
      <c r="CE842" t="s">
        <v>91</v>
      </c>
      <c r="CF842" s="1">
        <v>43949</v>
      </c>
      <c r="CI842">
        <v>1</v>
      </c>
      <c r="CJ842">
        <v>1</v>
      </c>
      <c r="CK842">
        <v>23</v>
      </c>
      <c r="CL842" t="s">
        <v>74</v>
      </c>
    </row>
    <row r="843" spans="1:90" x14ac:dyDescent="0.25">
      <c r="A843" t="s">
        <v>61</v>
      </c>
      <c r="B843" t="s">
        <v>62</v>
      </c>
      <c r="C843" t="s">
        <v>63</v>
      </c>
      <c r="E843" t="str">
        <f>"FES1162745280"</f>
        <v>FES1162745280</v>
      </c>
      <c r="F843" s="1">
        <v>43944</v>
      </c>
      <c r="G843">
        <v>202010</v>
      </c>
      <c r="H843" t="s">
        <v>64</v>
      </c>
      <c r="I843" t="s">
        <v>65</v>
      </c>
      <c r="J843" t="s">
        <v>66</v>
      </c>
      <c r="K843" t="s">
        <v>67</v>
      </c>
      <c r="L843" t="s">
        <v>92</v>
      </c>
      <c r="M843" t="s">
        <v>93</v>
      </c>
      <c r="N843" t="s">
        <v>402</v>
      </c>
      <c r="O843" t="s">
        <v>69</v>
      </c>
      <c r="P843" t="str">
        <f>"2170736054                    "</f>
        <v xml:space="preserve">2170736054                    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4.1900000000000004</v>
      </c>
      <c r="AN843">
        <v>0</v>
      </c>
      <c r="AO843">
        <v>0</v>
      </c>
      <c r="AP843">
        <v>0</v>
      </c>
      <c r="AQ843">
        <v>0</v>
      </c>
      <c r="AR843">
        <v>0</v>
      </c>
      <c r="AS843">
        <v>0</v>
      </c>
      <c r="AT843">
        <v>0</v>
      </c>
      <c r="AU843">
        <v>0</v>
      </c>
      <c r="AV843">
        <v>0</v>
      </c>
      <c r="AW843">
        <v>0</v>
      </c>
      <c r="AX843">
        <v>0</v>
      </c>
      <c r="AY843">
        <v>0</v>
      </c>
      <c r="AZ843">
        <v>0</v>
      </c>
      <c r="BA843">
        <v>0</v>
      </c>
      <c r="BB843">
        <v>0</v>
      </c>
      <c r="BG843">
        <v>0</v>
      </c>
      <c r="BH843">
        <v>1</v>
      </c>
      <c r="BI843">
        <v>1</v>
      </c>
      <c r="BJ843">
        <v>0.2</v>
      </c>
      <c r="BK843">
        <v>1</v>
      </c>
      <c r="BL843">
        <v>46.06</v>
      </c>
      <c r="BM843">
        <v>6.91</v>
      </c>
      <c r="BN843">
        <v>52.97</v>
      </c>
      <c r="BO843">
        <v>52.97</v>
      </c>
      <c r="BQ843" t="s">
        <v>109</v>
      </c>
      <c r="BR843" t="s">
        <v>71</v>
      </c>
      <c r="BS843" s="1">
        <v>43945</v>
      </c>
      <c r="BT843" s="2">
        <v>0.33958333333333335</v>
      </c>
      <c r="BU843" t="s">
        <v>1014</v>
      </c>
      <c r="BV843" t="s">
        <v>80</v>
      </c>
      <c r="BY843">
        <v>1200</v>
      </c>
      <c r="CA843" t="s">
        <v>331</v>
      </c>
      <c r="CC843" t="s">
        <v>93</v>
      </c>
      <c r="CD843">
        <v>7460</v>
      </c>
      <c r="CE843" t="s">
        <v>73</v>
      </c>
      <c r="CF843" s="1">
        <v>43949</v>
      </c>
      <c r="CI843">
        <v>1</v>
      </c>
      <c r="CJ843">
        <v>1</v>
      </c>
      <c r="CK843">
        <v>21</v>
      </c>
      <c r="CL843" t="s">
        <v>74</v>
      </c>
    </row>
    <row r="844" spans="1:90" x14ac:dyDescent="0.25">
      <c r="A844" t="s">
        <v>61</v>
      </c>
      <c r="B844" t="s">
        <v>62</v>
      </c>
      <c r="C844" t="s">
        <v>63</v>
      </c>
      <c r="E844" t="str">
        <f>"FES1162745213"</f>
        <v>FES1162745213</v>
      </c>
      <c r="F844" s="1">
        <v>43944</v>
      </c>
      <c r="G844">
        <v>202010</v>
      </c>
      <c r="H844" t="s">
        <v>64</v>
      </c>
      <c r="I844" t="s">
        <v>65</v>
      </c>
      <c r="J844" t="s">
        <v>66</v>
      </c>
      <c r="K844" t="s">
        <v>67</v>
      </c>
      <c r="L844" t="s">
        <v>133</v>
      </c>
      <c r="M844" t="s">
        <v>134</v>
      </c>
      <c r="N844" t="s">
        <v>135</v>
      </c>
      <c r="O844" t="s">
        <v>69</v>
      </c>
      <c r="P844" t="str">
        <f>"2170735172                    "</f>
        <v xml:space="preserve">2170735172                    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8.11</v>
      </c>
      <c r="AN844">
        <v>0</v>
      </c>
      <c r="AO844">
        <v>0</v>
      </c>
      <c r="AP844">
        <v>0</v>
      </c>
      <c r="AQ844">
        <v>0</v>
      </c>
      <c r="AR844">
        <v>0</v>
      </c>
      <c r="AS844">
        <v>0</v>
      </c>
      <c r="AT844">
        <v>0</v>
      </c>
      <c r="AU844">
        <v>0</v>
      </c>
      <c r="AV844">
        <v>0</v>
      </c>
      <c r="AW844">
        <v>0</v>
      </c>
      <c r="AX844">
        <v>0</v>
      </c>
      <c r="AY844">
        <v>0</v>
      </c>
      <c r="AZ844">
        <v>0</v>
      </c>
      <c r="BA844">
        <v>0</v>
      </c>
      <c r="BB844">
        <v>0</v>
      </c>
      <c r="BG844">
        <v>0</v>
      </c>
      <c r="BH844">
        <v>1</v>
      </c>
      <c r="BI844">
        <v>2</v>
      </c>
      <c r="BJ844">
        <v>1.1000000000000001</v>
      </c>
      <c r="BK844">
        <v>2</v>
      </c>
      <c r="BL844">
        <v>89.23</v>
      </c>
      <c r="BM844">
        <v>13.38</v>
      </c>
      <c r="BN844">
        <v>102.61</v>
      </c>
      <c r="BO844">
        <v>102.61</v>
      </c>
      <c r="BQ844" t="s">
        <v>70</v>
      </c>
      <c r="BR844" t="s">
        <v>71</v>
      </c>
      <c r="BS844" s="1">
        <v>43945</v>
      </c>
      <c r="BT844" s="2">
        <v>0.51180555555555551</v>
      </c>
      <c r="BU844" t="s">
        <v>807</v>
      </c>
      <c r="BV844" t="s">
        <v>80</v>
      </c>
      <c r="BY844">
        <v>5320</v>
      </c>
      <c r="CA844" t="s">
        <v>574</v>
      </c>
      <c r="CC844" t="s">
        <v>134</v>
      </c>
      <c r="CD844">
        <v>4450</v>
      </c>
      <c r="CE844" t="s">
        <v>91</v>
      </c>
      <c r="CF844" s="1">
        <v>43949</v>
      </c>
      <c r="CI844">
        <v>1</v>
      </c>
      <c r="CJ844">
        <v>1</v>
      </c>
      <c r="CK844">
        <v>23</v>
      </c>
      <c r="CL844" t="s">
        <v>74</v>
      </c>
    </row>
    <row r="845" spans="1:90" x14ac:dyDescent="0.25">
      <c r="A845" t="s">
        <v>61</v>
      </c>
      <c r="B845" t="s">
        <v>62</v>
      </c>
      <c r="C845" t="s">
        <v>63</v>
      </c>
      <c r="E845" t="str">
        <f>"FES1162745269"</f>
        <v>FES1162745269</v>
      </c>
      <c r="F845" s="1">
        <v>43944</v>
      </c>
      <c r="G845">
        <v>202010</v>
      </c>
      <c r="H845" t="s">
        <v>64</v>
      </c>
      <c r="I845" t="s">
        <v>65</v>
      </c>
      <c r="J845" t="s">
        <v>66</v>
      </c>
      <c r="K845" t="s">
        <v>67</v>
      </c>
      <c r="L845" t="s">
        <v>443</v>
      </c>
      <c r="M845" t="s">
        <v>444</v>
      </c>
      <c r="N845" t="s">
        <v>1015</v>
      </c>
      <c r="O845" t="s">
        <v>69</v>
      </c>
      <c r="P845" t="str">
        <f>"2170733207                    "</f>
        <v xml:space="preserve">2170733207                    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3.27</v>
      </c>
      <c r="AN845">
        <v>0</v>
      </c>
      <c r="AO845">
        <v>0</v>
      </c>
      <c r="AP845">
        <v>0</v>
      </c>
      <c r="AQ845">
        <v>0</v>
      </c>
      <c r="AR845">
        <v>0</v>
      </c>
      <c r="AS845">
        <v>0</v>
      </c>
      <c r="AT845">
        <v>0</v>
      </c>
      <c r="AU845">
        <v>0</v>
      </c>
      <c r="AV845">
        <v>0</v>
      </c>
      <c r="AW845">
        <v>0</v>
      </c>
      <c r="AX845">
        <v>0</v>
      </c>
      <c r="AY845">
        <v>0</v>
      </c>
      <c r="AZ845">
        <v>0</v>
      </c>
      <c r="BA845">
        <v>0</v>
      </c>
      <c r="BB845">
        <v>0</v>
      </c>
      <c r="BG845">
        <v>0</v>
      </c>
      <c r="BH845">
        <v>1</v>
      </c>
      <c r="BI845">
        <v>1.7</v>
      </c>
      <c r="BJ845">
        <v>1.6</v>
      </c>
      <c r="BK845">
        <v>2</v>
      </c>
      <c r="BL845">
        <v>35.979999999999997</v>
      </c>
      <c r="BM845">
        <v>5.4</v>
      </c>
      <c r="BN845">
        <v>41.38</v>
      </c>
      <c r="BO845">
        <v>41.38</v>
      </c>
      <c r="BQ845" t="s">
        <v>70</v>
      </c>
      <c r="BR845" t="s">
        <v>71</v>
      </c>
      <c r="BS845" t="s">
        <v>72</v>
      </c>
      <c r="BY845">
        <v>8008.79</v>
      </c>
      <c r="CC845" t="s">
        <v>444</v>
      </c>
      <c r="CD845">
        <v>1451</v>
      </c>
      <c r="CE845" t="s">
        <v>73</v>
      </c>
      <c r="CI845">
        <v>1</v>
      </c>
      <c r="CJ845" t="s">
        <v>72</v>
      </c>
      <c r="CK845">
        <v>22</v>
      </c>
      <c r="CL845" t="s">
        <v>74</v>
      </c>
    </row>
    <row r="846" spans="1:90" x14ac:dyDescent="0.25">
      <c r="A846" t="s">
        <v>61</v>
      </c>
      <c r="B846" t="s">
        <v>62</v>
      </c>
      <c r="C846" t="s">
        <v>63</v>
      </c>
      <c r="E846" t="str">
        <f>"FES1162745177"</f>
        <v>FES1162745177</v>
      </c>
      <c r="F846" s="1">
        <v>43944</v>
      </c>
      <c r="G846">
        <v>202010</v>
      </c>
      <c r="H846" t="s">
        <v>64</v>
      </c>
      <c r="I846" t="s">
        <v>65</v>
      </c>
      <c r="J846" t="s">
        <v>66</v>
      </c>
      <c r="K846" t="s">
        <v>67</v>
      </c>
      <c r="L846" t="s">
        <v>177</v>
      </c>
      <c r="M846" t="s">
        <v>178</v>
      </c>
      <c r="N846" t="s">
        <v>179</v>
      </c>
      <c r="O846" t="s">
        <v>69</v>
      </c>
      <c r="P846" t="str">
        <f>"2170736317                    "</f>
        <v xml:space="preserve">2170736317                    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0</v>
      </c>
      <c r="AM846">
        <v>16.739999999999998</v>
      </c>
      <c r="AN846">
        <v>0</v>
      </c>
      <c r="AO846">
        <v>0</v>
      </c>
      <c r="AP846">
        <v>0</v>
      </c>
      <c r="AQ846">
        <v>0</v>
      </c>
      <c r="AR846">
        <v>0</v>
      </c>
      <c r="AS846">
        <v>0</v>
      </c>
      <c r="AT846">
        <v>0</v>
      </c>
      <c r="AU846">
        <v>0</v>
      </c>
      <c r="AV846">
        <v>0</v>
      </c>
      <c r="AW846">
        <v>0</v>
      </c>
      <c r="AX846">
        <v>0</v>
      </c>
      <c r="AY846">
        <v>0</v>
      </c>
      <c r="AZ846">
        <v>0</v>
      </c>
      <c r="BA846">
        <v>0</v>
      </c>
      <c r="BB846">
        <v>0</v>
      </c>
      <c r="BG846">
        <v>0</v>
      </c>
      <c r="BH846">
        <v>1</v>
      </c>
      <c r="BI846">
        <v>7.1</v>
      </c>
      <c r="BJ846">
        <v>7.6</v>
      </c>
      <c r="BK846">
        <v>8</v>
      </c>
      <c r="BL846">
        <v>184.13</v>
      </c>
      <c r="BM846">
        <v>27.62</v>
      </c>
      <c r="BN846">
        <v>211.75</v>
      </c>
      <c r="BO846">
        <v>211.75</v>
      </c>
      <c r="BQ846" t="s">
        <v>70</v>
      </c>
      <c r="BR846" t="s">
        <v>71</v>
      </c>
      <c r="BS846" s="1">
        <v>43945</v>
      </c>
      <c r="BT846" s="2">
        <v>0.48125000000000001</v>
      </c>
      <c r="BU846" t="s">
        <v>235</v>
      </c>
      <c r="BV846" t="s">
        <v>80</v>
      </c>
      <c r="BY846">
        <v>37994</v>
      </c>
      <c r="CA846" t="s">
        <v>741</v>
      </c>
      <c r="CC846" t="s">
        <v>178</v>
      </c>
      <c r="CD846">
        <v>4302</v>
      </c>
      <c r="CE846" t="s">
        <v>91</v>
      </c>
      <c r="CF846" s="1">
        <v>43949</v>
      </c>
      <c r="CI846">
        <v>1</v>
      </c>
      <c r="CJ846">
        <v>1</v>
      </c>
      <c r="CK846">
        <v>21</v>
      </c>
      <c r="CL846" t="s">
        <v>74</v>
      </c>
    </row>
    <row r="847" spans="1:90" x14ac:dyDescent="0.25">
      <c r="A847" t="s">
        <v>61</v>
      </c>
      <c r="B847" t="s">
        <v>62</v>
      </c>
      <c r="C847" t="s">
        <v>63</v>
      </c>
      <c r="E847" t="str">
        <f>"FES1162743991"</f>
        <v>FES1162743991</v>
      </c>
      <c r="F847" s="1">
        <v>43928</v>
      </c>
      <c r="G847">
        <v>202010</v>
      </c>
      <c r="H847" t="s">
        <v>64</v>
      </c>
      <c r="I847" t="s">
        <v>65</v>
      </c>
      <c r="J847" t="s">
        <v>581</v>
      </c>
      <c r="K847" t="s">
        <v>67</v>
      </c>
      <c r="L847" t="s">
        <v>199</v>
      </c>
      <c r="M847" t="s">
        <v>200</v>
      </c>
      <c r="N847" t="s">
        <v>520</v>
      </c>
      <c r="O847" t="s">
        <v>230</v>
      </c>
      <c r="P847" t="str">
        <f>"2170735359                    "</f>
        <v xml:space="preserve">2170735359                    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0</v>
      </c>
      <c r="AM847">
        <v>10.029999999999999</v>
      </c>
      <c r="AN847">
        <v>0</v>
      </c>
      <c r="AO847">
        <v>0</v>
      </c>
      <c r="AP847">
        <v>0</v>
      </c>
      <c r="AQ847">
        <v>0</v>
      </c>
      <c r="AR847">
        <v>0</v>
      </c>
      <c r="AS847">
        <v>0</v>
      </c>
      <c r="AT847">
        <v>0</v>
      </c>
      <c r="AU847">
        <v>0</v>
      </c>
      <c r="AV847">
        <v>0</v>
      </c>
      <c r="AW847">
        <v>0</v>
      </c>
      <c r="AX847">
        <v>0</v>
      </c>
      <c r="AY847">
        <v>0</v>
      </c>
      <c r="AZ847">
        <v>0</v>
      </c>
      <c r="BA847">
        <v>0</v>
      </c>
      <c r="BB847">
        <v>0</v>
      </c>
      <c r="BG847">
        <v>0</v>
      </c>
      <c r="BH847">
        <v>2</v>
      </c>
      <c r="BI847">
        <v>16</v>
      </c>
      <c r="BJ847">
        <v>35.5</v>
      </c>
      <c r="BK847">
        <v>36</v>
      </c>
      <c r="BL847">
        <v>115.28</v>
      </c>
      <c r="BM847">
        <v>17.29</v>
      </c>
      <c r="BN847">
        <v>132.57</v>
      </c>
      <c r="BO847">
        <v>132.57</v>
      </c>
      <c r="BQ847" t="s">
        <v>78</v>
      </c>
      <c r="BR847" t="s">
        <v>732</v>
      </c>
      <c r="BS847" s="1">
        <v>43929</v>
      </c>
      <c r="BT847" s="2">
        <v>0.4375</v>
      </c>
      <c r="BU847" t="s">
        <v>521</v>
      </c>
      <c r="BV847" t="s">
        <v>80</v>
      </c>
      <c r="BY847">
        <v>177476.34</v>
      </c>
      <c r="CA847" t="s">
        <v>437</v>
      </c>
      <c r="CC847" t="s">
        <v>200</v>
      </c>
      <c r="CD847">
        <v>1559</v>
      </c>
      <c r="CE847" t="s">
        <v>381</v>
      </c>
      <c r="CF847" s="1">
        <v>43930</v>
      </c>
      <c r="CI847">
        <v>1</v>
      </c>
      <c r="CJ847">
        <v>1</v>
      </c>
      <c r="CK847" t="s">
        <v>584</v>
      </c>
      <c r="CL847" t="s">
        <v>74</v>
      </c>
    </row>
    <row r="848" spans="1:90" x14ac:dyDescent="0.25">
      <c r="A848" t="s">
        <v>61</v>
      </c>
      <c r="B848" t="s">
        <v>62</v>
      </c>
      <c r="C848" t="s">
        <v>63</v>
      </c>
      <c r="E848" t="str">
        <f>"FES1162744639"</f>
        <v>FES1162744639</v>
      </c>
      <c r="F848" s="1">
        <v>43930</v>
      </c>
      <c r="G848">
        <v>202010</v>
      </c>
      <c r="H848" t="s">
        <v>64</v>
      </c>
      <c r="I848" t="s">
        <v>65</v>
      </c>
      <c r="J848" t="s">
        <v>581</v>
      </c>
      <c r="K848" t="s">
        <v>67</v>
      </c>
      <c r="L848" t="s">
        <v>75</v>
      </c>
      <c r="M848" t="s">
        <v>76</v>
      </c>
      <c r="N848" t="s">
        <v>155</v>
      </c>
      <c r="O848" t="s">
        <v>230</v>
      </c>
      <c r="P848" t="str">
        <f>"2170735504                    "</f>
        <v xml:space="preserve">2170735504                    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0</v>
      </c>
      <c r="AM848">
        <v>7.86</v>
      </c>
      <c r="AN848">
        <v>0</v>
      </c>
      <c r="AO848">
        <v>0</v>
      </c>
      <c r="AP848">
        <v>0</v>
      </c>
      <c r="AQ848">
        <v>0</v>
      </c>
      <c r="AR848">
        <v>0</v>
      </c>
      <c r="AS848">
        <v>0</v>
      </c>
      <c r="AT848">
        <v>0</v>
      </c>
      <c r="AU848">
        <v>0</v>
      </c>
      <c r="AV848">
        <v>0</v>
      </c>
      <c r="AW848">
        <v>0</v>
      </c>
      <c r="AX848">
        <v>0</v>
      </c>
      <c r="AY848">
        <v>0</v>
      </c>
      <c r="AZ848">
        <v>0</v>
      </c>
      <c r="BA848">
        <v>0</v>
      </c>
      <c r="BB848">
        <v>0</v>
      </c>
      <c r="BG848">
        <v>0</v>
      </c>
      <c r="BH848">
        <v>2</v>
      </c>
      <c r="BI848">
        <v>14.9</v>
      </c>
      <c r="BJ848">
        <v>25</v>
      </c>
      <c r="BK848">
        <v>25</v>
      </c>
      <c r="BL848">
        <v>91.44</v>
      </c>
      <c r="BM848">
        <v>13.72</v>
      </c>
      <c r="BN848">
        <v>105.16</v>
      </c>
      <c r="BO848">
        <v>105.16</v>
      </c>
      <c r="BQ848" t="s">
        <v>78</v>
      </c>
      <c r="BR848" t="s">
        <v>732</v>
      </c>
      <c r="BS848" s="1">
        <v>43935</v>
      </c>
      <c r="BT848" s="2">
        <v>0.35555555555555557</v>
      </c>
      <c r="BU848" t="s">
        <v>156</v>
      </c>
      <c r="BV848" t="s">
        <v>80</v>
      </c>
      <c r="BY848">
        <v>124825.69</v>
      </c>
      <c r="CA848" t="s">
        <v>157</v>
      </c>
      <c r="CC848" t="s">
        <v>76</v>
      </c>
      <c r="CD848">
        <v>1459</v>
      </c>
      <c r="CE848" t="s">
        <v>381</v>
      </c>
      <c r="CF848" s="1">
        <v>43936</v>
      </c>
      <c r="CI848">
        <v>1</v>
      </c>
      <c r="CJ848">
        <v>3</v>
      </c>
      <c r="CK848" t="s">
        <v>584</v>
      </c>
      <c r="CL848" t="s">
        <v>74</v>
      </c>
    </row>
    <row r="849" spans="1:90" x14ac:dyDescent="0.25">
      <c r="A849" t="s">
        <v>61</v>
      </c>
      <c r="B849" t="s">
        <v>62</v>
      </c>
      <c r="C849" t="s">
        <v>63</v>
      </c>
      <c r="E849" t="str">
        <f>"FES1162744672"</f>
        <v>FES1162744672</v>
      </c>
      <c r="F849" s="1">
        <v>43935</v>
      </c>
      <c r="G849">
        <v>202010</v>
      </c>
      <c r="H849" t="s">
        <v>64</v>
      </c>
      <c r="I849" t="s">
        <v>65</v>
      </c>
      <c r="J849" t="s">
        <v>581</v>
      </c>
      <c r="K849" t="s">
        <v>67</v>
      </c>
      <c r="L849" t="s">
        <v>270</v>
      </c>
      <c r="M849" t="s">
        <v>271</v>
      </c>
      <c r="N849" t="s">
        <v>484</v>
      </c>
      <c r="O849" t="s">
        <v>230</v>
      </c>
      <c r="P849" t="str">
        <f>"2170735421                    "</f>
        <v xml:space="preserve">2170735421                    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6.87</v>
      </c>
      <c r="AN849">
        <v>0</v>
      </c>
      <c r="AO849">
        <v>0</v>
      </c>
      <c r="AP849">
        <v>0</v>
      </c>
      <c r="AQ849">
        <v>0</v>
      </c>
      <c r="AR849">
        <v>0</v>
      </c>
      <c r="AS849">
        <v>0</v>
      </c>
      <c r="AT849">
        <v>0</v>
      </c>
      <c r="AU849">
        <v>0</v>
      </c>
      <c r="AV849">
        <v>0</v>
      </c>
      <c r="AW849">
        <v>0</v>
      </c>
      <c r="AX849">
        <v>0</v>
      </c>
      <c r="AY849">
        <v>0</v>
      </c>
      <c r="AZ849">
        <v>0</v>
      </c>
      <c r="BA849">
        <v>0</v>
      </c>
      <c r="BB849">
        <v>0</v>
      </c>
      <c r="BG849">
        <v>0</v>
      </c>
      <c r="BH849">
        <v>1</v>
      </c>
      <c r="BI849">
        <v>19.7</v>
      </c>
      <c r="BJ849">
        <v>9.1999999999999993</v>
      </c>
      <c r="BK849">
        <v>20</v>
      </c>
      <c r="BL849">
        <v>80.599999999999994</v>
      </c>
      <c r="BM849">
        <v>12.09</v>
      </c>
      <c r="BN849">
        <v>92.69</v>
      </c>
      <c r="BO849">
        <v>92.69</v>
      </c>
      <c r="BQ849" t="s">
        <v>78</v>
      </c>
      <c r="BR849" t="s">
        <v>732</v>
      </c>
      <c r="BS849" s="1">
        <v>43936</v>
      </c>
      <c r="BT849" s="2">
        <v>0.3659722222222222</v>
      </c>
      <c r="BU849" t="s">
        <v>608</v>
      </c>
      <c r="BV849" t="s">
        <v>80</v>
      </c>
      <c r="BY849">
        <v>46169.78</v>
      </c>
      <c r="CA849" t="s">
        <v>486</v>
      </c>
      <c r="CC849" t="s">
        <v>271</v>
      </c>
      <c r="CD849">
        <v>2013</v>
      </c>
      <c r="CE849" t="s">
        <v>91</v>
      </c>
      <c r="CF849" s="1">
        <v>43937</v>
      </c>
      <c r="CI849">
        <v>1</v>
      </c>
      <c r="CJ849">
        <v>1</v>
      </c>
      <c r="CK849" t="s">
        <v>584</v>
      </c>
      <c r="CL849" t="s">
        <v>74</v>
      </c>
    </row>
    <row r="850" spans="1:90" x14ac:dyDescent="0.25">
      <c r="A850" t="s">
        <v>61</v>
      </c>
      <c r="B850" t="s">
        <v>62</v>
      </c>
      <c r="C850" t="s">
        <v>63</v>
      </c>
      <c r="E850" t="str">
        <f>"FES11627439900"</f>
        <v>FES11627439900</v>
      </c>
      <c r="F850" s="1">
        <v>43924</v>
      </c>
      <c r="G850">
        <v>202010</v>
      </c>
      <c r="H850" t="s">
        <v>64</v>
      </c>
      <c r="I850" t="s">
        <v>65</v>
      </c>
      <c r="J850" t="s">
        <v>581</v>
      </c>
      <c r="K850" t="s">
        <v>67</v>
      </c>
      <c r="L850" t="s">
        <v>416</v>
      </c>
      <c r="M850" t="s">
        <v>417</v>
      </c>
      <c r="N850" t="s">
        <v>1016</v>
      </c>
      <c r="O850" t="s">
        <v>230</v>
      </c>
      <c r="P850" t="str">
        <f>"2170735358                    "</f>
        <v xml:space="preserve">2170735358                    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7.66</v>
      </c>
      <c r="AN850">
        <v>0</v>
      </c>
      <c r="AO850">
        <v>0</v>
      </c>
      <c r="AP850">
        <v>0</v>
      </c>
      <c r="AQ850">
        <v>0</v>
      </c>
      <c r="AR850">
        <v>0</v>
      </c>
      <c r="AS850">
        <v>0</v>
      </c>
      <c r="AT850">
        <v>0</v>
      </c>
      <c r="AU850">
        <v>0</v>
      </c>
      <c r="AV850">
        <v>0</v>
      </c>
      <c r="AW850">
        <v>0</v>
      </c>
      <c r="AX850">
        <v>0</v>
      </c>
      <c r="AY850">
        <v>0</v>
      </c>
      <c r="AZ850">
        <v>0</v>
      </c>
      <c r="BA850">
        <v>0</v>
      </c>
      <c r="BB850">
        <v>0</v>
      </c>
      <c r="BG850">
        <v>0</v>
      </c>
      <c r="BH850">
        <v>2</v>
      </c>
      <c r="BI850">
        <v>23.8</v>
      </c>
      <c r="BJ850">
        <v>17</v>
      </c>
      <c r="BK850">
        <v>24</v>
      </c>
      <c r="BL850">
        <v>89.27</v>
      </c>
      <c r="BM850">
        <v>13.39</v>
      </c>
      <c r="BN850">
        <v>102.66</v>
      </c>
      <c r="BO850">
        <v>102.66</v>
      </c>
      <c r="BQ850" t="s">
        <v>78</v>
      </c>
      <c r="BR850" t="s">
        <v>732</v>
      </c>
      <c r="BS850" s="1">
        <v>43927</v>
      </c>
      <c r="BT850" s="2">
        <v>0.4375</v>
      </c>
      <c r="BU850" t="s">
        <v>1017</v>
      </c>
      <c r="BV850" t="s">
        <v>80</v>
      </c>
      <c r="BY850">
        <v>85136.36</v>
      </c>
      <c r="CC850" t="s">
        <v>417</v>
      </c>
      <c r="CD850">
        <v>1724</v>
      </c>
      <c r="CE850" t="s">
        <v>381</v>
      </c>
      <c r="CF850" s="1">
        <v>43928</v>
      </c>
      <c r="CI850">
        <v>1</v>
      </c>
      <c r="CJ850">
        <v>1</v>
      </c>
      <c r="CK850" t="s">
        <v>584</v>
      </c>
      <c r="CL850" t="s">
        <v>74</v>
      </c>
    </row>
    <row r="851" spans="1:90" x14ac:dyDescent="0.25">
      <c r="A851" t="s">
        <v>61</v>
      </c>
      <c r="B851" t="s">
        <v>62</v>
      </c>
      <c r="C851" t="s">
        <v>63</v>
      </c>
      <c r="E851" t="str">
        <f>"FES1162744610"</f>
        <v>FES1162744610</v>
      </c>
      <c r="F851" s="1">
        <v>43930</v>
      </c>
      <c r="G851">
        <v>202010</v>
      </c>
      <c r="H851" t="s">
        <v>64</v>
      </c>
      <c r="I851" t="s">
        <v>65</v>
      </c>
      <c r="J851" t="s">
        <v>581</v>
      </c>
      <c r="K851" t="s">
        <v>67</v>
      </c>
      <c r="L851" t="s">
        <v>111</v>
      </c>
      <c r="M851" t="s">
        <v>112</v>
      </c>
      <c r="N851" t="s">
        <v>113</v>
      </c>
      <c r="O851" t="s">
        <v>230</v>
      </c>
      <c r="P851" t="str">
        <f>"2170735859                    "</f>
        <v xml:space="preserve">2170735859                    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10.42</v>
      </c>
      <c r="AN851">
        <v>0</v>
      </c>
      <c r="AO851">
        <v>0</v>
      </c>
      <c r="AP851">
        <v>0</v>
      </c>
      <c r="AQ851">
        <v>0</v>
      </c>
      <c r="AR851">
        <v>0</v>
      </c>
      <c r="AS851">
        <v>0</v>
      </c>
      <c r="AT851">
        <v>0</v>
      </c>
      <c r="AU851">
        <v>0</v>
      </c>
      <c r="AV851">
        <v>0</v>
      </c>
      <c r="AW851">
        <v>0</v>
      </c>
      <c r="AX851">
        <v>0</v>
      </c>
      <c r="AY851">
        <v>0</v>
      </c>
      <c r="AZ851">
        <v>0</v>
      </c>
      <c r="BA851">
        <v>0</v>
      </c>
      <c r="BB851">
        <v>0</v>
      </c>
      <c r="BG851">
        <v>0</v>
      </c>
      <c r="BH851">
        <v>1</v>
      </c>
      <c r="BI851">
        <v>21.5</v>
      </c>
      <c r="BJ851">
        <v>37.299999999999997</v>
      </c>
      <c r="BK851">
        <v>38</v>
      </c>
      <c r="BL851">
        <v>119.61</v>
      </c>
      <c r="BM851">
        <v>17.940000000000001</v>
      </c>
      <c r="BN851">
        <v>137.55000000000001</v>
      </c>
      <c r="BO851">
        <v>137.55000000000001</v>
      </c>
      <c r="BQ851" t="s">
        <v>114</v>
      </c>
      <c r="BR851" t="s">
        <v>732</v>
      </c>
      <c r="BS851" s="1">
        <v>43935</v>
      </c>
      <c r="BT851" s="2">
        <v>0.4375</v>
      </c>
      <c r="BU851" t="s">
        <v>1018</v>
      </c>
      <c r="BV851" t="s">
        <v>80</v>
      </c>
      <c r="BY851">
        <v>186450.92</v>
      </c>
      <c r="CC851" t="s">
        <v>112</v>
      </c>
      <c r="CD851">
        <v>1684</v>
      </c>
      <c r="CE851" t="s">
        <v>91</v>
      </c>
      <c r="CF851" s="1">
        <v>43936</v>
      </c>
      <c r="CI851">
        <v>1</v>
      </c>
      <c r="CJ851">
        <v>3</v>
      </c>
      <c r="CK851" t="s">
        <v>584</v>
      </c>
      <c r="CL851" t="s">
        <v>74</v>
      </c>
    </row>
    <row r="852" spans="1:90" x14ac:dyDescent="0.25">
      <c r="A852" t="s">
        <v>61</v>
      </c>
      <c r="B852" t="s">
        <v>62</v>
      </c>
      <c r="C852" t="s">
        <v>63</v>
      </c>
      <c r="E852" t="str">
        <f>"FES1162745753"</f>
        <v>FES1162745753</v>
      </c>
      <c r="F852" s="1">
        <v>43951</v>
      </c>
      <c r="G852">
        <v>202010</v>
      </c>
      <c r="H852" t="s">
        <v>64</v>
      </c>
      <c r="I852" t="s">
        <v>65</v>
      </c>
      <c r="J852" t="s">
        <v>66</v>
      </c>
      <c r="K852" t="s">
        <v>67</v>
      </c>
      <c r="L852" t="s">
        <v>116</v>
      </c>
      <c r="M852" t="s">
        <v>117</v>
      </c>
      <c r="N852" t="s">
        <v>1019</v>
      </c>
      <c r="O852" t="s">
        <v>69</v>
      </c>
      <c r="P852" t="str">
        <f>"2170736846                    "</f>
        <v xml:space="preserve">2170736846                    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0</v>
      </c>
      <c r="AM852">
        <v>9.94</v>
      </c>
      <c r="AN852">
        <v>0</v>
      </c>
      <c r="AO852">
        <v>0</v>
      </c>
      <c r="AP852">
        <v>0</v>
      </c>
      <c r="AQ852">
        <v>0</v>
      </c>
      <c r="AR852">
        <v>0</v>
      </c>
      <c r="AS852">
        <v>0</v>
      </c>
      <c r="AT852">
        <v>0</v>
      </c>
      <c r="AU852">
        <v>0</v>
      </c>
      <c r="AV852">
        <v>0</v>
      </c>
      <c r="AW852">
        <v>0</v>
      </c>
      <c r="AX852">
        <v>0</v>
      </c>
      <c r="AY852">
        <v>0</v>
      </c>
      <c r="AZ852">
        <v>0</v>
      </c>
      <c r="BA852">
        <v>0</v>
      </c>
      <c r="BB852">
        <v>0</v>
      </c>
      <c r="BG852">
        <v>0</v>
      </c>
      <c r="BH852">
        <v>1</v>
      </c>
      <c r="BI852">
        <v>2.5</v>
      </c>
      <c r="BJ852">
        <v>1.8</v>
      </c>
      <c r="BK852">
        <v>2.5</v>
      </c>
      <c r="BL852">
        <v>109.38</v>
      </c>
      <c r="BM852">
        <v>16.41</v>
      </c>
      <c r="BN852">
        <v>125.79</v>
      </c>
      <c r="BO852">
        <v>125.79</v>
      </c>
      <c r="BQ852" t="s">
        <v>78</v>
      </c>
      <c r="BR852" t="s">
        <v>71</v>
      </c>
      <c r="BS852" t="s">
        <v>72</v>
      </c>
      <c r="BY852">
        <v>8801.8700000000008</v>
      </c>
      <c r="CC852" t="s">
        <v>117</v>
      </c>
      <c r="CD852">
        <v>7300</v>
      </c>
      <c r="CE852" t="s">
        <v>91</v>
      </c>
      <c r="CI852">
        <v>1</v>
      </c>
      <c r="CJ852" t="s">
        <v>72</v>
      </c>
      <c r="CK852">
        <v>23</v>
      </c>
      <c r="CL852" t="s">
        <v>74</v>
      </c>
    </row>
    <row r="853" spans="1:90" x14ac:dyDescent="0.25">
      <c r="A853" t="s">
        <v>61</v>
      </c>
      <c r="B853" t="s">
        <v>62</v>
      </c>
      <c r="C853" t="s">
        <v>63</v>
      </c>
      <c r="E853" t="str">
        <f>"FES1162745744"</f>
        <v>FES1162745744</v>
      </c>
      <c r="F853" s="1">
        <v>43951</v>
      </c>
      <c r="G853">
        <v>202010</v>
      </c>
      <c r="H853" t="s">
        <v>64</v>
      </c>
      <c r="I853" t="s">
        <v>65</v>
      </c>
      <c r="J853" t="s">
        <v>66</v>
      </c>
      <c r="K853" t="s">
        <v>67</v>
      </c>
      <c r="L853" t="s">
        <v>151</v>
      </c>
      <c r="M853" t="s">
        <v>152</v>
      </c>
      <c r="N853" t="s">
        <v>1020</v>
      </c>
      <c r="O853" t="s">
        <v>69</v>
      </c>
      <c r="P853" t="str">
        <f>"2170735203                    "</f>
        <v xml:space="preserve">2170735203                    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4.1900000000000004</v>
      </c>
      <c r="AN853">
        <v>0</v>
      </c>
      <c r="AO853">
        <v>0</v>
      </c>
      <c r="AP853">
        <v>0</v>
      </c>
      <c r="AQ853">
        <v>0</v>
      </c>
      <c r="AR853">
        <v>0</v>
      </c>
      <c r="AS853">
        <v>0</v>
      </c>
      <c r="AT853">
        <v>0</v>
      </c>
      <c r="AU853">
        <v>0</v>
      </c>
      <c r="AV853">
        <v>0</v>
      </c>
      <c r="AW853">
        <v>0</v>
      </c>
      <c r="AX853">
        <v>0</v>
      </c>
      <c r="AY853">
        <v>0</v>
      </c>
      <c r="AZ853">
        <v>0</v>
      </c>
      <c r="BA853">
        <v>0</v>
      </c>
      <c r="BB853">
        <v>0</v>
      </c>
      <c r="BG853">
        <v>0</v>
      </c>
      <c r="BH853">
        <v>1</v>
      </c>
      <c r="BI853">
        <v>1</v>
      </c>
      <c r="BJ853">
        <v>0.2</v>
      </c>
      <c r="BK853">
        <v>1</v>
      </c>
      <c r="BL853">
        <v>46.06</v>
      </c>
      <c r="BM853">
        <v>6.91</v>
      </c>
      <c r="BN853">
        <v>52.97</v>
      </c>
      <c r="BO853">
        <v>52.97</v>
      </c>
      <c r="BQ853" t="s">
        <v>70</v>
      </c>
      <c r="BR853" t="s">
        <v>71</v>
      </c>
      <c r="BS853" t="s">
        <v>72</v>
      </c>
      <c r="BY853">
        <v>1200</v>
      </c>
      <c r="CC853" t="s">
        <v>152</v>
      </c>
      <c r="CD853">
        <v>3200</v>
      </c>
      <c r="CE853" t="s">
        <v>73</v>
      </c>
      <c r="CI853">
        <v>1</v>
      </c>
      <c r="CJ853" t="s">
        <v>72</v>
      </c>
      <c r="CK853">
        <v>21</v>
      </c>
      <c r="CL853" t="s">
        <v>74</v>
      </c>
    </row>
    <row r="854" spans="1:90" x14ac:dyDescent="0.25">
      <c r="A854" t="s">
        <v>61</v>
      </c>
      <c r="B854" t="s">
        <v>62</v>
      </c>
      <c r="C854" t="s">
        <v>63</v>
      </c>
      <c r="E854" t="str">
        <f>"FES1162745734"</f>
        <v>FES1162745734</v>
      </c>
      <c r="F854" s="1">
        <v>43951</v>
      </c>
      <c r="G854">
        <v>202010</v>
      </c>
      <c r="H854" t="s">
        <v>64</v>
      </c>
      <c r="I854" t="s">
        <v>65</v>
      </c>
      <c r="J854" t="s">
        <v>66</v>
      </c>
      <c r="K854" t="s">
        <v>67</v>
      </c>
      <c r="L854" t="s">
        <v>177</v>
      </c>
      <c r="M854" t="s">
        <v>178</v>
      </c>
      <c r="N854" t="s">
        <v>179</v>
      </c>
      <c r="O854" t="s">
        <v>69</v>
      </c>
      <c r="P854" t="str">
        <f>"2170736828                    "</f>
        <v xml:space="preserve">2170736828                    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0</v>
      </c>
      <c r="AM854">
        <v>20.92</v>
      </c>
      <c r="AN854">
        <v>0</v>
      </c>
      <c r="AO854">
        <v>0</v>
      </c>
      <c r="AP854">
        <v>0</v>
      </c>
      <c r="AQ854">
        <v>0</v>
      </c>
      <c r="AR854">
        <v>0</v>
      </c>
      <c r="AS854">
        <v>0</v>
      </c>
      <c r="AT854">
        <v>0</v>
      </c>
      <c r="AU854">
        <v>0</v>
      </c>
      <c r="AV854">
        <v>0</v>
      </c>
      <c r="AW854">
        <v>0</v>
      </c>
      <c r="AX854">
        <v>0</v>
      </c>
      <c r="AY854">
        <v>0</v>
      </c>
      <c r="AZ854">
        <v>0</v>
      </c>
      <c r="BA854">
        <v>0</v>
      </c>
      <c r="BB854">
        <v>0</v>
      </c>
      <c r="BG854">
        <v>0</v>
      </c>
      <c r="BH854">
        <v>1</v>
      </c>
      <c r="BI854">
        <v>9.6</v>
      </c>
      <c r="BJ854">
        <v>7.2</v>
      </c>
      <c r="BK854">
        <v>10</v>
      </c>
      <c r="BL854">
        <v>230.15</v>
      </c>
      <c r="BM854">
        <v>34.520000000000003</v>
      </c>
      <c r="BN854">
        <v>264.67</v>
      </c>
      <c r="BO854">
        <v>264.67</v>
      </c>
      <c r="BQ854" t="s">
        <v>70</v>
      </c>
      <c r="BR854" t="s">
        <v>71</v>
      </c>
      <c r="BS854" t="s">
        <v>72</v>
      </c>
      <c r="BY854">
        <v>35796</v>
      </c>
      <c r="CC854" t="s">
        <v>178</v>
      </c>
      <c r="CD854">
        <v>4302</v>
      </c>
      <c r="CE854" t="s">
        <v>91</v>
      </c>
      <c r="CI854">
        <v>1</v>
      </c>
      <c r="CJ854" t="s">
        <v>72</v>
      </c>
      <c r="CK854">
        <v>21</v>
      </c>
      <c r="CL854" t="s">
        <v>74</v>
      </c>
    </row>
    <row r="855" spans="1:90" x14ac:dyDescent="0.25">
      <c r="A855" t="s">
        <v>61</v>
      </c>
      <c r="B855" t="s">
        <v>62</v>
      </c>
      <c r="C855" t="s">
        <v>63</v>
      </c>
      <c r="E855" t="str">
        <f>"FES1162745578"</f>
        <v>FES1162745578</v>
      </c>
      <c r="F855" s="1">
        <v>43950</v>
      </c>
      <c r="G855">
        <v>202010</v>
      </c>
      <c r="H855" t="s">
        <v>64</v>
      </c>
      <c r="I855" t="s">
        <v>65</v>
      </c>
      <c r="J855" t="s">
        <v>66</v>
      </c>
      <c r="K855" t="s">
        <v>67</v>
      </c>
      <c r="L855" t="s">
        <v>64</v>
      </c>
      <c r="M855" t="s">
        <v>65</v>
      </c>
      <c r="N855" t="s">
        <v>322</v>
      </c>
      <c r="O855" t="s">
        <v>69</v>
      </c>
      <c r="P855" t="str">
        <f>"2170735863                    "</f>
        <v xml:space="preserve">2170735863                    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0</v>
      </c>
      <c r="AM855">
        <v>3.27</v>
      </c>
      <c r="AN855">
        <v>0</v>
      </c>
      <c r="AO855">
        <v>0</v>
      </c>
      <c r="AP855">
        <v>0</v>
      </c>
      <c r="AQ855">
        <v>0</v>
      </c>
      <c r="AR855">
        <v>0</v>
      </c>
      <c r="AS855">
        <v>0</v>
      </c>
      <c r="AT855">
        <v>0</v>
      </c>
      <c r="AU855">
        <v>0</v>
      </c>
      <c r="AV855">
        <v>0</v>
      </c>
      <c r="AW855">
        <v>0</v>
      </c>
      <c r="AX855">
        <v>0</v>
      </c>
      <c r="AY855">
        <v>0</v>
      </c>
      <c r="AZ855">
        <v>0</v>
      </c>
      <c r="BA855">
        <v>0</v>
      </c>
      <c r="BB855">
        <v>0</v>
      </c>
      <c r="BG855">
        <v>0</v>
      </c>
      <c r="BH855">
        <v>1</v>
      </c>
      <c r="BI855">
        <v>1</v>
      </c>
      <c r="BJ855">
        <v>0.2</v>
      </c>
      <c r="BK855">
        <v>1</v>
      </c>
      <c r="BL855">
        <v>35.979999999999997</v>
      </c>
      <c r="BM855">
        <v>5.4</v>
      </c>
      <c r="BN855">
        <v>41.38</v>
      </c>
      <c r="BO855">
        <v>41.38</v>
      </c>
      <c r="BQ855" t="s">
        <v>78</v>
      </c>
      <c r="BR855" t="s">
        <v>71</v>
      </c>
      <c r="BS855" t="s">
        <v>72</v>
      </c>
      <c r="BY855">
        <v>1200</v>
      </c>
      <c r="CC855" t="s">
        <v>65</v>
      </c>
      <c r="CD855">
        <v>1600</v>
      </c>
      <c r="CE855" t="s">
        <v>73</v>
      </c>
      <c r="CI855">
        <v>1</v>
      </c>
      <c r="CJ855" t="s">
        <v>72</v>
      </c>
      <c r="CK855">
        <v>22</v>
      </c>
      <c r="CL855" t="s">
        <v>74</v>
      </c>
    </row>
    <row r="856" spans="1:90" x14ac:dyDescent="0.25">
      <c r="A856" t="s">
        <v>61</v>
      </c>
      <c r="B856" t="s">
        <v>62</v>
      </c>
      <c r="C856" t="s">
        <v>63</v>
      </c>
      <c r="E856" t="str">
        <f>"FES1162745475"</f>
        <v>FES1162745475</v>
      </c>
      <c r="F856" s="1">
        <v>43949</v>
      </c>
      <c r="G856">
        <v>202010</v>
      </c>
      <c r="H856" t="s">
        <v>64</v>
      </c>
      <c r="I856" t="s">
        <v>65</v>
      </c>
      <c r="J856" t="s">
        <v>66</v>
      </c>
      <c r="K856" t="s">
        <v>67</v>
      </c>
      <c r="L856" t="s">
        <v>92</v>
      </c>
      <c r="M856" t="s">
        <v>93</v>
      </c>
      <c r="N856" t="s">
        <v>94</v>
      </c>
      <c r="O856" t="s">
        <v>69</v>
      </c>
      <c r="P856" t="str">
        <f>"2170736125                    "</f>
        <v xml:space="preserve">2170736125                    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4.1900000000000004</v>
      </c>
      <c r="AN856">
        <v>0</v>
      </c>
      <c r="AO856">
        <v>0</v>
      </c>
      <c r="AP856">
        <v>0</v>
      </c>
      <c r="AQ856">
        <v>0</v>
      </c>
      <c r="AR856">
        <v>0</v>
      </c>
      <c r="AS856">
        <v>0</v>
      </c>
      <c r="AT856">
        <v>0</v>
      </c>
      <c r="AU856">
        <v>0</v>
      </c>
      <c r="AV856">
        <v>0</v>
      </c>
      <c r="AW856">
        <v>0</v>
      </c>
      <c r="AX856">
        <v>0</v>
      </c>
      <c r="AY856">
        <v>0</v>
      </c>
      <c r="AZ856">
        <v>0</v>
      </c>
      <c r="BA856">
        <v>0</v>
      </c>
      <c r="BB856">
        <v>0</v>
      </c>
      <c r="BG856">
        <v>0</v>
      </c>
      <c r="BH856">
        <v>1</v>
      </c>
      <c r="BI856">
        <v>1</v>
      </c>
      <c r="BJ856">
        <v>0.2</v>
      </c>
      <c r="BK856">
        <v>1</v>
      </c>
      <c r="BL856">
        <v>46.06</v>
      </c>
      <c r="BM856">
        <v>6.91</v>
      </c>
      <c r="BN856">
        <v>52.97</v>
      </c>
      <c r="BO856">
        <v>52.97</v>
      </c>
      <c r="BQ856" t="s">
        <v>70</v>
      </c>
      <c r="BR856" t="s">
        <v>71</v>
      </c>
      <c r="BS856" s="1">
        <v>43950</v>
      </c>
      <c r="BT856" s="2">
        <v>0.39166666666666666</v>
      </c>
      <c r="BU856" t="s">
        <v>1021</v>
      </c>
      <c r="BV856" t="s">
        <v>80</v>
      </c>
      <c r="BY856">
        <v>1200</v>
      </c>
      <c r="BZ856" t="s">
        <v>23</v>
      </c>
      <c r="CA856" t="s">
        <v>98</v>
      </c>
      <c r="CC856" t="s">
        <v>93</v>
      </c>
      <c r="CD856">
        <v>7441</v>
      </c>
      <c r="CE856" t="s">
        <v>966</v>
      </c>
      <c r="CF856" s="1">
        <v>43951</v>
      </c>
      <c r="CI856">
        <v>1</v>
      </c>
      <c r="CJ856">
        <v>1</v>
      </c>
      <c r="CK856">
        <v>21</v>
      </c>
      <c r="CL856" t="s">
        <v>74</v>
      </c>
    </row>
    <row r="857" spans="1:90" x14ac:dyDescent="0.25">
      <c r="A857" t="s">
        <v>61</v>
      </c>
      <c r="B857" t="s">
        <v>62</v>
      </c>
      <c r="C857" t="s">
        <v>63</v>
      </c>
      <c r="E857" t="str">
        <f>"FES1162745481"</f>
        <v>FES1162745481</v>
      </c>
      <c r="F857" s="1">
        <v>43949</v>
      </c>
      <c r="G857">
        <v>202010</v>
      </c>
      <c r="H857" t="s">
        <v>64</v>
      </c>
      <c r="I857" t="s">
        <v>65</v>
      </c>
      <c r="J857" t="s">
        <v>66</v>
      </c>
      <c r="K857" t="s">
        <v>67</v>
      </c>
      <c r="L857" t="s">
        <v>120</v>
      </c>
      <c r="M857" t="s">
        <v>121</v>
      </c>
      <c r="N857" t="s">
        <v>572</v>
      </c>
      <c r="O857" t="s">
        <v>69</v>
      </c>
      <c r="P857" t="str">
        <f>"2170736383                    "</f>
        <v xml:space="preserve">2170736383                    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0</v>
      </c>
      <c r="AM857">
        <v>4.1900000000000004</v>
      </c>
      <c r="AN857">
        <v>0</v>
      </c>
      <c r="AO857">
        <v>0</v>
      </c>
      <c r="AP857">
        <v>0</v>
      </c>
      <c r="AQ857">
        <v>0</v>
      </c>
      <c r="AR857">
        <v>0</v>
      </c>
      <c r="AS857">
        <v>0</v>
      </c>
      <c r="AT857">
        <v>0</v>
      </c>
      <c r="AU857">
        <v>0</v>
      </c>
      <c r="AV857">
        <v>0</v>
      </c>
      <c r="AW857">
        <v>0</v>
      </c>
      <c r="AX857">
        <v>0</v>
      </c>
      <c r="AY857">
        <v>0</v>
      </c>
      <c r="AZ857">
        <v>0</v>
      </c>
      <c r="BA857">
        <v>0</v>
      </c>
      <c r="BB857">
        <v>0</v>
      </c>
      <c r="BG857">
        <v>0</v>
      </c>
      <c r="BH857">
        <v>1</v>
      </c>
      <c r="BI857">
        <v>1.5</v>
      </c>
      <c r="BJ857">
        <v>0.8</v>
      </c>
      <c r="BK857">
        <v>1.5</v>
      </c>
      <c r="BL857">
        <v>46.06</v>
      </c>
      <c r="BM857">
        <v>6.91</v>
      </c>
      <c r="BN857">
        <v>52.97</v>
      </c>
      <c r="BO857">
        <v>52.97</v>
      </c>
      <c r="BQ857" t="s">
        <v>78</v>
      </c>
      <c r="BR857" t="s">
        <v>71</v>
      </c>
      <c r="BS857" s="1">
        <v>43950</v>
      </c>
      <c r="BT857" s="2">
        <v>0.4513888888888889</v>
      </c>
      <c r="BU857" t="s">
        <v>573</v>
      </c>
      <c r="BV857" t="s">
        <v>74</v>
      </c>
      <c r="BW857" t="s">
        <v>85</v>
      </c>
      <c r="BX857" t="s">
        <v>339</v>
      </c>
      <c r="BY857">
        <v>4243.2</v>
      </c>
      <c r="BZ857" t="s">
        <v>23</v>
      </c>
      <c r="CA857" t="s">
        <v>574</v>
      </c>
      <c r="CC857" t="s">
        <v>121</v>
      </c>
      <c r="CD857">
        <v>4051</v>
      </c>
      <c r="CE857" t="s">
        <v>381</v>
      </c>
      <c r="CF857" s="1">
        <v>43951</v>
      </c>
      <c r="CI857">
        <v>1</v>
      </c>
      <c r="CJ857">
        <v>1</v>
      </c>
      <c r="CK857">
        <v>21</v>
      </c>
      <c r="CL857" t="s">
        <v>74</v>
      </c>
    </row>
    <row r="858" spans="1:90" x14ac:dyDescent="0.25">
      <c r="A858" t="s">
        <v>61</v>
      </c>
      <c r="B858" t="s">
        <v>62</v>
      </c>
      <c r="C858" t="s">
        <v>63</v>
      </c>
      <c r="E858" t="str">
        <f>"FES1162745474"</f>
        <v>FES1162745474</v>
      </c>
      <c r="F858" s="1">
        <v>43949</v>
      </c>
      <c r="G858">
        <v>202010</v>
      </c>
      <c r="H858" t="s">
        <v>64</v>
      </c>
      <c r="I858" t="s">
        <v>65</v>
      </c>
      <c r="J858" t="s">
        <v>66</v>
      </c>
      <c r="K858" t="s">
        <v>67</v>
      </c>
      <c r="L858" t="s">
        <v>270</v>
      </c>
      <c r="M858" t="s">
        <v>271</v>
      </c>
      <c r="N858" t="s">
        <v>526</v>
      </c>
      <c r="O858" t="s">
        <v>69</v>
      </c>
      <c r="P858" t="str">
        <f>"2170736020                    "</f>
        <v xml:space="preserve">2170736020                    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4.0599999999999996</v>
      </c>
      <c r="AN858">
        <v>0</v>
      </c>
      <c r="AO858">
        <v>0</v>
      </c>
      <c r="AP858">
        <v>0</v>
      </c>
      <c r="AQ858">
        <v>0</v>
      </c>
      <c r="AR858">
        <v>0</v>
      </c>
      <c r="AS858">
        <v>0</v>
      </c>
      <c r="AT858">
        <v>0</v>
      </c>
      <c r="AU858">
        <v>0</v>
      </c>
      <c r="AV858">
        <v>0</v>
      </c>
      <c r="AW858">
        <v>0</v>
      </c>
      <c r="AX858">
        <v>0</v>
      </c>
      <c r="AY858">
        <v>0</v>
      </c>
      <c r="AZ858">
        <v>0</v>
      </c>
      <c r="BA858">
        <v>0</v>
      </c>
      <c r="BB858">
        <v>0</v>
      </c>
      <c r="BG858">
        <v>0</v>
      </c>
      <c r="BH858">
        <v>1</v>
      </c>
      <c r="BI858">
        <v>2.9</v>
      </c>
      <c r="BJ858">
        <v>1</v>
      </c>
      <c r="BK858">
        <v>3</v>
      </c>
      <c r="BL858">
        <v>44.61</v>
      </c>
      <c r="BM858">
        <v>6.69</v>
      </c>
      <c r="BN858">
        <v>51.3</v>
      </c>
      <c r="BO858">
        <v>51.3</v>
      </c>
      <c r="BQ858" t="s">
        <v>268</v>
      </c>
      <c r="BR858" t="s">
        <v>71</v>
      </c>
      <c r="BS858" s="1">
        <v>43950</v>
      </c>
      <c r="BT858" s="2">
        <v>0.45833333333333331</v>
      </c>
      <c r="BU858" t="s">
        <v>1022</v>
      </c>
      <c r="BV858" t="s">
        <v>74</v>
      </c>
      <c r="BW858" t="s">
        <v>85</v>
      </c>
      <c r="BX858" t="s">
        <v>979</v>
      </c>
      <c r="BY858">
        <v>4756.1499999999996</v>
      </c>
      <c r="BZ858" t="s">
        <v>23</v>
      </c>
      <c r="CA858" t="s">
        <v>486</v>
      </c>
      <c r="CC858" t="s">
        <v>271</v>
      </c>
      <c r="CD858">
        <v>2013</v>
      </c>
      <c r="CE858" t="s">
        <v>381</v>
      </c>
      <c r="CF858" s="1">
        <v>43951</v>
      </c>
      <c r="CI858">
        <v>1</v>
      </c>
      <c r="CJ858">
        <v>1</v>
      </c>
      <c r="CK858">
        <v>22</v>
      </c>
      <c r="CL858" t="s">
        <v>74</v>
      </c>
    </row>
    <row r="859" spans="1:90" x14ac:dyDescent="0.25">
      <c r="A859" t="s">
        <v>61</v>
      </c>
      <c r="B859" t="s">
        <v>62</v>
      </c>
      <c r="C859" t="s">
        <v>63</v>
      </c>
      <c r="E859" t="str">
        <f>"FES1162745517"</f>
        <v>FES1162745517</v>
      </c>
      <c r="F859" s="1">
        <v>43949</v>
      </c>
      <c r="G859">
        <v>202010</v>
      </c>
      <c r="H859" t="s">
        <v>64</v>
      </c>
      <c r="I859" t="s">
        <v>65</v>
      </c>
      <c r="J859" t="s">
        <v>66</v>
      </c>
      <c r="K859" t="s">
        <v>67</v>
      </c>
      <c r="L859" t="s">
        <v>238</v>
      </c>
      <c r="M859" t="s">
        <v>239</v>
      </c>
      <c r="N859" t="s">
        <v>289</v>
      </c>
      <c r="O859" t="s">
        <v>69</v>
      </c>
      <c r="P859" t="str">
        <f>"2170736659                    "</f>
        <v xml:space="preserve">2170736659                    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4.1900000000000004</v>
      </c>
      <c r="AN859">
        <v>0</v>
      </c>
      <c r="AO859">
        <v>0</v>
      </c>
      <c r="AP859">
        <v>0</v>
      </c>
      <c r="AQ859">
        <v>0</v>
      </c>
      <c r="AR859">
        <v>0</v>
      </c>
      <c r="AS859">
        <v>0</v>
      </c>
      <c r="AT859">
        <v>0</v>
      </c>
      <c r="AU859">
        <v>0</v>
      </c>
      <c r="AV859">
        <v>0</v>
      </c>
      <c r="AW859">
        <v>0</v>
      </c>
      <c r="AX859">
        <v>0</v>
      </c>
      <c r="AY859">
        <v>0</v>
      </c>
      <c r="AZ859">
        <v>0</v>
      </c>
      <c r="BA859">
        <v>0</v>
      </c>
      <c r="BB859">
        <v>0</v>
      </c>
      <c r="BG859">
        <v>0</v>
      </c>
      <c r="BH859">
        <v>1</v>
      </c>
      <c r="BI859">
        <v>1</v>
      </c>
      <c r="BJ859">
        <v>0.2</v>
      </c>
      <c r="BK859">
        <v>1</v>
      </c>
      <c r="BL859">
        <v>46.06</v>
      </c>
      <c r="BM859">
        <v>6.91</v>
      </c>
      <c r="BN859">
        <v>52.97</v>
      </c>
      <c r="BO859">
        <v>52.97</v>
      </c>
      <c r="BQ859" t="s">
        <v>70</v>
      </c>
      <c r="BR859" t="s">
        <v>71</v>
      </c>
      <c r="BS859" s="1">
        <v>43950</v>
      </c>
      <c r="BT859" s="2">
        <v>0.43055555555555558</v>
      </c>
      <c r="BU859" t="s">
        <v>290</v>
      </c>
      <c r="BV859" t="s">
        <v>80</v>
      </c>
      <c r="BY859">
        <v>1200</v>
      </c>
      <c r="BZ859" t="s">
        <v>23</v>
      </c>
      <c r="CA859" t="s">
        <v>242</v>
      </c>
      <c r="CC859" t="s">
        <v>239</v>
      </c>
      <c r="CD859">
        <v>5201</v>
      </c>
      <c r="CE859" t="s">
        <v>966</v>
      </c>
      <c r="CI859">
        <v>1</v>
      </c>
      <c r="CJ859">
        <v>1</v>
      </c>
      <c r="CK859">
        <v>21</v>
      </c>
      <c r="CL859" t="s">
        <v>74</v>
      </c>
    </row>
    <row r="860" spans="1:90" x14ac:dyDescent="0.25">
      <c r="A860" t="s">
        <v>61</v>
      </c>
      <c r="B860" t="s">
        <v>62</v>
      </c>
      <c r="C860" t="s">
        <v>63</v>
      </c>
      <c r="E860" t="str">
        <f>"FES1162745470"</f>
        <v>FES1162745470</v>
      </c>
      <c r="F860" s="1">
        <v>43949</v>
      </c>
      <c r="G860">
        <v>202010</v>
      </c>
      <c r="H860" t="s">
        <v>64</v>
      </c>
      <c r="I860" t="s">
        <v>65</v>
      </c>
      <c r="J860" t="s">
        <v>66</v>
      </c>
      <c r="K860" t="s">
        <v>67</v>
      </c>
      <c r="L860" t="s">
        <v>75</v>
      </c>
      <c r="M860" t="s">
        <v>76</v>
      </c>
      <c r="N860" t="s">
        <v>493</v>
      </c>
      <c r="O860" t="s">
        <v>69</v>
      </c>
      <c r="P860" t="str">
        <f>"2170735302                    "</f>
        <v xml:space="preserve">2170735302                    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0</v>
      </c>
      <c r="AM860">
        <v>4.45</v>
      </c>
      <c r="AN860">
        <v>0</v>
      </c>
      <c r="AO860">
        <v>0</v>
      </c>
      <c r="AP860">
        <v>0</v>
      </c>
      <c r="AQ860">
        <v>0</v>
      </c>
      <c r="AR860">
        <v>0</v>
      </c>
      <c r="AS860">
        <v>0</v>
      </c>
      <c r="AT860">
        <v>0</v>
      </c>
      <c r="AU860">
        <v>0</v>
      </c>
      <c r="AV860">
        <v>0</v>
      </c>
      <c r="AW860">
        <v>0</v>
      </c>
      <c r="AX860">
        <v>0</v>
      </c>
      <c r="AY860">
        <v>0</v>
      </c>
      <c r="AZ860">
        <v>0</v>
      </c>
      <c r="BA860">
        <v>0</v>
      </c>
      <c r="BB860">
        <v>0</v>
      </c>
      <c r="BG860">
        <v>0</v>
      </c>
      <c r="BH860">
        <v>1</v>
      </c>
      <c r="BI860">
        <v>3.2</v>
      </c>
      <c r="BJ860">
        <v>3.2</v>
      </c>
      <c r="BK860">
        <v>3.5</v>
      </c>
      <c r="BL860">
        <v>48.92</v>
      </c>
      <c r="BM860">
        <v>7.34</v>
      </c>
      <c r="BN860">
        <v>56.26</v>
      </c>
      <c r="BO860">
        <v>56.26</v>
      </c>
      <c r="BQ860" t="s">
        <v>70</v>
      </c>
      <c r="BR860" t="s">
        <v>71</v>
      </c>
      <c r="BS860" s="1">
        <v>43950</v>
      </c>
      <c r="BT860" s="2">
        <v>0.33333333333333331</v>
      </c>
      <c r="BU860" t="s">
        <v>1023</v>
      </c>
      <c r="BV860" t="s">
        <v>80</v>
      </c>
      <c r="BY860">
        <v>15816.18</v>
      </c>
      <c r="BZ860" t="s">
        <v>23</v>
      </c>
      <c r="CC860" t="s">
        <v>76</v>
      </c>
      <c r="CD860">
        <v>1459</v>
      </c>
      <c r="CE860" t="s">
        <v>381</v>
      </c>
      <c r="CF860" s="1">
        <v>43951</v>
      </c>
      <c r="CI860">
        <v>1</v>
      </c>
      <c r="CJ860">
        <v>1</v>
      </c>
      <c r="CK860">
        <v>22</v>
      </c>
      <c r="CL860" t="s">
        <v>74</v>
      </c>
    </row>
    <row r="861" spans="1:90" x14ac:dyDescent="0.25">
      <c r="A861" t="s">
        <v>61</v>
      </c>
      <c r="B861" t="s">
        <v>62</v>
      </c>
      <c r="C861" t="s">
        <v>63</v>
      </c>
      <c r="E861" t="str">
        <f>"FES1162745471"</f>
        <v>FES1162745471</v>
      </c>
      <c r="F861" s="1">
        <v>43949</v>
      </c>
      <c r="G861">
        <v>202010</v>
      </c>
      <c r="H861" t="s">
        <v>64</v>
      </c>
      <c r="I861" t="s">
        <v>65</v>
      </c>
      <c r="J861" t="s">
        <v>66</v>
      </c>
      <c r="K861" t="s">
        <v>67</v>
      </c>
      <c r="L861" t="s">
        <v>270</v>
      </c>
      <c r="M861" t="s">
        <v>271</v>
      </c>
      <c r="N861" t="s">
        <v>526</v>
      </c>
      <c r="O861" t="s">
        <v>69</v>
      </c>
      <c r="P861" t="str">
        <f>"2170735699                    "</f>
        <v xml:space="preserve">2170735699                    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0</v>
      </c>
      <c r="AM861">
        <v>3.27</v>
      </c>
      <c r="AN861">
        <v>0</v>
      </c>
      <c r="AO861">
        <v>0</v>
      </c>
      <c r="AP861">
        <v>0</v>
      </c>
      <c r="AQ861">
        <v>0</v>
      </c>
      <c r="AR861">
        <v>0</v>
      </c>
      <c r="AS861">
        <v>0</v>
      </c>
      <c r="AT861">
        <v>0</v>
      </c>
      <c r="AU861">
        <v>0</v>
      </c>
      <c r="AV861">
        <v>0</v>
      </c>
      <c r="AW861">
        <v>0</v>
      </c>
      <c r="AX861">
        <v>0</v>
      </c>
      <c r="AY861">
        <v>0</v>
      </c>
      <c r="AZ861">
        <v>0</v>
      </c>
      <c r="BA861">
        <v>0</v>
      </c>
      <c r="BB861">
        <v>0</v>
      </c>
      <c r="BG861">
        <v>0</v>
      </c>
      <c r="BH861">
        <v>1</v>
      </c>
      <c r="BI861">
        <v>1</v>
      </c>
      <c r="BJ861">
        <v>0.2</v>
      </c>
      <c r="BK861">
        <v>1</v>
      </c>
      <c r="BL861">
        <v>35.979999999999997</v>
      </c>
      <c r="BM861">
        <v>5.4</v>
      </c>
      <c r="BN861">
        <v>41.38</v>
      </c>
      <c r="BO861">
        <v>41.38</v>
      </c>
      <c r="BQ861" t="s">
        <v>268</v>
      </c>
      <c r="BR861" t="s">
        <v>71</v>
      </c>
      <c r="BS861" s="1">
        <v>43950</v>
      </c>
      <c r="BT861" s="2">
        <v>0.45833333333333331</v>
      </c>
      <c r="BU861" t="s">
        <v>1022</v>
      </c>
      <c r="BV861" t="s">
        <v>74</v>
      </c>
      <c r="BW861" t="s">
        <v>85</v>
      </c>
      <c r="BX861" t="s">
        <v>979</v>
      </c>
      <c r="BY861">
        <v>1200</v>
      </c>
      <c r="BZ861" t="s">
        <v>23</v>
      </c>
      <c r="CA861" t="s">
        <v>486</v>
      </c>
      <c r="CC861" t="s">
        <v>271</v>
      </c>
      <c r="CD861">
        <v>2013</v>
      </c>
      <c r="CE861" t="s">
        <v>966</v>
      </c>
      <c r="CF861" s="1">
        <v>43951</v>
      </c>
      <c r="CI861">
        <v>1</v>
      </c>
      <c r="CJ861">
        <v>1</v>
      </c>
      <c r="CK861">
        <v>22</v>
      </c>
      <c r="CL861" t="s">
        <v>74</v>
      </c>
    </row>
    <row r="862" spans="1:90" x14ac:dyDescent="0.25">
      <c r="A862" t="s">
        <v>61</v>
      </c>
      <c r="B862" t="s">
        <v>62</v>
      </c>
      <c r="C862" t="s">
        <v>63</v>
      </c>
      <c r="E862" t="str">
        <f>"FES1162745486"</f>
        <v>FES1162745486</v>
      </c>
      <c r="F862" s="1">
        <v>43949</v>
      </c>
      <c r="G862">
        <v>202010</v>
      </c>
      <c r="H862" t="s">
        <v>64</v>
      </c>
      <c r="I862" t="s">
        <v>65</v>
      </c>
      <c r="J862" t="s">
        <v>66</v>
      </c>
      <c r="K862" t="s">
        <v>67</v>
      </c>
      <c r="L862" t="s">
        <v>99</v>
      </c>
      <c r="M862" t="s">
        <v>100</v>
      </c>
      <c r="N862" t="s">
        <v>1024</v>
      </c>
      <c r="O862" t="s">
        <v>69</v>
      </c>
      <c r="P862" t="str">
        <f>"2170736609                    "</f>
        <v xml:space="preserve">2170736609                    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0</v>
      </c>
      <c r="AM862">
        <v>19.100000000000001</v>
      </c>
      <c r="AN862">
        <v>0</v>
      </c>
      <c r="AO862">
        <v>0</v>
      </c>
      <c r="AP862">
        <v>0</v>
      </c>
      <c r="AQ862">
        <v>0</v>
      </c>
      <c r="AR862">
        <v>0</v>
      </c>
      <c r="AS862">
        <v>0</v>
      </c>
      <c r="AT862">
        <v>0</v>
      </c>
      <c r="AU862">
        <v>0</v>
      </c>
      <c r="AV862">
        <v>0</v>
      </c>
      <c r="AW862">
        <v>0</v>
      </c>
      <c r="AX862">
        <v>0</v>
      </c>
      <c r="AY862">
        <v>0</v>
      </c>
      <c r="AZ862">
        <v>0</v>
      </c>
      <c r="BA862">
        <v>0</v>
      </c>
      <c r="BB862">
        <v>0</v>
      </c>
      <c r="BG862">
        <v>0</v>
      </c>
      <c r="BH862">
        <v>1</v>
      </c>
      <c r="BI862">
        <v>2.5</v>
      </c>
      <c r="BJ862">
        <v>4.5999999999999996</v>
      </c>
      <c r="BK862">
        <v>5</v>
      </c>
      <c r="BL862">
        <v>210.14</v>
      </c>
      <c r="BM862">
        <v>31.52</v>
      </c>
      <c r="BN862">
        <v>241.66</v>
      </c>
      <c r="BO862">
        <v>241.66</v>
      </c>
      <c r="BQ862" t="s">
        <v>78</v>
      </c>
      <c r="BR862" t="s">
        <v>71</v>
      </c>
      <c r="BS862" s="1">
        <v>43951</v>
      </c>
      <c r="BT862" s="2">
        <v>0.55277777777777781</v>
      </c>
      <c r="BU862" t="s">
        <v>1025</v>
      </c>
      <c r="BV862" t="s">
        <v>80</v>
      </c>
      <c r="BY862">
        <v>23116.799999999999</v>
      </c>
      <c r="BZ862" t="s">
        <v>23</v>
      </c>
      <c r="CA862" t="s">
        <v>103</v>
      </c>
      <c r="CC862" t="s">
        <v>100</v>
      </c>
      <c r="CD862">
        <v>6850</v>
      </c>
      <c r="CE862" t="s">
        <v>381</v>
      </c>
      <c r="CI862">
        <v>3</v>
      </c>
      <c r="CJ862">
        <v>2</v>
      </c>
      <c r="CK862">
        <v>23</v>
      </c>
      <c r="CL862" t="s">
        <v>74</v>
      </c>
    </row>
    <row r="863" spans="1:90" x14ac:dyDescent="0.25">
      <c r="A863" t="s">
        <v>61</v>
      </c>
      <c r="B863" t="s">
        <v>62</v>
      </c>
      <c r="C863" t="s">
        <v>63</v>
      </c>
      <c r="E863" t="str">
        <f>"FES1162745515"</f>
        <v>FES1162745515</v>
      </c>
      <c r="F863" s="1">
        <v>43949</v>
      </c>
      <c r="G863">
        <v>202010</v>
      </c>
      <c r="H863" t="s">
        <v>64</v>
      </c>
      <c r="I863" t="s">
        <v>65</v>
      </c>
      <c r="J863" t="s">
        <v>66</v>
      </c>
      <c r="K863" t="s">
        <v>67</v>
      </c>
      <c r="L863" t="s">
        <v>64</v>
      </c>
      <c r="M863" t="s">
        <v>65</v>
      </c>
      <c r="N863" t="s">
        <v>820</v>
      </c>
      <c r="O863" t="s">
        <v>69</v>
      </c>
      <c r="P863" t="str">
        <f>"2170736654                    "</f>
        <v xml:space="preserve">2170736654                    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3.27</v>
      </c>
      <c r="AN863">
        <v>0</v>
      </c>
      <c r="AO863">
        <v>0</v>
      </c>
      <c r="AP863">
        <v>0</v>
      </c>
      <c r="AQ863">
        <v>0</v>
      </c>
      <c r="AR863">
        <v>0</v>
      </c>
      <c r="AS863">
        <v>0</v>
      </c>
      <c r="AT863">
        <v>0</v>
      </c>
      <c r="AU863">
        <v>0</v>
      </c>
      <c r="AV863">
        <v>0</v>
      </c>
      <c r="AW863">
        <v>0</v>
      </c>
      <c r="AX863">
        <v>0</v>
      </c>
      <c r="AY863">
        <v>0</v>
      </c>
      <c r="AZ863">
        <v>0</v>
      </c>
      <c r="BA863">
        <v>0</v>
      </c>
      <c r="BB863">
        <v>0</v>
      </c>
      <c r="BG863">
        <v>0</v>
      </c>
      <c r="BH863">
        <v>1</v>
      </c>
      <c r="BI863">
        <v>1</v>
      </c>
      <c r="BJ863">
        <v>0.2</v>
      </c>
      <c r="BK863">
        <v>1</v>
      </c>
      <c r="BL863">
        <v>35.979999999999997</v>
      </c>
      <c r="BM863">
        <v>5.4</v>
      </c>
      <c r="BN863">
        <v>41.38</v>
      </c>
      <c r="BO863">
        <v>41.38</v>
      </c>
      <c r="BQ863" t="s">
        <v>70</v>
      </c>
      <c r="BR863" t="s">
        <v>71</v>
      </c>
      <c r="BS863" s="1">
        <v>43950</v>
      </c>
      <c r="BT863" s="2">
        <v>0.40625</v>
      </c>
      <c r="BU863" t="s">
        <v>821</v>
      </c>
      <c r="BV863" t="s">
        <v>80</v>
      </c>
      <c r="BY863">
        <v>1200</v>
      </c>
      <c r="BZ863" t="s">
        <v>23</v>
      </c>
      <c r="CC863" t="s">
        <v>65</v>
      </c>
      <c r="CD863">
        <v>1619</v>
      </c>
      <c r="CE863" t="s">
        <v>966</v>
      </c>
      <c r="CF863" s="1">
        <v>43951</v>
      </c>
      <c r="CI863">
        <v>1</v>
      </c>
      <c r="CJ863">
        <v>1</v>
      </c>
      <c r="CK863">
        <v>22</v>
      </c>
      <c r="CL863" t="s">
        <v>74</v>
      </c>
    </row>
    <row r="864" spans="1:90" x14ac:dyDescent="0.25">
      <c r="A864" t="s">
        <v>61</v>
      </c>
      <c r="B864" t="s">
        <v>62</v>
      </c>
      <c r="C864" t="s">
        <v>63</v>
      </c>
      <c r="E864" t="str">
        <f>"FES1162745494"</f>
        <v>FES1162745494</v>
      </c>
      <c r="F864" s="1">
        <v>43949</v>
      </c>
      <c r="G864">
        <v>202010</v>
      </c>
      <c r="H864" t="s">
        <v>64</v>
      </c>
      <c r="I864" t="s">
        <v>65</v>
      </c>
      <c r="J864" t="s">
        <v>66</v>
      </c>
      <c r="K864" t="s">
        <v>67</v>
      </c>
      <c r="L864" t="s">
        <v>791</v>
      </c>
      <c r="M864" t="s">
        <v>792</v>
      </c>
      <c r="N864" t="s">
        <v>793</v>
      </c>
      <c r="O864" t="s">
        <v>69</v>
      </c>
      <c r="P864" t="str">
        <f>"2170736106                    "</f>
        <v xml:space="preserve">2170736106                    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8.11</v>
      </c>
      <c r="AN864">
        <v>0</v>
      </c>
      <c r="AO864">
        <v>0</v>
      </c>
      <c r="AP864">
        <v>0</v>
      </c>
      <c r="AQ864">
        <v>0</v>
      </c>
      <c r="AR864">
        <v>0</v>
      </c>
      <c r="AS864">
        <v>0</v>
      </c>
      <c r="AT864">
        <v>0</v>
      </c>
      <c r="AU864">
        <v>0</v>
      </c>
      <c r="AV864">
        <v>0</v>
      </c>
      <c r="AW864">
        <v>0</v>
      </c>
      <c r="AX864">
        <v>0</v>
      </c>
      <c r="AY864">
        <v>0</v>
      </c>
      <c r="AZ864">
        <v>0</v>
      </c>
      <c r="BA864">
        <v>0</v>
      </c>
      <c r="BB864">
        <v>0</v>
      </c>
      <c r="BG864">
        <v>0</v>
      </c>
      <c r="BH864">
        <v>1</v>
      </c>
      <c r="BI864">
        <v>1</v>
      </c>
      <c r="BJ864">
        <v>0.2</v>
      </c>
      <c r="BK864">
        <v>1</v>
      </c>
      <c r="BL864">
        <v>89.23</v>
      </c>
      <c r="BM864">
        <v>13.38</v>
      </c>
      <c r="BN864">
        <v>102.61</v>
      </c>
      <c r="BO864">
        <v>102.61</v>
      </c>
      <c r="BQ864" t="s">
        <v>78</v>
      </c>
      <c r="BR864" t="s">
        <v>71</v>
      </c>
      <c r="BS864" s="1">
        <v>43951</v>
      </c>
      <c r="BT864" s="2">
        <v>0.43958333333333338</v>
      </c>
      <c r="BU864" t="s">
        <v>927</v>
      </c>
      <c r="BV864" t="s">
        <v>80</v>
      </c>
      <c r="BY864">
        <v>1200</v>
      </c>
      <c r="BZ864" t="s">
        <v>23</v>
      </c>
      <c r="CA864" t="s">
        <v>795</v>
      </c>
      <c r="CC864" t="s">
        <v>792</v>
      </c>
      <c r="CD864">
        <v>7160</v>
      </c>
      <c r="CE864" t="s">
        <v>966</v>
      </c>
      <c r="CI864">
        <v>3</v>
      </c>
      <c r="CJ864">
        <v>2</v>
      </c>
      <c r="CK864">
        <v>23</v>
      </c>
      <c r="CL864" t="s">
        <v>74</v>
      </c>
    </row>
    <row r="865" spans="1:90" x14ac:dyDescent="0.25">
      <c r="A865" t="s">
        <v>61</v>
      </c>
      <c r="B865" t="s">
        <v>62</v>
      </c>
      <c r="C865" t="s">
        <v>63</v>
      </c>
      <c r="E865" t="str">
        <f>"FES1162745506"</f>
        <v>FES1162745506</v>
      </c>
      <c r="F865" s="1">
        <v>43949</v>
      </c>
      <c r="G865">
        <v>202010</v>
      </c>
      <c r="H865" t="s">
        <v>64</v>
      </c>
      <c r="I865" t="s">
        <v>65</v>
      </c>
      <c r="J865" t="s">
        <v>66</v>
      </c>
      <c r="K865" t="s">
        <v>67</v>
      </c>
      <c r="L865" t="s">
        <v>212</v>
      </c>
      <c r="M865" t="s">
        <v>213</v>
      </c>
      <c r="N865" t="s">
        <v>302</v>
      </c>
      <c r="O865" t="s">
        <v>69</v>
      </c>
      <c r="P865" t="str">
        <f>"2170736647                    "</f>
        <v xml:space="preserve">2170736647                    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13.6</v>
      </c>
      <c r="AN865">
        <v>0</v>
      </c>
      <c r="AO865">
        <v>0</v>
      </c>
      <c r="AP865">
        <v>0</v>
      </c>
      <c r="AQ865">
        <v>0</v>
      </c>
      <c r="AR865">
        <v>0</v>
      </c>
      <c r="AS865">
        <v>0</v>
      </c>
      <c r="AT865">
        <v>0</v>
      </c>
      <c r="AU865">
        <v>0</v>
      </c>
      <c r="AV865">
        <v>0</v>
      </c>
      <c r="AW865">
        <v>0</v>
      </c>
      <c r="AX865">
        <v>0</v>
      </c>
      <c r="AY865">
        <v>0</v>
      </c>
      <c r="AZ865">
        <v>0</v>
      </c>
      <c r="BA865">
        <v>0</v>
      </c>
      <c r="BB865">
        <v>0</v>
      </c>
      <c r="BG865">
        <v>0</v>
      </c>
      <c r="BH865">
        <v>1</v>
      </c>
      <c r="BI865">
        <v>6.4</v>
      </c>
      <c r="BJ865">
        <v>3.1</v>
      </c>
      <c r="BK865">
        <v>6.5</v>
      </c>
      <c r="BL865">
        <v>149.61000000000001</v>
      </c>
      <c r="BM865">
        <v>22.44</v>
      </c>
      <c r="BN865">
        <v>172.05</v>
      </c>
      <c r="BO865">
        <v>172.05</v>
      </c>
      <c r="BQ865" t="s">
        <v>78</v>
      </c>
      <c r="BR865" t="s">
        <v>71</v>
      </c>
      <c r="BS865" s="1">
        <v>43950</v>
      </c>
      <c r="BT865" s="2">
        <v>0.40625</v>
      </c>
      <c r="BU865" t="s">
        <v>303</v>
      </c>
      <c r="BV865" t="s">
        <v>80</v>
      </c>
      <c r="BY865">
        <v>15355.65</v>
      </c>
      <c r="BZ865" t="s">
        <v>23</v>
      </c>
      <c r="CA865" t="s">
        <v>711</v>
      </c>
      <c r="CC865" t="s">
        <v>213</v>
      </c>
      <c r="CD865">
        <v>3610</v>
      </c>
      <c r="CE865" t="s">
        <v>381</v>
      </c>
      <c r="CF865" s="1">
        <v>43951</v>
      </c>
      <c r="CI865">
        <v>1</v>
      </c>
      <c r="CJ865">
        <v>1</v>
      </c>
      <c r="CK865">
        <v>21</v>
      </c>
      <c r="CL865" t="s">
        <v>74</v>
      </c>
    </row>
    <row r="866" spans="1:90" x14ac:dyDescent="0.25">
      <c r="A866" t="s">
        <v>61</v>
      </c>
      <c r="B866" t="s">
        <v>62</v>
      </c>
      <c r="C866" t="s">
        <v>63</v>
      </c>
      <c r="E866" t="str">
        <f>"FES1162745469"</f>
        <v>FES1162745469</v>
      </c>
      <c r="F866" s="1">
        <v>43949</v>
      </c>
      <c r="G866">
        <v>202010</v>
      </c>
      <c r="H866" t="s">
        <v>64</v>
      </c>
      <c r="I866" t="s">
        <v>65</v>
      </c>
      <c r="J866" t="s">
        <v>66</v>
      </c>
      <c r="K866" t="s">
        <v>67</v>
      </c>
      <c r="L866" t="s">
        <v>75</v>
      </c>
      <c r="M866" t="s">
        <v>76</v>
      </c>
      <c r="N866" t="s">
        <v>493</v>
      </c>
      <c r="O866" t="s">
        <v>69</v>
      </c>
      <c r="P866" t="str">
        <f>"2170735298                    "</f>
        <v xml:space="preserve">2170735298                    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4.0599999999999996</v>
      </c>
      <c r="AN866">
        <v>0</v>
      </c>
      <c r="AO866">
        <v>0</v>
      </c>
      <c r="AP866">
        <v>0</v>
      </c>
      <c r="AQ866">
        <v>0</v>
      </c>
      <c r="AR866">
        <v>0</v>
      </c>
      <c r="AS866">
        <v>0</v>
      </c>
      <c r="AT866">
        <v>0</v>
      </c>
      <c r="AU866">
        <v>0</v>
      </c>
      <c r="AV866">
        <v>0</v>
      </c>
      <c r="AW866">
        <v>0</v>
      </c>
      <c r="AX866">
        <v>0</v>
      </c>
      <c r="AY866">
        <v>0</v>
      </c>
      <c r="AZ866">
        <v>0</v>
      </c>
      <c r="BA866">
        <v>0</v>
      </c>
      <c r="BB866">
        <v>0</v>
      </c>
      <c r="BG866">
        <v>0</v>
      </c>
      <c r="BH866">
        <v>1</v>
      </c>
      <c r="BI866">
        <v>2.7</v>
      </c>
      <c r="BJ866">
        <v>1.1000000000000001</v>
      </c>
      <c r="BK866">
        <v>3</v>
      </c>
      <c r="BL866">
        <v>44.61</v>
      </c>
      <c r="BM866">
        <v>6.69</v>
      </c>
      <c r="BN866">
        <v>51.3</v>
      </c>
      <c r="BO866">
        <v>51.3</v>
      </c>
      <c r="BQ866" t="s">
        <v>70</v>
      </c>
      <c r="BR866" t="s">
        <v>71</v>
      </c>
      <c r="BS866" s="1">
        <v>43950</v>
      </c>
      <c r="BT866" s="2">
        <v>0.33333333333333331</v>
      </c>
      <c r="BU866" t="s">
        <v>1026</v>
      </c>
      <c r="BV866" t="s">
        <v>80</v>
      </c>
      <c r="BY866">
        <v>5373.54</v>
      </c>
      <c r="BZ866" t="s">
        <v>23</v>
      </c>
      <c r="CC866" t="s">
        <v>76</v>
      </c>
      <c r="CD866">
        <v>1459</v>
      </c>
      <c r="CE866" t="s">
        <v>381</v>
      </c>
      <c r="CF866" s="1">
        <v>43951</v>
      </c>
      <c r="CI866">
        <v>1</v>
      </c>
      <c r="CJ866">
        <v>1</v>
      </c>
      <c r="CK866">
        <v>22</v>
      </c>
      <c r="CL866" t="s">
        <v>74</v>
      </c>
    </row>
    <row r="867" spans="1:90" x14ac:dyDescent="0.25">
      <c r="A867" t="s">
        <v>61</v>
      </c>
      <c r="B867" t="s">
        <v>62</v>
      </c>
      <c r="C867" t="s">
        <v>63</v>
      </c>
      <c r="E867" t="str">
        <f>"FES1162745496"</f>
        <v>FES1162745496</v>
      </c>
      <c r="F867" s="1">
        <v>43949</v>
      </c>
      <c r="G867">
        <v>202010</v>
      </c>
      <c r="H867" t="s">
        <v>64</v>
      </c>
      <c r="I867" t="s">
        <v>65</v>
      </c>
      <c r="J867" t="s">
        <v>66</v>
      </c>
      <c r="K867" t="s">
        <v>67</v>
      </c>
      <c r="L867" t="s">
        <v>92</v>
      </c>
      <c r="M867" t="s">
        <v>93</v>
      </c>
      <c r="N867" t="s">
        <v>94</v>
      </c>
      <c r="O867" t="s">
        <v>69</v>
      </c>
      <c r="P867" t="str">
        <f>"2170736639                    "</f>
        <v xml:space="preserve">2170736639                    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4.1900000000000004</v>
      </c>
      <c r="AN867">
        <v>0</v>
      </c>
      <c r="AO867">
        <v>0</v>
      </c>
      <c r="AP867">
        <v>0</v>
      </c>
      <c r="AQ867">
        <v>0</v>
      </c>
      <c r="AR867">
        <v>0</v>
      </c>
      <c r="AS867">
        <v>0</v>
      </c>
      <c r="AT867">
        <v>0</v>
      </c>
      <c r="AU867">
        <v>0</v>
      </c>
      <c r="AV867">
        <v>0</v>
      </c>
      <c r="AW867">
        <v>0</v>
      </c>
      <c r="AX867">
        <v>0</v>
      </c>
      <c r="AY867">
        <v>0</v>
      </c>
      <c r="AZ867">
        <v>0</v>
      </c>
      <c r="BA867">
        <v>0</v>
      </c>
      <c r="BB867">
        <v>0</v>
      </c>
      <c r="BG867">
        <v>0</v>
      </c>
      <c r="BH867">
        <v>1</v>
      </c>
      <c r="BI867">
        <v>1</v>
      </c>
      <c r="BJ867">
        <v>0.2</v>
      </c>
      <c r="BK867">
        <v>1</v>
      </c>
      <c r="BL867">
        <v>46.06</v>
      </c>
      <c r="BM867">
        <v>6.91</v>
      </c>
      <c r="BN867">
        <v>52.97</v>
      </c>
      <c r="BO867">
        <v>52.97</v>
      </c>
      <c r="BQ867" t="s">
        <v>70</v>
      </c>
      <c r="BR867" t="s">
        <v>71</v>
      </c>
      <c r="BS867" s="1">
        <v>43950</v>
      </c>
      <c r="BT867" s="2">
        <v>0.39166666666666666</v>
      </c>
      <c r="BU867" t="s">
        <v>1021</v>
      </c>
      <c r="BV867" t="s">
        <v>80</v>
      </c>
      <c r="BY867">
        <v>1200</v>
      </c>
      <c r="BZ867" t="s">
        <v>23</v>
      </c>
      <c r="CA867" t="s">
        <v>98</v>
      </c>
      <c r="CC867" t="s">
        <v>93</v>
      </c>
      <c r="CD867">
        <v>7441</v>
      </c>
      <c r="CE867" t="s">
        <v>966</v>
      </c>
      <c r="CF867" s="1">
        <v>43951</v>
      </c>
      <c r="CI867">
        <v>1</v>
      </c>
      <c r="CJ867">
        <v>1</v>
      </c>
      <c r="CK867">
        <v>21</v>
      </c>
      <c r="CL867" t="s">
        <v>74</v>
      </c>
    </row>
    <row r="868" spans="1:90" x14ac:dyDescent="0.25">
      <c r="A868" t="s">
        <v>61</v>
      </c>
      <c r="B868" t="s">
        <v>62</v>
      </c>
      <c r="C868" t="s">
        <v>63</v>
      </c>
      <c r="E868" t="str">
        <f>"FES1162745513"</f>
        <v>FES1162745513</v>
      </c>
      <c r="F868" s="1">
        <v>43949</v>
      </c>
      <c r="G868">
        <v>202010</v>
      </c>
      <c r="H868" t="s">
        <v>64</v>
      </c>
      <c r="I868" t="s">
        <v>65</v>
      </c>
      <c r="J868" t="s">
        <v>66</v>
      </c>
      <c r="K868" t="s">
        <v>67</v>
      </c>
      <c r="L868" t="s">
        <v>92</v>
      </c>
      <c r="M868" t="s">
        <v>93</v>
      </c>
      <c r="N868" t="s">
        <v>475</v>
      </c>
      <c r="O868" t="s">
        <v>69</v>
      </c>
      <c r="P868" t="str">
        <f>"2170736653                    "</f>
        <v xml:space="preserve">2170736653                    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4.1900000000000004</v>
      </c>
      <c r="AN868">
        <v>0</v>
      </c>
      <c r="AO868">
        <v>0</v>
      </c>
      <c r="AP868">
        <v>0</v>
      </c>
      <c r="AQ868">
        <v>0</v>
      </c>
      <c r="AR868">
        <v>0</v>
      </c>
      <c r="AS868">
        <v>0</v>
      </c>
      <c r="AT868">
        <v>0</v>
      </c>
      <c r="AU868">
        <v>0</v>
      </c>
      <c r="AV868">
        <v>0</v>
      </c>
      <c r="AW868">
        <v>0</v>
      </c>
      <c r="AX868">
        <v>0</v>
      </c>
      <c r="AY868">
        <v>0</v>
      </c>
      <c r="AZ868">
        <v>0</v>
      </c>
      <c r="BA868">
        <v>0</v>
      </c>
      <c r="BB868">
        <v>0</v>
      </c>
      <c r="BG868">
        <v>0</v>
      </c>
      <c r="BH868">
        <v>1</v>
      </c>
      <c r="BI868">
        <v>1</v>
      </c>
      <c r="BJ868">
        <v>0.2</v>
      </c>
      <c r="BK868">
        <v>1</v>
      </c>
      <c r="BL868">
        <v>46.06</v>
      </c>
      <c r="BM868">
        <v>6.91</v>
      </c>
      <c r="BN868">
        <v>52.97</v>
      </c>
      <c r="BO868">
        <v>52.97</v>
      </c>
      <c r="BQ868" t="s">
        <v>268</v>
      </c>
      <c r="BR868" t="s">
        <v>71</v>
      </c>
      <c r="BS868" s="1">
        <v>43950</v>
      </c>
      <c r="BT868" s="2">
        <v>0.43472222222222223</v>
      </c>
      <c r="BU868" t="s">
        <v>476</v>
      </c>
      <c r="BV868" t="s">
        <v>80</v>
      </c>
      <c r="BY868">
        <v>1200</v>
      </c>
      <c r="BZ868" t="s">
        <v>23</v>
      </c>
      <c r="CA868" t="s">
        <v>331</v>
      </c>
      <c r="CC868" t="s">
        <v>93</v>
      </c>
      <c r="CD868">
        <v>7441</v>
      </c>
      <c r="CE868" t="s">
        <v>966</v>
      </c>
      <c r="CF868" s="1">
        <v>43951</v>
      </c>
      <c r="CI868">
        <v>1</v>
      </c>
      <c r="CJ868">
        <v>1</v>
      </c>
      <c r="CK868">
        <v>21</v>
      </c>
      <c r="CL868" t="s">
        <v>74</v>
      </c>
    </row>
    <row r="869" spans="1:90" x14ac:dyDescent="0.25">
      <c r="A869" t="s">
        <v>61</v>
      </c>
      <c r="B869" t="s">
        <v>62</v>
      </c>
      <c r="C869" t="s">
        <v>63</v>
      </c>
      <c r="E869" t="str">
        <f>"FES1162745490"</f>
        <v>FES1162745490</v>
      </c>
      <c r="F869" s="1">
        <v>43949</v>
      </c>
      <c r="G869">
        <v>202010</v>
      </c>
      <c r="H869" t="s">
        <v>64</v>
      </c>
      <c r="I869" t="s">
        <v>65</v>
      </c>
      <c r="J869" t="s">
        <v>66</v>
      </c>
      <c r="K869" t="s">
        <v>67</v>
      </c>
      <c r="L869" t="s">
        <v>151</v>
      </c>
      <c r="M869" t="s">
        <v>152</v>
      </c>
      <c r="N869" t="s">
        <v>823</v>
      </c>
      <c r="O869" t="s">
        <v>69</v>
      </c>
      <c r="P869" t="str">
        <f>"2170736632                    "</f>
        <v xml:space="preserve">2170736632                    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4.1900000000000004</v>
      </c>
      <c r="AN869">
        <v>0</v>
      </c>
      <c r="AO869">
        <v>0</v>
      </c>
      <c r="AP869">
        <v>0</v>
      </c>
      <c r="AQ869">
        <v>0</v>
      </c>
      <c r="AR869">
        <v>0</v>
      </c>
      <c r="AS869">
        <v>0</v>
      </c>
      <c r="AT869">
        <v>0</v>
      </c>
      <c r="AU869">
        <v>0</v>
      </c>
      <c r="AV869">
        <v>0</v>
      </c>
      <c r="AW869">
        <v>0</v>
      </c>
      <c r="AX869">
        <v>0</v>
      </c>
      <c r="AY869">
        <v>0</v>
      </c>
      <c r="AZ869">
        <v>0</v>
      </c>
      <c r="BA869">
        <v>0</v>
      </c>
      <c r="BB869">
        <v>0</v>
      </c>
      <c r="BG869">
        <v>0</v>
      </c>
      <c r="BH869">
        <v>1</v>
      </c>
      <c r="BI869">
        <v>1</v>
      </c>
      <c r="BJ869">
        <v>0.2</v>
      </c>
      <c r="BK869">
        <v>1</v>
      </c>
      <c r="BL869">
        <v>46.06</v>
      </c>
      <c r="BM869">
        <v>6.91</v>
      </c>
      <c r="BN869">
        <v>52.97</v>
      </c>
      <c r="BO869">
        <v>52.97</v>
      </c>
      <c r="BQ869" t="s">
        <v>78</v>
      </c>
      <c r="BR869" t="s">
        <v>71</v>
      </c>
      <c r="BS869" s="1">
        <v>43950</v>
      </c>
      <c r="BT869" s="2">
        <v>0.5</v>
      </c>
      <c r="BU869" t="s">
        <v>824</v>
      </c>
      <c r="BV869" t="s">
        <v>80</v>
      </c>
      <c r="BY869">
        <v>1200</v>
      </c>
      <c r="BZ869" t="s">
        <v>23</v>
      </c>
      <c r="CC869" t="s">
        <v>152</v>
      </c>
      <c r="CD869">
        <v>3201</v>
      </c>
      <c r="CE869" t="s">
        <v>966</v>
      </c>
      <c r="CF869" s="1">
        <v>43951</v>
      </c>
      <c r="CI869">
        <v>1</v>
      </c>
      <c r="CJ869">
        <v>1</v>
      </c>
      <c r="CK869">
        <v>21</v>
      </c>
      <c r="CL869" t="s">
        <v>74</v>
      </c>
    </row>
    <row r="870" spans="1:90" x14ac:dyDescent="0.25">
      <c r="A870" t="s">
        <v>61</v>
      </c>
      <c r="B870" t="s">
        <v>62</v>
      </c>
      <c r="C870" t="s">
        <v>63</v>
      </c>
      <c r="E870" t="str">
        <f>"FES1162744884"</f>
        <v>FES1162744884</v>
      </c>
      <c r="F870" s="1">
        <v>43949</v>
      </c>
      <c r="G870">
        <v>202010</v>
      </c>
      <c r="H870" t="s">
        <v>64</v>
      </c>
      <c r="I870" t="s">
        <v>65</v>
      </c>
      <c r="J870" t="s">
        <v>66</v>
      </c>
      <c r="K870" t="s">
        <v>67</v>
      </c>
      <c r="L870" t="s">
        <v>238</v>
      </c>
      <c r="M870" t="s">
        <v>239</v>
      </c>
      <c r="N870" t="s">
        <v>388</v>
      </c>
      <c r="O870" t="s">
        <v>69</v>
      </c>
      <c r="P870" t="str">
        <f>"2170730453                    "</f>
        <v xml:space="preserve">2170730453                    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4.1900000000000004</v>
      </c>
      <c r="AN870">
        <v>0</v>
      </c>
      <c r="AO870">
        <v>0</v>
      </c>
      <c r="AP870">
        <v>0</v>
      </c>
      <c r="AQ870">
        <v>0</v>
      </c>
      <c r="AR870">
        <v>0</v>
      </c>
      <c r="AS870">
        <v>0</v>
      </c>
      <c r="AT870">
        <v>0</v>
      </c>
      <c r="AU870">
        <v>0</v>
      </c>
      <c r="AV870">
        <v>0</v>
      </c>
      <c r="AW870">
        <v>0</v>
      </c>
      <c r="AX870">
        <v>0</v>
      </c>
      <c r="AY870">
        <v>0</v>
      </c>
      <c r="AZ870">
        <v>0</v>
      </c>
      <c r="BA870">
        <v>0</v>
      </c>
      <c r="BB870">
        <v>0</v>
      </c>
      <c r="BG870">
        <v>0</v>
      </c>
      <c r="BH870">
        <v>1</v>
      </c>
      <c r="BI870">
        <v>1</v>
      </c>
      <c r="BJ870">
        <v>0.2</v>
      </c>
      <c r="BK870">
        <v>1</v>
      </c>
      <c r="BL870">
        <v>46.06</v>
      </c>
      <c r="BM870">
        <v>6.91</v>
      </c>
      <c r="BN870">
        <v>52.97</v>
      </c>
      <c r="BO870">
        <v>52.97</v>
      </c>
      <c r="BQ870" t="s">
        <v>78</v>
      </c>
      <c r="BR870" t="s">
        <v>71</v>
      </c>
      <c r="BS870" s="1">
        <v>43950</v>
      </c>
      <c r="BT870" s="2">
        <v>0.43124999999999997</v>
      </c>
      <c r="BU870" t="s">
        <v>624</v>
      </c>
      <c r="BV870" t="s">
        <v>80</v>
      </c>
      <c r="BY870">
        <v>1200</v>
      </c>
      <c r="BZ870" t="s">
        <v>23</v>
      </c>
      <c r="CA870" t="s">
        <v>242</v>
      </c>
      <c r="CC870" t="s">
        <v>239</v>
      </c>
      <c r="CD870">
        <v>5201</v>
      </c>
      <c r="CE870" t="s">
        <v>966</v>
      </c>
      <c r="CI870">
        <v>1</v>
      </c>
      <c r="CJ870">
        <v>1</v>
      </c>
      <c r="CK870">
        <v>21</v>
      </c>
      <c r="CL870" t="s">
        <v>74</v>
      </c>
    </row>
    <row r="871" spans="1:90" x14ac:dyDescent="0.25">
      <c r="A871" t="s">
        <v>61</v>
      </c>
      <c r="B871" t="s">
        <v>62</v>
      </c>
      <c r="C871" t="s">
        <v>63</v>
      </c>
      <c r="E871" t="str">
        <f>"FES1162745488"</f>
        <v>FES1162745488</v>
      </c>
      <c r="F871" s="1">
        <v>43949</v>
      </c>
      <c r="G871">
        <v>202010</v>
      </c>
      <c r="H871" t="s">
        <v>64</v>
      </c>
      <c r="I871" t="s">
        <v>65</v>
      </c>
      <c r="J871" t="s">
        <v>66</v>
      </c>
      <c r="K871" t="s">
        <v>67</v>
      </c>
      <c r="L871" t="s">
        <v>199</v>
      </c>
      <c r="M871" t="s">
        <v>200</v>
      </c>
      <c r="N871" t="s">
        <v>501</v>
      </c>
      <c r="O871" t="s">
        <v>69</v>
      </c>
      <c r="P871" t="str">
        <f>"2170736625                    "</f>
        <v xml:space="preserve">2170736625                    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0</v>
      </c>
      <c r="AM871">
        <v>3.27</v>
      </c>
      <c r="AN871">
        <v>0</v>
      </c>
      <c r="AO871">
        <v>0</v>
      </c>
      <c r="AP871">
        <v>0</v>
      </c>
      <c r="AQ871">
        <v>0</v>
      </c>
      <c r="AR871">
        <v>0</v>
      </c>
      <c r="AS871">
        <v>0</v>
      </c>
      <c r="AT871">
        <v>0</v>
      </c>
      <c r="AU871">
        <v>0</v>
      </c>
      <c r="AV871">
        <v>0</v>
      </c>
      <c r="AW871">
        <v>0</v>
      </c>
      <c r="AX871">
        <v>0</v>
      </c>
      <c r="AY871">
        <v>0</v>
      </c>
      <c r="AZ871">
        <v>0</v>
      </c>
      <c r="BA871">
        <v>0</v>
      </c>
      <c r="BB871">
        <v>0</v>
      </c>
      <c r="BG871">
        <v>0</v>
      </c>
      <c r="BH871">
        <v>1</v>
      </c>
      <c r="BI871">
        <v>1</v>
      </c>
      <c r="BJ871">
        <v>0.2</v>
      </c>
      <c r="BK871">
        <v>1</v>
      </c>
      <c r="BL871">
        <v>35.979999999999997</v>
      </c>
      <c r="BM871">
        <v>5.4</v>
      </c>
      <c r="BN871">
        <v>41.38</v>
      </c>
      <c r="BO871">
        <v>41.38</v>
      </c>
      <c r="BQ871" t="s">
        <v>70</v>
      </c>
      <c r="BR871" t="s">
        <v>71</v>
      </c>
      <c r="BS871" s="1">
        <v>43950</v>
      </c>
      <c r="BT871" s="2">
        <v>0.35416666666666669</v>
      </c>
      <c r="BU871" t="s">
        <v>665</v>
      </c>
      <c r="BV871" t="s">
        <v>80</v>
      </c>
      <c r="BY871">
        <v>1200</v>
      </c>
      <c r="BZ871" t="s">
        <v>23</v>
      </c>
      <c r="CA871" t="s">
        <v>437</v>
      </c>
      <c r="CC871" t="s">
        <v>200</v>
      </c>
      <c r="CD871">
        <v>1559</v>
      </c>
      <c r="CE871" t="s">
        <v>966</v>
      </c>
      <c r="CF871" s="1">
        <v>43951</v>
      </c>
      <c r="CI871">
        <v>1</v>
      </c>
      <c r="CJ871">
        <v>1</v>
      </c>
      <c r="CK871">
        <v>22</v>
      </c>
      <c r="CL871" t="s">
        <v>74</v>
      </c>
    </row>
    <row r="872" spans="1:90" x14ac:dyDescent="0.25">
      <c r="A872" t="s">
        <v>61</v>
      </c>
      <c r="B872" t="s">
        <v>62</v>
      </c>
      <c r="C872" t="s">
        <v>63</v>
      </c>
      <c r="E872" t="str">
        <f>"FES1162745485"</f>
        <v>FES1162745485</v>
      </c>
      <c r="F872" s="1">
        <v>43949</v>
      </c>
      <c r="G872">
        <v>202010</v>
      </c>
      <c r="H872" t="s">
        <v>64</v>
      </c>
      <c r="I872" t="s">
        <v>65</v>
      </c>
      <c r="J872" t="s">
        <v>66</v>
      </c>
      <c r="K872" t="s">
        <v>67</v>
      </c>
      <c r="L872" t="s">
        <v>116</v>
      </c>
      <c r="M872" t="s">
        <v>117</v>
      </c>
      <c r="N872" t="s">
        <v>1019</v>
      </c>
      <c r="O872" t="s">
        <v>69</v>
      </c>
      <c r="P872" t="str">
        <f>"2170736459                    "</f>
        <v xml:space="preserve">2170736459                    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17.27</v>
      </c>
      <c r="AN872">
        <v>0</v>
      </c>
      <c r="AO872">
        <v>0</v>
      </c>
      <c r="AP872">
        <v>0</v>
      </c>
      <c r="AQ872">
        <v>0</v>
      </c>
      <c r="AR872">
        <v>0</v>
      </c>
      <c r="AS872">
        <v>0</v>
      </c>
      <c r="AT872">
        <v>0</v>
      </c>
      <c r="AU872">
        <v>0</v>
      </c>
      <c r="AV872">
        <v>0</v>
      </c>
      <c r="AW872">
        <v>0</v>
      </c>
      <c r="AX872">
        <v>0</v>
      </c>
      <c r="AY872">
        <v>0</v>
      </c>
      <c r="AZ872">
        <v>0</v>
      </c>
      <c r="BA872">
        <v>0</v>
      </c>
      <c r="BB872">
        <v>0</v>
      </c>
      <c r="BG872">
        <v>0</v>
      </c>
      <c r="BH872">
        <v>1</v>
      </c>
      <c r="BI872">
        <v>4.0999999999999996</v>
      </c>
      <c r="BJ872">
        <v>1.6</v>
      </c>
      <c r="BK872">
        <v>4.5</v>
      </c>
      <c r="BL872">
        <v>189.99</v>
      </c>
      <c r="BM872">
        <v>28.5</v>
      </c>
      <c r="BN872">
        <v>218.49</v>
      </c>
      <c r="BO872">
        <v>218.49</v>
      </c>
      <c r="BQ872" t="s">
        <v>78</v>
      </c>
      <c r="BR872" t="s">
        <v>71</v>
      </c>
      <c r="BS872" s="1">
        <v>43950</v>
      </c>
      <c r="BT872" s="2">
        <v>0.41666666666666669</v>
      </c>
      <c r="BU872" t="s">
        <v>1027</v>
      </c>
      <c r="BV872" t="s">
        <v>80</v>
      </c>
      <c r="BY872">
        <v>7806.37</v>
      </c>
      <c r="BZ872" t="s">
        <v>23</v>
      </c>
      <c r="CA872" t="s">
        <v>183</v>
      </c>
      <c r="CC872" t="s">
        <v>117</v>
      </c>
      <c r="CD872">
        <v>7300</v>
      </c>
      <c r="CE872" t="s">
        <v>381</v>
      </c>
      <c r="CF872" s="1">
        <v>43951</v>
      </c>
      <c r="CI872">
        <v>1</v>
      </c>
      <c r="CJ872">
        <v>1</v>
      </c>
      <c r="CK872">
        <v>23</v>
      </c>
      <c r="CL872" t="s">
        <v>74</v>
      </c>
    </row>
    <row r="873" spans="1:90" x14ac:dyDescent="0.25">
      <c r="A873" t="s">
        <v>61</v>
      </c>
      <c r="B873" t="s">
        <v>62</v>
      </c>
      <c r="C873" t="s">
        <v>63</v>
      </c>
      <c r="E873" t="str">
        <f>"FES1162745492"</f>
        <v>FES1162745492</v>
      </c>
      <c r="F873" s="1">
        <v>43949</v>
      </c>
      <c r="G873">
        <v>202010</v>
      </c>
      <c r="H873" t="s">
        <v>64</v>
      </c>
      <c r="I873" t="s">
        <v>65</v>
      </c>
      <c r="J873" t="s">
        <v>66</v>
      </c>
      <c r="K873" t="s">
        <v>67</v>
      </c>
      <c r="L873" t="s">
        <v>116</v>
      </c>
      <c r="M873" t="s">
        <v>117</v>
      </c>
      <c r="N873" t="s">
        <v>1019</v>
      </c>
      <c r="O873" t="s">
        <v>69</v>
      </c>
      <c r="P873" t="str">
        <f>"2170736635                    "</f>
        <v xml:space="preserve">2170736635                    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30.1</v>
      </c>
      <c r="AN873">
        <v>0</v>
      </c>
      <c r="AO873">
        <v>0</v>
      </c>
      <c r="AP873">
        <v>0</v>
      </c>
      <c r="AQ873">
        <v>0</v>
      </c>
      <c r="AR873">
        <v>0</v>
      </c>
      <c r="AS873">
        <v>0</v>
      </c>
      <c r="AT873">
        <v>0</v>
      </c>
      <c r="AU873">
        <v>0</v>
      </c>
      <c r="AV873">
        <v>0</v>
      </c>
      <c r="AW873">
        <v>0</v>
      </c>
      <c r="AX873">
        <v>0</v>
      </c>
      <c r="AY873">
        <v>0</v>
      </c>
      <c r="AZ873">
        <v>0</v>
      </c>
      <c r="BA873">
        <v>0</v>
      </c>
      <c r="BB873">
        <v>0</v>
      </c>
      <c r="BG873">
        <v>0</v>
      </c>
      <c r="BH873">
        <v>1</v>
      </c>
      <c r="BI873">
        <v>5.2</v>
      </c>
      <c r="BJ873">
        <v>8</v>
      </c>
      <c r="BK873">
        <v>8</v>
      </c>
      <c r="BL873">
        <v>331.06</v>
      </c>
      <c r="BM873">
        <v>49.66</v>
      </c>
      <c r="BN873">
        <v>380.72</v>
      </c>
      <c r="BO873">
        <v>380.72</v>
      </c>
      <c r="BQ873" t="s">
        <v>78</v>
      </c>
      <c r="BR873" t="s">
        <v>71</v>
      </c>
      <c r="BS873" s="1">
        <v>43950</v>
      </c>
      <c r="BT873" s="2">
        <v>0.41666666666666669</v>
      </c>
      <c r="BU873" t="s">
        <v>1027</v>
      </c>
      <c r="BV873" t="s">
        <v>80</v>
      </c>
      <c r="BY873">
        <v>39966.61</v>
      </c>
      <c r="BZ873" t="s">
        <v>23</v>
      </c>
      <c r="CA873" t="s">
        <v>183</v>
      </c>
      <c r="CC873" t="s">
        <v>117</v>
      </c>
      <c r="CD873">
        <v>7300</v>
      </c>
      <c r="CE873" t="s">
        <v>381</v>
      </c>
      <c r="CF873" s="1">
        <v>43951</v>
      </c>
      <c r="CI873">
        <v>1</v>
      </c>
      <c r="CJ873">
        <v>1</v>
      </c>
      <c r="CK873">
        <v>23</v>
      </c>
      <c r="CL873" t="s">
        <v>74</v>
      </c>
    </row>
    <row r="874" spans="1:90" x14ac:dyDescent="0.25">
      <c r="A874" t="s">
        <v>61</v>
      </c>
      <c r="B874" t="s">
        <v>62</v>
      </c>
      <c r="C874" t="s">
        <v>63</v>
      </c>
      <c r="E874" t="str">
        <f>"FES1162745491"</f>
        <v>FES1162745491</v>
      </c>
      <c r="F874" s="1">
        <v>43949</v>
      </c>
      <c r="G874">
        <v>202010</v>
      </c>
      <c r="H874" t="s">
        <v>64</v>
      </c>
      <c r="I874" t="s">
        <v>65</v>
      </c>
      <c r="J874" t="s">
        <v>66</v>
      </c>
      <c r="K874" t="s">
        <v>67</v>
      </c>
      <c r="L874" t="s">
        <v>116</v>
      </c>
      <c r="M874" t="s">
        <v>117</v>
      </c>
      <c r="N874" t="s">
        <v>1019</v>
      </c>
      <c r="O874" t="s">
        <v>69</v>
      </c>
      <c r="P874" t="str">
        <f>"2170736634                    "</f>
        <v xml:space="preserve">2170736634                    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8.11</v>
      </c>
      <c r="AN874">
        <v>0</v>
      </c>
      <c r="AO874">
        <v>0</v>
      </c>
      <c r="AP874">
        <v>0</v>
      </c>
      <c r="AQ874">
        <v>0</v>
      </c>
      <c r="AR874">
        <v>0</v>
      </c>
      <c r="AS874">
        <v>0</v>
      </c>
      <c r="AT874">
        <v>0</v>
      </c>
      <c r="AU874">
        <v>0</v>
      </c>
      <c r="AV874">
        <v>0</v>
      </c>
      <c r="AW874">
        <v>0</v>
      </c>
      <c r="AX874">
        <v>0</v>
      </c>
      <c r="AY874">
        <v>0</v>
      </c>
      <c r="AZ874">
        <v>0</v>
      </c>
      <c r="BA874">
        <v>0</v>
      </c>
      <c r="BB874">
        <v>0</v>
      </c>
      <c r="BG874">
        <v>0</v>
      </c>
      <c r="BH874">
        <v>1</v>
      </c>
      <c r="BI874">
        <v>1</v>
      </c>
      <c r="BJ874">
        <v>0.2</v>
      </c>
      <c r="BK874">
        <v>1</v>
      </c>
      <c r="BL874">
        <v>89.23</v>
      </c>
      <c r="BM874">
        <v>13.38</v>
      </c>
      <c r="BN874">
        <v>102.61</v>
      </c>
      <c r="BO874">
        <v>102.61</v>
      </c>
      <c r="BQ874" t="s">
        <v>78</v>
      </c>
      <c r="BR874" t="s">
        <v>71</v>
      </c>
      <c r="BS874" s="1">
        <v>43950</v>
      </c>
      <c r="BT874" s="2">
        <v>0.41666666666666669</v>
      </c>
      <c r="BU874" t="s">
        <v>1027</v>
      </c>
      <c r="BV874" t="s">
        <v>80</v>
      </c>
      <c r="BY874">
        <v>1200</v>
      </c>
      <c r="BZ874" t="s">
        <v>23</v>
      </c>
      <c r="CA874" t="s">
        <v>183</v>
      </c>
      <c r="CC874" t="s">
        <v>117</v>
      </c>
      <c r="CD874">
        <v>7300</v>
      </c>
      <c r="CE874" t="s">
        <v>966</v>
      </c>
      <c r="CF874" s="1">
        <v>43951</v>
      </c>
      <c r="CI874">
        <v>1</v>
      </c>
      <c r="CJ874">
        <v>1</v>
      </c>
      <c r="CK874">
        <v>23</v>
      </c>
      <c r="CL874" t="s">
        <v>74</v>
      </c>
    </row>
    <row r="875" spans="1:90" x14ac:dyDescent="0.25">
      <c r="A875" t="s">
        <v>61</v>
      </c>
      <c r="B875" t="s">
        <v>62</v>
      </c>
      <c r="C875" t="s">
        <v>63</v>
      </c>
      <c r="E875" t="str">
        <f>"FES1162744668"</f>
        <v>FES1162744668</v>
      </c>
      <c r="F875" s="1">
        <v>43949</v>
      </c>
      <c r="G875">
        <v>202010</v>
      </c>
      <c r="H875" t="s">
        <v>64</v>
      </c>
      <c r="I875" t="s">
        <v>65</v>
      </c>
      <c r="J875" t="s">
        <v>66</v>
      </c>
      <c r="K875" t="s">
        <v>67</v>
      </c>
      <c r="L875" t="s">
        <v>238</v>
      </c>
      <c r="M875" t="s">
        <v>239</v>
      </c>
      <c r="N875" t="s">
        <v>388</v>
      </c>
      <c r="O875" t="s">
        <v>69</v>
      </c>
      <c r="P875" t="str">
        <f>"2170733990                    "</f>
        <v xml:space="preserve">2170733990                    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4.1900000000000004</v>
      </c>
      <c r="AN875">
        <v>0</v>
      </c>
      <c r="AO875">
        <v>0</v>
      </c>
      <c r="AP875">
        <v>0</v>
      </c>
      <c r="AQ875">
        <v>0</v>
      </c>
      <c r="AR875">
        <v>0</v>
      </c>
      <c r="AS875">
        <v>0</v>
      </c>
      <c r="AT875">
        <v>0</v>
      </c>
      <c r="AU875">
        <v>0</v>
      </c>
      <c r="AV875">
        <v>0</v>
      </c>
      <c r="AW875">
        <v>0</v>
      </c>
      <c r="AX875">
        <v>0</v>
      </c>
      <c r="AY875">
        <v>0</v>
      </c>
      <c r="AZ875">
        <v>0</v>
      </c>
      <c r="BA875">
        <v>0</v>
      </c>
      <c r="BB875">
        <v>0</v>
      </c>
      <c r="BG875">
        <v>0</v>
      </c>
      <c r="BH875">
        <v>1</v>
      </c>
      <c r="BI875">
        <v>1</v>
      </c>
      <c r="BJ875">
        <v>0.2</v>
      </c>
      <c r="BK875">
        <v>1</v>
      </c>
      <c r="BL875">
        <v>46.06</v>
      </c>
      <c r="BM875">
        <v>6.91</v>
      </c>
      <c r="BN875">
        <v>52.97</v>
      </c>
      <c r="BO875">
        <v>52.97</v>
      </c>
      <c r="BQ875" t="s">
        <v>78</v>
      </c>
      <c r="BR875" t="s">
        <v>71</v>
      </c>
      <c r="BS875" s="1">
        <v>43950</v>
      </c>
      <c r="BT875" s="2">
        <v>0.43194444444444446</v>
      </c>
      <c r="BU875" t="s">
        <v>624</v>
      </c>
      <c r="BV875" t="s">
        <v>80</v>
      </c>
      <c r="BY875">
        <v>1200</v>
      </c>
      <c r="BZ875" t="s">
        <v>23</v>
      </c>
      <c r="CA875" t="s">
        <v>242</v>
      </c>
      <c r="CC875" t="s">
        <v>239</v>
      </c>
      <c r="CD875">
        <v>5201</v>
      </c>
      <c r="CE875" t="s">
        <v>966</v>
      </c>
      <c r="CI875">
        <v>1</v>
      </c>
      <c r="CJ875">
        <v>1</v>
      </c>
      <c r="CK875">
        <v>21</v>
      </c>
      <c r="CL875" t="s">
        <v>74</v>
      </c>
    </row>
    <row r="876" spans="1:90" x14ac:dyDescent="0.25">
      <c r="A876" t="s">
        <v>61</v>
      </c>
      <c r="B876" t="s">
        <v>62</v>
      </c>
      <c r="C876" t="s">
        <v>63</v>
      </c>
      <c r="E876" t="str">
        <f>"FES1162744666"</f>
        <v>FES1162744666</v>
      </c>
      <c r="F876" s="1">
        <v>43949</v>
      </c>
      <c r="G876">
        <v>202010</v>
      </c>
      <c r="H876" t="s">
        <v>64</v>
      </c>
      <c r="I876" t="s">
        <v>65</v>
      </c>
      <c r="J876" t="s">
        <v>66</v>
      </c>
      <c r="K876" t="s">
        <v>67</v>
      </c>
      <c r="L876" t="s">
        <v>238</v>
      </c>
      <c r="M876" t="s">
        <v>239</v>
      </c>
      <c r="N876" t="s">
        <v>388</v>
      </c>
      <c r="O876" t="s">
        <v>69</v>
      </c>
      <c r="P876" t="str">
        <f>"2170733441                    "</f>
        <v xml:space="preserve">2170733441                    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0</v>
      </c>
      <c r="AM876">
        <v>4.1900000000000004</v>
      </c>
      <c r="AN876">
        <v>0</v>
      </c>
      <c r="AO876">
        <v>0</v>
      </c>
      <c r="AP876">
        <v>0</v>
      </c>
      <c r="AQ876">
        <v>0</v>
      </c>
      <c r="AR876">
        <v>0</v>
      </c>
      <c r="AS876">
        <v>0</v>
      </c>
      <c r="AT876">
        <v>0</v>
      </c>
      <c r="AU876">
        <v>0</v>
      </c>
      <c r="AV876">
        <v>0</v>
      </c>
      <c r="AW876">
        <v>0</v>
      </c>
      <c r="AX876">
        <v>0</v>
      </c>
      <c r="AY876">
        <v>0</v>
      </c>
      <c r="AZ876">
        <v>0</v>
      </c>
      <c r="BA876">
        <v>0</v>
      </c>
      <c r="BB876">
        <v>0</v>
      </c>
      <c r="BG876">
        <v>0</v>
      </c>
      <c r="BH876">
        <v>1</v>
      </c>
      <c r="BI876">
        <v>1</v>
      </c>
      <c r="BJ876">
        <v>0.2</v>
      </c>
      <c r="BK876">
        <v>1</v>
      </c>
      <c r="BL876">
        <v>46.06</v>
      </c>
      <c r="BM876">
        <v>6.91</v>
      </c>
      <c r="BN876">
        <v>52.97</v>
      </c>
      <c r="BO876">
        <v>52.97</v>
      </c>
      <c r="BQ876" t="s">
        <v>78</v>
      </c>
      <c r="BR876" t="s">
        <v>71</v>
      </c>
      <c r="BS876" s="1">
        <v>43950</v>
      </c>
      <c r="BT876" s="2">
        <v>0.43194444444444446</v>
      </c>
      <c r="BU876" t="s">
        <v>624</v>
      </c>
      <c r="BV876" t="s">
        <v>80</v>
      </c>
      <c r="BY876">
        <v>1200</v>
      </c>
      <c r="BZ876" t="s">
        <v>23</v>
      </c>
      <c r="CA876" t="s">
        <v>242</v>
      </c>
      <c r="CC876" t="s">
        <v>239</v>
      </c>
      <c r="CD876">
        <v>5201</v>
      </c>
      <c r="CE876" t="s">
        <v>966</v>
      </c>
      <c r="CI876">
        <v>1</v>
      </c>
      <c r="CJ876">
        <v>1</v>
      </c>
      <c r="CK876">
        <v>21</v>
      </c>
      <c r="CL876" t="s">
        <v>74</v>
      </c>
    </row>
    <row r="877" spans="1:90" x14ac:dyDescent="0.25">
      <c r="A877" t="s">
        <v>61</v>
      </c>
      <c r="B877" t="s">
        <v>62</v>
      </c>
      <c r="C877" t="s">
        <v>63</v>
      </c>
      <c r="E877" t="str">
        <f>"FES1162745415"</f>
        <v>FES1162745415</v>
      </c>
      <c r="F877" s="1">
        <v>43945</v>
      </c>
      <c r="G877">
        <v>202010</v>
      </c>
      <c r="H877" t="s">
        <v>64</v>
      </c>
      <c r="I877" t="s">
        <v>65</v>
      </c>
      <c r="J877" t="s">
        <v>66</v>
      </c>
      <c r="K877" t="s">
        <v>67</v>
      </c>
      <c r="L877" t="s">
        <v>212</v>
      </c>
      <c r="M877" t="s">
        <v>213</v>
      </c>
      <c r="N877" t="s">
        <v>295</v>
      </c>
      <c r="O877" t="s">
        <v>69</v>
      </c>
      <c r="P877" t="str">
        <f>"2170734731                    "</f>
        <v xml:space="preserve">2170734731                    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0</v>
      </c>
      <c r="AM877">
        <v>4.1900000000000004</v>
      </c>
      <c r="AN877">
        <v>0</v>
      </c>
      <c r="AO877">
        <v>0</v>
      </c>
      <c r="AP877">
        <v>0</v>
      </c>
      <c r="AQ877">
        <v>0</v>
      </c>
      <c r="AR877">
        <v>0</v>
      </c>
      <c r="AS877">
        <v>0</v>
      </c>
      <c r="AT877">
        <v>0</v>
      </c>
      <c r="AU877">
        <v>0</v>
      </c>
      <c r="AV877">
        <v>0</v>
      </c>
      <c r="AW877">
        <v>0</v>
      </c>
      <c r="AX877">
        <v>0</v>
      </c>
      <c r="AY877">
        <v>0</v>
      </c>
      <c r="AZ877">
        <v>0</v>
      </c>
      <c r="BA877">
        <v>0</v>
      </c>
      <c r="BB877">
        <v>0</v>
      </c>
      <c r="BG877">
        <v>0</v>
      </c>
      <c r="BH877">
        <v>1</v>
      </c>
      <c r="BI877">
        <v>1</v>
      </c>
      <c r="BJ877">
        <v>1.2</v>
      </c>
      <c r="BK877">
        <v>1.5</v>
      </c>
      <c r="BL877">
        <v>46.06</v>
      </c>
      <c r="BM877">
        <v>6.91</v>
      </c>
      <c r="BN877">
        <v>52.97</v>
      </c>
      <c r="BO877">
        <v>52.97</v>
      </c>
      <c r="BQ877" t="s">
        <v>78</v>
      </c>
      <c r="BR877" t="s">
        <v>71</v>
      </c>
      <c r="BS877" s="1">
        <v>43949</v>
      </c>
      <c r="BT877" s="2">
        <v>0.60416666666666663</v>
      </c>
      <c r="BU877" t="s">
        <v>1028</v>
      </c>
      <c r="BV877" t="s">
        <v>74</v>
      </c>
      <c r="BW877" t="s">
        <v>85</v>
      </c>
      <c r="BX877" t="s">
        <v>128</v>
      </c>
      <c r="BY877">
        <v>5921.53</v>
      </c>
      <c r="BZ877" t="s">
        <v>23</v>
      </c>
      <c r="CC877" t="s">
        <v>213</v>
      </c>
      <c r="CD877">
        <v>3610</v>
      </c>
      <c r="CE877" t="s">
        <v>966</v>
      </c>
      <c r="CF877" s="1">
        <v>43950</v>
      </c>
      <c r="CI877">
        <v>1</v>
      </c>
      <c r="CJ877">
        <v>2</v>
      </c>
      <c r="CK877">
        <v>21</v>
      </c>
      <c r="CL877" t="s">
        <v>74</v>
      </c>
    </row>
    <row r="878" spans="1:90" x14ac:dyDescent="0.25">
      <c r="A878" t="s">
        <v>61</v>
      </c>
      <c r="B878" t="s">
        <v>62</v>
      </c>
      <c r="C878" t="s">
        <v>63</v>
      </c>
      <c r="E878" t="str">
        <f>"FES1162745336"</f>
        <v>FES1162745336</v>
      </c>
      <c r="F878" s="1">
        <v>43945</v>
      </c>
      <c r="G878">
        <v>202010</v>
      </c>
      <c r="H878" t="s">
        <v>64</v>
      </c>
      <c r="I878" t="s">
        <v>65</v>
      </c>
      <c r="J878" t="s">
        <v>66</v>
      </c>
      <c r="K878" t="s">
        <v>67</v>
      </c>
      <c r="L878" t="s">
        <v>368</v>
      </c>
      <c r="M878" t="s">
        <v>369</v>
      </c>
      <c r="N878" t="s">
        <v>808</v>
      </c>
      <c r="O878" t="s">
        <v>69</v>
      </c>
      <c r="P878" t="str">
        <f>"2170735476                    "</f>
        <v xml:space="preserve">2170735476                    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4.0599999999999996</v>
      </c>
      <c r="AN878">
        <v>0</v>
      </c>
      <c r="AO878">
        <v>0</v>
      </c>
      <c r="AP878">
        <v>0</v>
      </c>
      <c r="AQ878">
        <v>0</v>
      </c>
      <c r="AR878">
        <v>0</v>
      </c>
      <c r="AS878">
        <v>0</v>
      </c>
      <c r="AT878">
        <v>0</v>
      </c>
      <c r="AU878">
        <v>0</v>
      </c>
      <c r="AV878">
        <v>0</v>
      </c>
      <c r="AW878">
        <v>0</v>
      </c>
      <c r="AX878">
        <v>0</v>
      </c>
      <c r="AY878">
        <v>0</v>
      </c>
      <c r="AZ878">
        <v>0</v>
      </c>
      <c r="BA878">
        <v>0</v>
      </c>
      <c r="BB878">
        <v>0</v>
      </c>
      <c r="BG878">
        <v>0</v>
      </c>
      <c r="BH878">
        <v>1</v>
      </c>
      <c r="BI878">
        <v>1</v>
      </c>
      <c r="BJ878">
        <v>2.6</v>
      </c>
      <c r="BK878">
        <v>3</v>
      </c>
      <c r="BL878">
        <v>44.61</v>
      </c>
      <c r="BM878">
        <v>6.69</v>
      </c>
      <c r="BN878">
        <v>51.3</v>
      </c>
      <c r="BO878">
        <v>51.3</v>
      </c>
      <c r="BQ878" t="s">
        <v>78</v>
      </c>
      <c r="BR878" t="s">
        <v>71</v>
      </c>
      <c r="BS878" s="1">
        <v>43949</v>
      </c>
      <c r="BT878" s="2">
        <v>0.33333333333333331</v>
      </c>
      <c r="BU878" t="s">
        <v>1029</v>
      </c>
      <c r="BV878" t="s">
        <v>80</v>
      </c>
      <c r="BY878">
        <v>12829.82</v>
      </c>
      <c r="BZ878" t="s">
        <v>23</v>
      </c>
      <c r="CA878" t="s">
        <v>392</v>
      </c>
      <c r="CC878" t="s">
        <v>369</v>
      </c>
      <c r="CD878">
        <v>1401</v>
      </c>
      <c r="CE878" t="s">
        <v>966</v>
      </c>
      <c r="CF878" s="1">
        <v>43950</v>
      </c>
      <c r="CI878">
        <v>1</v>
      </c>
      <c r="CJ878">
        <v>2</v>
      </c>
      <c r="CK878">
        <v>22</v>
      </c>
      <c r="CL878" t="s">
        <v>74</v>
      </c>
    </row>
    <row r="879" spans="1:90" x14ac:dyDescent="0.25">
      <c r="A879" t="s">
        <v>61</v>
      </c>
      <c r="B879" t="s">
        <v>62</v>
      </c>
      <c r="C879" t="s">
        <v>63</v>
      </c>
      <c r="E879" t="str">
        <f>"FES1162745335"</f>
        <v>FES1162745335</v>
      </c>
      <c r="F879" s="1">
        <v>43945</v>
      </c>
      <c r="G879">
        <v>202010</v>
      </c>
      <c r="H879" t="s">
        <v>64</v>
      </c>
      <c r="I879" t="s">
        <v>65</v>
      </c>
      <c r="J879" t="s">
        <v>66</v>
      </c>
      <c r="K879" t="s">
        <v>67</v>
      </c>
      <c r="L879" t="s">
        <v>368</v>
      </c>
      <c r="M879" t="s">
        <v>369</v>
      </c>
      <c r="N879" t="s">
        <v>623</v>
      </c>
      <c r="O879" t="s">
        <v>69</v>
      </c>
      <c r="P879" t="str">
        <f>"2170735471                    "</f>
        <v xml:space="preserve">2170735471                    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3.27</v>
      </c>
      <c r="AN879">
        <v>0</v>
      </c>
      <c r="AO879">
        <v>0</v>
      </c>
      <c r="AP879">
        <v>0</v>
      </c>
      <c r="AQ879">
        <v>0</v>
      </c>
      <c r="AR879">
        <v>0</v>
      </c>
      <c r="AS879">
        <v>0</v>
      </c>
      <c r="AT879">
        <v>0</v>
      </c>
      <c r="AU879">
        <v>0</v>
      </c>
      <c r="AV879">
        <v>0</v>
      </c>
      <c r="AW879">
        <v>0</v>
      </c>
      <c r="AX879">
        <v>0</v>
      </c>
      <c r="AY879">
        <v>0</v>
      </c>
      <c r="AZ879">
        <v>0</v>
      </c>
      <c r="BA879">
        <v>0</v>
      </c>
      <c r="BB879">
        <v>0</v>
      </c>
      <c r="BG879">
        <v>0</v>
      </c>
      <c r="BH879">
        <v>1</v>
      </c>
      <c r="BI879">
        <v>1</v>
      </c>
      <c r="BJ879">
        <v>1.6</v>
      </c>
      <c r="BK879">
        <v>2</v>
      </c>
      <c r="BL879">
        <v>35.979999999999997</v>
      </c>
      <c r="BM879">
        <v>5.4</v>
      </c>
      <c r="BN879">
        <v>41.38</v>
      </c>
      <c r="BO879">
        <v>41.38</v>
      </c>
      <c r="BQ879" t="s">
        <v>78</v>
      </c>
      <c r="BR879" t="s">
        <v>71</v>
      </c>
      <c r="BS879" s="1">
        <v>43949</v>
      </c>
      <c r="BT879" s="2">
        <v>0.33333333333333331</v>
      </c>
      <c r="BU879" t="s">
        <v>432</v>
      </c>
      <c r="BV879" t="s">
        <v>80</v>
      </c>
      <c r="BY879">
        <v>7758.84</v>
      </c>
      <c r="BZ879" t="s">
        <v>23</v>
      </c>
      <c r="CA879" t="s">
        <v>428</v>
      </c>
      <c r="CC879" t="s">
        <v>369</v>
      </c>
      <c r="CD879">
        <v>1422</v>
      </c>
      <c r="CE879" t="s">
        <v>966</v>
      </c>
      <c r="CF879" s="1">
        <v>43950</v>
      </c>
      <c r="CI879">
        <v>1</v>
      </c>
      <c r="CJ879">
        <v>2</v>
      </c>
      <c r="CK879">
        <v>22</v>
      </c>
      <c r="CL879" t="s">
        <v>74</v>
      </c>
    </row>
    <row r="880" spans="1:90" x14ac:dyDescent="0.25">
      <c r="A880" t="s">
        <v>61</v>
      </c>
      <c r="B880" t="s">
        <v>62</v>
      </c>
      <c r="C880" t="s">
        <v>63</v>
      </c>
      <c r="E880" t="str">
        <f>"FES1162745242"</f>
        <v>FES1162745242</v>
      </c>
      <c r="F880" s="1">
        <v>43945</v>
      </c>
      <c r="G880">
        <v>202010</v>
      </c>
      <c r="H880" t="s">
        <v>64</v>
      </c>
      <c r="I880" t="s">
        <v>65</v>
      </c>
      <c r="J880" t="s">
        <v>66</v>
      </c>
      <c r="K880" t="s">
        <v>67</v>
      </c>
      <c r="L880" t="s">
        <v>133</v>
      </c>
      <c r="M880" t="s">
        <v>134</v>
      </c>
      <c r="N880" t="s">
        <v>135</v>
      </c>
      <c r="O880" t="s">
        <v>69</v>
      </c>
      <c r="P880" t="str">
        <f>"2170736033                    "</f>
        <v xml:space="preserve">2170736033                    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8.11</v>
      </c>
      <c r="AN880">
        <v>0</v>
      </c>
      <c r="AO880">
        <v>0</v>
      </c>
      <c r="AP880">
        <v>0</v>
      </c>
      <c r="AQ880">
        <v>0</v>
      </c>
      <c r="AR880">
        <v>0</v>
      </c>
      <c r="AS880">
        <v>0</v>
      </c>
      <c r="AT880">
        <v>0</v>
      </c>
      <c r="AU880">
        <v>0</v>
      </c>
      <c r="AV880">
        <v>0</v>
      </c>
      <c r="AW880">
        <v>0</v>
      </c>
      <c r="AX880">
        <v>0</v>
      </c>
      <c r="AY880">
        <v>0</v>
      </c>
      <c r="AZ880">
        <v>0</v>
      </c>
      <c r="BA880">
        <v>0</v>
      </c>
      <c r="BB880">
        <v>0</v>
      </c>
      <c r="BG880">
        <v>0</v>
      </c>
      <c r="BH880">
        <v>1</v>
      </c>
      <c r="BI880">
        <v>1</v>
      </c>
      <c r="BJ880">
        <v>1.8</v>
      </c>
      <c r="BK880">
        <v>2</v>
      </c>
      <c r="BL880">
        <v>89.23</v>
      </c>
      <c r="BM880">
        <v>13.38</v>
      </c>
      <c r="BN880">
        <v>102.61</v>
      </c>
      <c r="BO880">
        <v>102.61</v>
      </c>
      <c r="BQ880" t="s">
        <v>70</v>
      </c>
      <c r="BR880" t="s">
        <v>71</v>
      </c>
      <c r="BS880" s="1">
        <v>43949</v>
      </c>
      <c r="BT880" s="2">
        <v>0.66666666666666663</v>
      </c>
      <c r="BU880" t="s">
        <v>1030</v>
      </c>
      <c r="BV880" t="s">
        <v>80</v>
      </c>
      <c r="BY880">
        <v>9185.18</v>
      </c>
      <c r="BZ880" t="s">
        <v>23</v>
      </c>
      <c r="CA880" t="s">
        <v>574</v>
      </c>
      <c r="CC880" t="s">
        <v>134</v>
      </c>
      <c r="CD880">
        <v>4450</v>
      </c>
      <c r="CE880" t="s">
        <v>966</v>
      </c>
      <c r="CF880" s="1">
        <v>43950</v>
      </c>
      <c r="CI880">
        <v>1</v>
      </c>
      <c r="CJ880">
        <v>2</v>
      </c>
      <c r="CK880">
        <v>23</v>
      </c>
      <c r="CL880" t="s">
        <v>74</v>
      </c>
    </row>
    <row r="881" spans="1:90" x14ac:dyDescent="0.25">
      <c r="A881" t="s">
        <v>61</v>
      </c>
      <c r="B881" t="s">
        <v>62</v>
      </c>
      <c r="C881" t="s">
        <v>63</v>
      </c>
      <c r="E881" t="str">
        <f>"FES1162745482"</f>
        <v>FES1162745482</v>
      </c>
      <c r="F881" s="1">
        <v>43949</v>
      </c>
      <c r="G881">
        <v>202010</v>
      </c>
      <c r="H881" t="s">
        <v>64</v>
      </c>
      <c r="I881" t="s">
        <v>65</v>
      </c>
      <c r="J881" t="s">
        <v>66</v>
      </c>
      <c r="K881" t="s">
        <v>67</v>
      </c>
      <c r="L881" t="s">
        <v>422</v>
      </c>
      <c r="M881" t="s">
        <v>423</v>
      </c>
      <c r="N881" t="s">
        <v>484</v>
      </c>
      <c r="O881" t="s">
        <v>69</v>
      </c>
      <c r="P881" t="str">
        <f>"2170736391                    "</f>
        <v xml:space="preserve">2170736391                    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5.89</v>
      </c>
      <c r="AN881">
        <v>0</v>
      </c>
      <c r="AO881">
        <v>0</v>
      </c>
      <c r="AP881">
        <v>0</v>
      </c>
      <c r="AQ881">
        <v>0</v>
      </c>
      <c r="AR881">
        <v>0</v>
      </c>
      <c r="AS881">
        <v>0</v>
      </c>
      <c r="AT881">
        <v>0</v>
      </c>
      <c r="AU881">
        <v>0</v>
      </c>
      <c r="AV881">
        <v>0</v>
      </c>
      <c r="AW881">
        <v>0</v>
      </c>
      <c r="AX881">
        <v>0</v>
      </c>
      <c r="AY881">
        <v>0</v>
      </c>
      <c r="AZ881">
        <v>0</v>
      </c>
      <c r="BA881">
        <v>0</v>
      </c>
      <c r="BB881">
        <v>0</v>
      </c>
      <c r="BG881">
        <v>0</v>
      </c>
      <c r="BH881">
        <v>1</v>
      </c>
      <c r="BI881">
        <v>1</v>
      </c>
      <c r="BJ881">
        <v>0.2</v>
      </c>
      <c r="BK881">
        <v>1</v>
      </c>
      <c r="BL881">
        <v>64.77</v>
      </c>
      <c r="BM881">
        <v>9.7200000000000006</v>
      </c>
      <c r="BN881">
        <v>74.489999999999995</v>
      </c>
      <c r="BO881">
        <v>74.489999999999995</v>
      </c>
      <c r="BQ881" t="s">
        <v>78</v>
      </c>
      <c r="BR881" t="s">
        <v>71</v>
      </c>
      <c r="BS881" s="1">
        <v>43950</v>
      </c>
      <c r="BT881" s="2">
        <v>0.3888888888888889</v>
      </c>
      <c r="BU881" t="s">
        <v>1031</v>
      </c>
      <c r="BV881" t="s">
        <v>80</v>
      </c>
      <c r="BY881">
        <v>1200</v>
      </c>
      <c r="BZ881" t="s">
        <v>23</v>
      </c>
      <c r="CC881" t="s">
        <v>423</v>
      </c>
      <c r="CD881">
        <v>1739</v>
      </c>
      <c r="CE881" t="s">
        <v>966</v>
      </c>
      <c r="CF881" s="1">
        <v>43951</v>
      </c>
      <c r="CI881">
        <v>1</v>
      </c>
      <c r="CJ881">
        <v>1</v>
      </c>
      <c r="CK881">
        <v>24</v>
      </c>
      <c r="CL881" t="s">
        <v>74</v>
      </c>
    </row>
    <row r="882" spans="1:90" x14ac:dyDescent="0.25">
      <c r="A882" t="s">
        <v>61</v>
      </c>
      <c r="B882" t="s">
        <v>62</v>
      </c>
      <c r="C882" t="s">
        <v>63</v>
      </c>
      <c r="E882" t="str">
        <f>"FES1162745343"</f>
        <v>FES1162745343</v>
      </c>
      <c r="F882" s="1">
        <v>43945</v>
      </c>
      <c r="G882">
        <v>202010</v>
      </c>
      <c r="H882" t="s">
        <v>64</v>
      </c>
      <c r="I882" t="s">
        <v>65</v>
      </c>
      <c r="J882" t="s">
        <v>66</v>
      </c>
      <c r="K882" t="s">
        <v>67</v>
      </c>
      <c r="L882" t="s">
        <v>450</v>
      </c>
      <c r="M882" t="s">
        <v>451</v>
      </c>
      <c r="N882" t="s">
        <v>452</v>
      </c>
      <c r="O882" t="s">
        <v>69</v>
      </c>
      <c r="P882" t="str">
        <f>"2170735539                    "</f>
        <v xml:space="preserve">2170735539                    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5.23</v>
      </c>
      <c r="AN882">
        <v>0</v>
      </c>
      <c r="AO882">
        <v>0</v>
      </c>
      <c r="AP882">
        <v>0</v>
      </c>
      <c r="AQ882">
        <v>0</v>
      </c>
      <c r="AR882">
        <v>0</v>
      </c>
      <c r="AS882">
        <v>0</v>
      </c>
      <c r="AT882">
        <v>0</v>
      </c>
      <c r="AU882">
        <v>0</v>
      </c>
      <c r="AV882">
        <v>0</v>
      </c>
      <c r="AW882">
        <v>0</v>
      </c>
      <c r="AX882">
        <v>0</v>
      </c>
      <c r="AY882">
        <v>0</v>
      </c>
      <c r="AZ882">
        <v>0</v>
      </c>
      <c r="BA882">
        <v>0</v>
      </c>
      <c r="BB882">
        <v>0</v>
      </c>
      <c r="BG882">
        <v>0</v>
      </c>
      <c r="BH882">
        <v>1</v>
      </c>
      <c r="BI882">
        <v>1.3</v>
      </c>
      <c r="BJ882">
        <v>2.4</v>
      </c>
      <c r="BK882">
        <v>2.5</v>
      </c>
      <c r="BL882">
        <v>57.56</v>
      </c>
      <c r="BM882">
        <v>8.6300000000000008</v>
      </c>
      <c r="BN882">
        <v>66.19</v>
      </c>
      <c r="BO882">
        <v>66.19</v>
      </c>
      <c r="BQ882" t="s">
        <v>78</v>
      </c>
      <c r="BR882" t="s">
        <v>71</v>
      </c>
      <c r="BS882" s="1">
        <v>43950</v>
      </c>
      <c r="BT882" s="2">
        <v>0.375</v>
      </c>
      <c r="BU882" t="s">
        <v>797</v>
      </c>
      <c r="BV882" t="s">
        <v>74</v>
      </c>
      <c r="BY882">
        <v>12083.4</v>
      </c>
      <c r="BZ882" t="s">
        <v>23</v>
      </c>
      <c r="CA882" t="s">
        <v>454</v>
      </c>
      <c r="CC882" t="s">
        <v>451</v>
      </c>
      <c r="CD882">
        <v>1240</v>
      </c>
      <c r="CE882" t="s">
        <v>966</v>
      </c>
      <c r="CF882" s="1">
        <v>43952</v>
      </c>
      <c r="CI882">
        <v>1</v>
      </c>
      <c r="CJ882">
        <v>3</v>
      </c>
      <c r="CK882">
        <v>21</v>
      </c>
      <c r="CL882" t="s">
        <v>74</v>
      </c>
    </row>
    <row r="883" spans="1:90" x14ac:dyDescent="0.25">
      <c r="A883" t="s">
        <v>61</v>
      </c>
      <c r="B883" t="s">
        <v>62</v>
      </c>
      <c r="C883" t="s">
        <v>63</v>
      </c>
      <c r="E883" t="str">
        <f>"FES1162745428"</f>
        <v>FES1162745428</v>
      </c>
      <c r="F883" s="1">
        <v>43945</v>
      </c>
      <c r="G883">
        <v>202010</v>
      </c>
      <c r="H883" t="s">
        <v>64</v>
      </c>
      <c r="I883" t="s">
        <v>65</v>
      </c>
      <c r="J883" t="s">
        <v>66</v>
      </c>
      <c r="K883" t="s">
        <v>67</v>
      </c>
      <c r="L883" t="s">
        <v>238</v>
      </c>
      <c r="M883" t="s">
        <v>239</v>
      </c>
      <c r="N883" t="s">
        <v>295</v>
      </c>
      <c r="O883" t="s">
        <v>69</v>
      </c>
      <c r="P883" t="str">
        <f>"2170736516                    "</f>
        <v xml:space="preserve">2170736516                    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4.1900000000000004</v>
      </c>
      <c r="AN883">
        <v>0</v>
      </c>
      <c r="AO883">
        <v>0</v>
      </c>
      <c r="AP883">
        <v>0</v>
      </c>
      <c r="AQ883">
        <v>0</v>
      </c>
      <c r="AR883">
        <v>0</v>
      </c>
      <c r="AS883">
        <v>0</v>
      </c>
      <c r="AT883">
        <v>0</v>
      </c>
      <c r="AU883">
        <v>0</v>
      </c>
      <c r="AV883">
        <v>0</v>
      </c>
      <c r="AW883">
        <v>0</v>
      </c>
      <c r="AX883">
        <v>0</v>
      </c>
      <c r="AY883">
        <v>0</v>
      </c>
      <c r="AZ883">
        <v>0</v>
      </c>
      <c r="BA883">
        <v>0</v>
      </c>
      <c r="BB883">
        <v>0</v>
      </c>
      <c r="BG883">
        <v>0</v>
      </c>
      <c r="BH883">
        <v>1</v>
      </c>
      <c r="BI883">
        <v>1</v>
      </c>
      <c r="BJ883">
        <v>1.6</v>
      </c>
      <c r="BK883">
        <v>2</v>
      </c>
      <c r="BL883">
        <v>46.06</v>
      </c>
      <c r="BM883">
        <v>6.91</v>
      </c>
      <c r="BN883">
        <v>52.97</v>
      </c>
      <c r="BO883">
        <v>52.97</v>
      </c>
      <c r="BQ883" t="s">
        <v>78</v>
      </c>
      <c r="BR883" t="s">
        <v>71</v>
      </c>
      <c r="BS883" s="1">
        <v>43949</v>
      </c>
      <c r="BT883" s="2">
        <v>0.41666666666666669</v>
      </c>
      <c r="BU883" t="s">
        <v>1032</v>
      </c>
      <c r="BV883" t="s">
        <v>80</v>
      </c>
      <c r="BY883">
        <v>7945.94</v>
      </c>
      <c r="BZ883" t="s">
        <v>23</v>
      </c>
      <c r="CA883" t="s">
        <v>291</v>
      </c>
      <c r="CC883" t="s">
        <v>239</v>
      </c>
      <c r="CD883">
        <v>5201</v>
      </c>
      <c r="CE883" t="s">
        <v>966</v>
      </c>
      <c r="CI883">
        <v>1</v>
      </c>
      <c r="CJ883">
        <v>2</v>
      </c>
      <c r="CK883">
        <v>21</v>
      </c>
      <c r="CL883" t="s">
        <v>74</v>
      </c>
    </row>
    <row r="884" spans="1:90" x14ac:dyDescent="0.25">
      <c r="A884" t="s">
        <v>61</v>
      </c>
      <c r="B884" t="s">
        <v>62</v>
      </c>
      <c r="C884" t="s">
        <v>63</v>
      </c>
      <c r="E884" t="str">
        <f>"FES1162745419"</f>
        <v>FES1162745419</v>
      </c>
      <c r="F884" s="1">
        <v>43949</v>
      </c>
      <c r="G884">
        <v>202010</v>
      </c>
      <c r="H884" t="s">
        <v>64</v>
      </c>
      <c r="I884" t="s">
        <v>65</v>
      </c>
      <c r="J884" t="s">
        <v>66</v>
      </c>
      <c r="K884" t="s">
        <v>67</v>
      </c>
      <c r="L884" t="s">
        <v>238</v>
      </c>
      <c r="M884" t="s">
        <v>239</v>
      </c>
      <c r="N884" t="s">
        <v>388</v>
      </c>
      <c r="O884" t="s">
        <v>69</v>
      </c>
      <c r="P884" t="str">
        <f>"2170736499                    "</f>
        <v xml:space="preserve">2170736499                    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36.61</v>
      </c>
      <c r="AN884">
        <v>0</v>
      </c>
      <c r="AO884">
        <v>0</v>
      </c>
      <c r="AP884">
        <v>0</v>
      </c>
      <c r="AQ884">
        <v>0</v>
      </c>
      <c r="AR884">
        <v>0</v>
      </c>
      <c r="AS884">
        <v>0</v>
      </c>
      <c r="AT884">
        <v>0</v>
      </c>
      <c r="AU884">
        <v>0</v>
      </c>
      <c r="AV884">
        <v>0</v>
      </c>
      <c r="AW884">
        <v>0</v>
      </c>
      <c r="AX884">
        <v>0</v>
      </c>
      <c r="AY884">
        <v>0</v>
      </c>
      <c r="AZ884">
        <v>0</v>
      </c>
      <c r="BA884">
        <v>0</v>
      </c>
      <c r="BB884">
        <v>0</v>
      </c>
      <c r="BG884">
        <v>0</v>
      </c>
      <c r="BH884">
        <v>1</v>
      </c>
      <c r="BI884">
        <v>8.1</v>
      </c>
      <c r="BJ884">
        <v>17.100000000000001</v>
      </c>
      <c r="BK884">
        <v>17.5</v>
      </c>
      <c r="BL884">
        <v>402.74</v>
      </c>
      <c r="BM884">
        <v>60.41</v>
      </c>
      <c r="BN884">
        <v>463.15</v>
      </c>
      <c r="BO884">
        <v>463.15</v>
      </c>
      <c r="BQ884" t="s">
        <v>78</v>
      </c>
      <c r="BR884" t="s">
        <v>71</v>
      </c>
      <c r="BS884" t="s">
        <v>72</v>
      </c>
      <c r="BY884">
        <v>85257.9</v>
      </c>
      <c r="BZ884" t="s">
        <v>23</v>
      </c>
      <c r="CC884" t="s">
        <v>239</v>
      </c>
      <c r="CD884">
        <v>5201</v>
      </c>
      <c r="CE884" t="s">
        <v>381</v>
      </c>
      <c r="CI884">
        <v>1</v>
      </c>
      <c r="CJ884" t="s">
        <v>72</v>
      </c>
      <c r="CK884">
        <v>21</v>
      </c>
      <c r="CL884" t="s">
        <v>74</v>
      </c>
    </row>
    <row r="885" spans="1:90" x14ac:dyDescent="0.25">
      <c r="A885" t="s">
        <v>61</v>
      </c>
      <c r="B885" t="s">
        <v>62</v>
      </c>
      <c r="C885" t="s">
        <v>63</v>
      </c>
      <c r="E885" t="str">
        <f>"FES1162745427"</f>
        <v>FES1162745427</v>
      </c>
      <c r="F885" s="1">
        <v>43945</v>
      </c>
      <c r="G885">
        <v>202010</v>
      </c>
      <c r="H885" t="s">
        <v>64</v>
      </c>
      <c r="I885" t="s">
        <v>65</v>
      </c>
      <c r="J885" t="s">
        <v>66</v>
      </c>
      <c r="K885" t="s">
        <v>67</v>
      </c>
      <c r="L885" t="s">
        <v>120</v>
      </c>
      <c r="M885" t="s">
        <v>121</v>
      </c>
      <c r="N885" t="s">
        <v>247</v>
      </c>
      <c r="O885" t="s">
        <v>69</v>
      </c>
      <c r="P885" t="str">
        <f>"2170736574                    "</f>
        <v xml:space="preserve">2170736574                    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4.1900000000000004</v>
      </c>
      <c r="AN885">
        <v>0</v>
      </c>
      <c r="AO885">
        <v>0</v>
      </c>
      <c r="AP885">
        <v>0</v>
      </c>
      <c r="AQ885">
        <v>0</v>
      </c>
      <c r="AR885">
        <v>0</v>
      </c>
      <c r="AS885">
        <v>0</v>
      </c>
      <c r="AT885">
        <v>0</v>
      </c>
      <c r="AU885">
        <v>0</v>
      </c>
      <c r="AV885">
        <v>0</v>
      </c>
      <c r="AW885">
        <v>0</v>
      </c>
      <c r="AX885">
        <v>0</v>
      </c>
      <c r="AY885">
        <v>0</v>
      </c>
      <c r="AZ885">
        <v>0</v>
      </c>
      <c r="BA885">
        <v>0</v>
      </c>
      <c r="BB885">
        <v>0</v>
      </c>
      <c r="BG885">
        <v>0</v>
      </c>
      <c r="BH885">
        <v>1</v>
      </c>
      <c r="BI885">
        <v>1</v>
      </c>
      <c r="BJ885">
        <v>1.4</v>
      </c>
      <c r="BK885">
        <v>1.5</v>
      </c>
      <c r="BL885">
        <v>46.06</v>
      </c>
      <c r="BM885">
        <v>6.91</v>
      </c>
      <c r="BN885">
        <v>52.97</v>
      </c>
      <c r="BO885">
        <v>52.97</v>
      </c>
      <c r="BQ885" t="s">
        <v>248</v>
      </c>
      <c r="BR885" t="s">
        <v>71</v>
      </c>
      <c r="BS885" t="s">
        <v>72</v>
      </c>
      <c r="BY885">
        <v>6852.14</v>
      </c>
      <c r="BZ885" t="s">
        <v>23</v>
      </c>
      <c r="CC885" t="s">
        <v>121</v>
      </c>
      <c r="CD885">
        <v>4001</v>
      </c>
      <c r="CE885" t="s">
        <v>966</v>
      </c>
      <c r="CI885">
        <v>1</v>
      </c>
      <c r="CJ885" t="s">
        <v>72</v>
      </c>
      <c r="CK885">
        <v>21</v>
      </c>
      <c r="CL885" t="s">
        <v>74</v>
      </c>
    </row>
    <row r="886" spans="1:90" x14ac:dyDescent="0.25">
      <c r="A886" t="s">
        <v>61</v>
      </c>
      <c r="B886" t="s">
        <v>62</v>
      </c>
      <c r="C886" t="s">
        <v>63</v>
      </c>
      <c r="E886" t="str">
        <f>"FES1162745431"</f>
        <v>FES1162745431</v>
      </c>
      <c r="F886" s="1">
        <v>43945</v>
      </c>
      <c r="G886">
        <v>202010</v>
      </c>
      <c r="H886" t="s">
        <v>64</v>
      </c>
      <c r="I886" t="s">
        <v>65</v>
      </c>
      <c r="J886" t="s">
        <v>66</v>
      </c>
      <c r="K886" t="s">
        <v>67</v>
      </c>
      <c r="L886" t="s">
        <v>64</v>
      </c>
      <c r="M886" t="s">
        <v>65</v>
      </c>
      <c r="N886" t="s">
        <v>812</v>
      </c>
      <c r="O886" t="s">
        <v>69</v>
      </c>
      <c r="P886" t="str">
        <f>"2170735789                    "</f>
        <v xml:space="preserve">2170735789                    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0</v>
      </c>
      <c r="AM886">
        <v>3.27</v>
      </c>
      <c r="AN886">
        <v>0</v>
      </c>
      <c r="AO886">
        <v>0</v>
      </c>
      <c r="AP886">
        <v>0</v>
      </c>
      <c r="AQ886">
        <v>0</v>
      </c>
      <c r="AR886">
        <v>0</v>
      </c>
      <c r="AS886">
        <v>0</v>
      </c>
      <c r="AT886">
        <v>0</v>
      </c>
      <c r="AU886">
        <v>0</v>
      </c>
      <c r="AV886">
        <v>0</v>
      </c>
      <c r="AW886">
        <v>0</v>
      </c>
      <c r="AX886">
        <v>0</v>
      </c>
      <c r="AY886">
        <v>0</v>
      </c>
      <c r="AZ886">
        <v>0</v>
      </c>
      <c r="BA886">
        <v>0</v>
      </c>
      <c r="BB886">
        <v>0</v>
      </c>
      <c r="BG886">
        <v>0</v>
      </c>
      <c r="BH886">
        <v>1</v>
      </c>
      <c r="BI886">
        <v>1</v>
      </c>
      <c r="BJ886">
        <v>1.5</v>
      </c>
      <c r="BK886">
        <v>1.5</v>
      </c>
      <c r="BL886">
        <v>35.979999999999997</v>
      </c>
      <c r="BM886">
        <v>5.4</v>
      </c>
      <c r="BN886">
        <v>41.38</v>
      </c>
      <c r="BO886">
        <v>41.38</v>
      </c>
      <c r="BQ886" t="s">
        <v>70</v>
      </c>
      <c r="BR886" t="s">
        <v>71</v>
      </c>
      <c r="BS886" s="1">
        <v>43949</v>
      </c>
      <c r="BT886" s="2">
        <v>0.34375</v>
      </c>
      <c r="BU886" t="s">
        <v>869</v>
      </c>
      <c r="BV886" t="s">
        <v>80</v>
      </c>
      <c r="BY886">
        <v>7489.72</v>
      </c>
      <c r="BZ886" t="s">
        <v>23</v>
      </c>
      <c r="CA886" t="s">
        <v>392</v>
      </c>
      <c r="CC886" t="s">
        <v>65</v>
      </c>
      <c r="CD886">
        <v>1609</v>
      </c>
      <c r="CE886" t="s">
        <v>966</v>
      </c>
      <c r="CF886" s="1">
        <v>43950</v>
      </c>
      <c r="CI886">
        <v>1</v>
      </c>
      <c r="CJ886">
        <v>2</v>
      </c>
      <c r="CK886">
        <v>22</v>
      </c>
      <c r="CL886" t="s">
        <v>74</v>
      </c>
    </row>
    <row r="887" spans="1:90" x14ac:dyDescent="0.25">
      <c r="A887" t="s">
        <v>61</v>
      </c>
      <c r="B887" t="s">
        <v>62</v>
      </c>
      <c r="C887" t="s">
        <v>63</v>
      </c>
      <c r="E887" t="str">
        <f>"FES1162745362"</f>
        <v>FES1162745362</v>
      </c>
      <c r="F887" s="1">
        <v>43945</v>
      </c>
      <c r="G887">
        <v>202010</v>
      </c>
      <c r="H887" t="s">
        <v>64</v>
      </c>
      <c r="I887" t="s">
        <v>65</v>
      </c>
      <c r="J887" t="s">
        <v>66</v>
      </c>
      <c r="K887" t="s">
        <v>67</v>
      </c>
      <c r="L887" t="s">
        <v>199</v>
      </c>
      <c r="M887" t="s">
        <v>200</v>
      </c>
      <c r="N887" t="s">
        <v>1033</v>
      </c>
      <c r="O887" t="s">
        <v>69</v>
      </c>
      <c r="P887" t="str">
        <f>"2170733125                    "</f>
        <v xml:space="preserve">2170733125                    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0</v>
      </c>
      <c r="AM887">
        <v>4.0599999999999996</v>
      </c>
      <c r="AN887">
        <v>0</v>
      </c>
      <c r="AO887">
        <v>0</v>
      </c>
      <c r="AP887">
        <v>0</v>
      </c>
      <c r="AQ887">
        <v>0</v>
      </c>
      <c r="AR887">
        <v>0</v>
      </c>
      <c r="AS887">
        <v>0</v>
      </c>
      <c r="AT887">
        <v>0</v>
      </c>
      <c r="AU887">
        <v>0</v>
      </c>
      <c r="AV887">
        <v>0</v>
      </c>
      <c r="AW887">
        <v>0</v>
      </c>
      <c r="AX887">
        <v>0</v>
      </c>
      <c r="AY887">
        <v>0</v>
      </c>
      <c r="AZ887">
        <v>0</v>
      </c>
      <c r="BA887">
        <v>0</v>
      </c>
      <c r="BB887">
        <v>0</v>
      </c>
      <c r="BG887">
        <v>0</v>
      </c>
      <c r="BH887">
        <v>1</v>
      </c>
      <c r="BI887">
        <v>2.2000000000000002</v>
      </c>
      <c r="BJ887">
        <v>2.7</v>
      </c>
      <c r="BK887">
        <v>3</v>
      </c>
      <c r="BL887">
        <v>44.61</v>
      </c>
      <c r="BM887">
        <v>6.69</v>
      </c>
      <c r="BN887">
        <v>51.3</v>
      </c>
      <c r="BO887">
        <v>51.3</v>
      </c>
      <c r="BQ887" t="s">
        <v>78</v>
      </c>
      <c r="BR887" t="s">
        <v>71</v>
      </c>
      <c r="BS887" s="1">
        <v>43949</v>
      </c>
      <c r="BT887" s="2">
        <v>0.41805555555555557</v>
      </c>
      <c r="BU887" t="s">
        <v>1034</v>
      </c>
      <c r="BV887" t="s">
        <v>80</v>
      </c>
      <c r="BY887">
        <v>13299</v>
      </c>
      <c r="BZ887" t="s">
        <v>23</v>
      </c>
      <c r="CA887" t="s">
        <v>437</v>
      </c>
      <c r="CC887" t="s">
        <v>200</v>
      </c>
      <c r="CD887">
        <v>1559</v>
      </c>
      <c r="CE887" t="s">
        <v>966</v>
      </c>
      <c r="CF887" s="1">
        <v>43950</v>
      </c>
      <c r="CI887">
        <v>1</v>
      </c>
      <c r="CJ887">
        <v>2</v>
      </c>
      <c r="CK887">
        <v>22</v>
      </c>
      <c r="CL887" t="s">
        <v>74</v>
      </c>
    </row>
    <row r="888" spans="1:90" x14ac:dyDescent="0.25">
      <c r="A888" t="s">
        <v>61</v>
      </c>
      <c r="B888" t="s">
        <v>62</v>
      </c>
      <c r="C888" t="s">
        <v>63</v>
      </c>
      <c r="E888" t="str">
        <f>"FES1162745779"</f>
        <v>FES1162745779</v>
      </c>
      <c r="F888" s="1">
        <v>43951</v>
      </c>
      <c r="G888">
        <v>202010</v>
      </c>
      <c r="H888" t="s">
        <v>64</v>
      </c>
      <c r="I888" t="s">
        <v>65</v>
      </c>
      <c r="J888" t="s">
        <v>66</v>
      </c>
      <c r="K888" t="s">
        <v>67</v>
      </c>
      <c r="L888" t="s">
        <v>64</v>
      </c>
      <c r="M888" t="s">
        <v>65</v>
      </c>
      <c r="N888" t="s">
        <v>1035</v>
      </c>
      <c r="O888" t="s">
        <v>69</v>
      </c>
      <c r="P888" t="str">
        <f>"2170736853                    "</f>
        <v xml:space="preserve">2170736853                    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3.27</v>
      </c>
      <c r="AN888">
        <v>0</v>
      </c>
      <c r="AO888">
        <v>0</v>
      </c>
      <c r="AP888">
        <v>0</v>
      </c>
      <c r="AQ888">
        <v>0</v>
      </c>
      <c r="AR888">
        <v>0</v>
      </c>
      <c r="AS888">
        <v>0</v>
      </c>
      <c r="AT888">
        <v>0</v>
      </c>
      <c r="AU888">
        <v>0</v>
      </c>
      <c r="AV888">
        <v>0</v>
      </c>
      <c r="AW888">
        <v>0</v>
      </c>
      <c r="AX888">
        <v>0</v>
      </c>
      <c r="AY888">
        <v>0</v>
      </c>
      <c r="AZ888">
        <v>0</v>
      </c>
      <c r="BA888">
        <v>0</v>
      </c>
      <c r="BB888">
        <v>0</v>
      </c>
      <c r="BG888">
        <v>0</v>
      </c>
      <c r="BH888">
        <v>1</v>
      </c>
      <c r="BI888">
        <v>1</v>
      </c>
      <c r="BJ888">
        <v>0.2</v>
      </c>
      <c r="BK888">
        <v>1</v>
      </c>
      <c r="BL888">
        <v>35.979999999999997</v>
      </c>
      <c r="BM888">
        <v>5.4</v>
      </c>
      <c r="BN888">
        <v>41.38</v>
      </c>
      <c r="BO888">
        <v>41.38</v>
      </c>
      <c r="BQ888" t="s">
        <v>70</v>
      </c>
      <c r="BR888" t="s">
        <v>71</v>
      </c>
      <c r="BS888" t="s">
        <v>72</v>
      </c>
      <c r="BY888">
        <v>1200</v>
      </c>
      <c r="CC888" t="s">
        <v>65</v>
      </c>
      <c r="CD888">
        <v>1665</v>
      </c>
      <c r="CE888" t="s">
        <v>73</v>
      </c>
      <c r="CI888">
        <v>1</v>
      </c>
      <c r="CJ888" t="s">
        <v>72</v>
      </c>
      <c r="CK888">
        <v>22</v>
      </c>
      <c r="CL888" t="s">
        <v>74</v>
      </c>
    </row>
    <row r="889" spans="1:90" x14ac:dyDescent="0.25">
      <c r="A889" t="s">
        <v>61</v>
      </c>
      <c r="B889" t="s">
        <v>62</v>
      </c>
      <c r="C889" t="s">
        <v>63</v>
      </c>
      <c r="E889" t="str">
        <f>"FES1162745613"</f>
        <v>FES1162745613</v>
      </c>
      <c r="F889" s="1">
        <v>43950</v>
      </c>
      <c r="G889">
        <v>202010</v>
      </c>
      <c r="H889" t="s">
        <v>64</v>
      </c>
      <c r="I889" t="s">
        <v>65</v>
      </c>
      <c r="J889" t="s">
        <v>66</v>
      </c>
      <c r="K889" t="s">
        <v>67</v>
      </c>
      <c r="L889" t="s">
        <v>64</v>
      </c>
      <c r="M889" t="s">
        <v>65</v>
      </c>
      <c r="N889" t="s">
        <v>68</v>
      </c>
      <c r="O889" t="s">
        <v>69</v>
      </c>
      <c r="P889" t="str">
        <f>"2170734749                    "</f>
        <v xml:space="preserve">2170734749                    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0</v>
      </c>
      <c r="AM889">
        <v>3.27</v>
      </c>
      <c r="AN889">
        <v>0</v>
      </c>
      <c r="AO889">
        <v>0</v>
      </c>
      <c r="AP889">
        <v>0</v>
      </c>
      <c r="AQ889">
        <v>0</v>
      </c>
      <c r="AR889">
        <v>0</v>
      </c>
      <c r="AS889">
        <v>0</v>
      </c>
      <c r="AT889">
        <v>0</v>
      </c>
      <c r="AU889">
        <v>0</v>
      </c>
      <c r="AV889">
        <v>0</v>
      </c>
      <c r="AW889">
        <v>0</v>
      </c>
      <c r="AX889">
        <v>0</v>
      </c>
      <c r="AY889">
        <v>0</v>
      </c>
      <c r="AZ889">
        <v>0</v>
      </c>
      <c r="BA889">
        <v>0</v>
      </c>
      <c r="BB889">
        <v>0</v>
      </c>
      <c r="BG889">
        <v>0</v>
      </c>
      <c r="BH889">
        <v>1</v>
      </c>
      <c r="BI889">
        <v>1</v>
      </c>
      <c r="BJ889">
        <v>0.2</v>
      </c>
      <c r="BK889">
        <v>1</v>
      </c>
      <c r="BL889">
        <v>35.979999999999997</v>
      </c>
      <c r="BM889">
        <v>5.4</v>
      </c>
      <c r="BN889">
        <v>41.38</v>
      </c>
      <c r="BO889">
        <v>41.38</v>
      </c>
      <c r="BQ889" t="s">
        <v>70</v>
      </c>
      <c r="BR889" t="s">
        <v>71</v>
      </c>
      <c r="BS889" t="s">
        <v>72</v>
      </c>
      <c r="BY889">
        <v>1200</v>
      </c>
      <c r="CC889" t="s">
        <v>65</v>
      </c>
      <c r="CD889">
        <v>1645</v>
      </c>
      <c r="CE889" t="s">
        <v>73</v>
      </c>
      <c r="CI889">
        <v>1</v>
      </c>
      <c r="CJ889" t="s">
        <v>72</v>
      </c>
      <c r="CK889">
        <v>22</v>
      </c>
      <c r="CL889" t="s">
        <v>74</v>
      </c>
    </row>
    <row r="890" spans="1:90" x14ac:dyDescent="0.25">
      <c r="A890" t="s">
        <v>61</v>
      </c>
      <c r="B890" t="s">
        <v>62</v>
      </c>
      <c r="C890" t="s">
        <v>63</v>
      </c>
      <c r="E890" t="str">
        <f>"FES1162745634"</f>
        <v>FES1162745634</v>
      </c>
      <c r="F890" s="1">
        <v>43950</v>
      </c>
      <c r="G890">
        <v>202010</v>
      </c>
      <c r="H890" t="s">
        <v>64</v>
      </c>
      <c r="I890" t="s">
        <v>65</v>
      </c>
      <c r="J890" t="s">
        <v>66</v>
      </c>
      <c r="K890" t="s">
        <v>67</v>
      </c>
      <c r="L890" t="s">
        <v>64</v>
      </c>
      <c r="M890" t="s">
        <v>65</v>
      </c>
      <c r="N890" t="s">
        <v>219</v>
      </c>
      <c r="O890" t="s">
        <v>69</v>
      </c>
      <c r="P890" t="str">
        <f>"2170735726                    "</f>
        <v xml:space="preserve">2170735726                    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0</v>
      </c>
      <c r="AM890">
        <v>3.27</v>
      </c>
      <c r="AN890">
        <v>0</v>
      </c>
      <c r="AO890">
        <v>0</v>
      </c>
      <c r="AP890">
        <v>0</v>
      </c>
      <c r="AQ890">
        <v>0</v>
      </c>
      <c r="AR890">
        <v>0</v>
      </c>
      <c r="AS890">
        <v>0</v>
      </c>
      <c r="AT890">
        <v>0</v>
      </c>
      <c r="AU890">
        <v>0</v>
      </c>
      <c r="AV890">
        <v>0</v>
      </c>
      <c r="AW890">
        <v>0</v>
      </c>
      <c r="AX890">
        <v>0</v>
      </c>
      <c r="AY890">
        <v>0</v>
      </c>
      <c r="AZ890">
        <v>0</v>
      </c>
      <c r="BA890">
        <v>0</v>
      </c>
      <c r="BB890">
        <v>0</v>
      </c>
      <c r="BG890">
        <v>0</v>
      </c>
      <c r="BH890">
        <v>1</v>
      </c>
      <c r="BI890">
        <v>1</v>
      </c>
      <c r="BJ890">
        <v>0.2</v>
      </c>
      <c r="BK890">
        <v>1</v>
      </c>
      <c r="BL890">
        <v>35.979999999999997</v>
      </c>
      <c r="BM890">
        <v>5.4</v>
      </c>
      <c r="BN890">
        <v>41.38</v>
      </c>
      <c r="BO890">
        <v>41.38</v>
      </c>
      <c r="BQ890" t="s">
        <v>78</v>
      </c>
      <c r="BR890" t="s">
        <v>71</v>
      </c>
      <c r="BS890" t="s">
        <v>72</v>
      </c>
      <c r="BY890">
        <v>1200</v>
      </c>
      <c r="CC890" t="s">
        <v>65</v>
      </c>
      <c r="CD890">
        <v>1601</v>
      </c>
      <c r="CE890" t="s">
        <v>73</v>
      </c>
      <c r="CI890">
        <v>1</v>
      </c>
      <c r="CJ890" t="s">
        <v>72</v>
      </c>
      <c r="CK890">
        <v>22</v>
      </c>
      <c r="CL890" t="s">
        <v>74</v>
      </c>
    </row>
    <row r="891" spans="1:90" x14ac:dyDescent="0.25">
      <c r="A891" t="s">
        <v>61</v>
      </c>
      <c r="B891" t="s">
        <v>62</v>
      </c>
      <c r="C891" t="s">
        <v>63</v>
      </c>
      <c r="E891" t="str">
        <f>"FES1162745577"</f>
        <v>FES1162745577</v>
      </c>
      <c r="F891" s="1">
        <v>43950</v>
      </c>
      <c r="G891">
        <v>202010</v>
      </c>
      <c r="H891" t="s">
        <v>64</v>
      </c>
      <c r="I891" t="s">
        <v>65</v>
      </c>
      <c r="J891" t="s">
        <v>66</v>
      </c>
      <c r="K891" t="s">
        <v>67</v>
      </c>
      <c r="L891" t="s">
        <v>368</v>
      </c>
      <c r="M891" t="s">
        <v>369</v>
      </c>
      <c r="N891" t="s">
        <v>815</v>
      </c>
      <c r="O891" t="s">
        <v>69</v>
      </c>
      <c r="P891" t="str">
        <f>"2170735139                    "</f>
        <v xml:space="preserve">2170735139                    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3.27</v>
      </c>
      <c r="AN891">
        <v>0</v>
      </c>
      <c r="AO891">
        <v>0</v>
      </c>
      <c r="AP891">
        <v>0</v>
      </c>
      <c r="AQ891">
        <v>0</v>
      </c>
      <c r="AR891">
        <v>0</v>
      </c>
      <c r="AS891">
        <v>0</v>
      </c>
      <c r="AT891">
        <v>0</v>
      </c>
      <c r="AU891">
        <v>0</v>
      </c>
      <c r="AV891">
        <v>0</v>
      </c>
      <c r="AW891">
        <v>0</v>
      </c>
      <c r="AX891">
        <v>0</v>
      </c>
      <c r="AY891">
        <v>0</v>
      </c>
      <c r="AZ891">
        <v>0</v>
      </c>
      <c r="BA891">
        <v>0</v>
      </c>
      <c r="BB891">
        <v>0</v>
      </c>
      <c r="BG891">
        <v>0</v>
      </c>
      <c r="BH891">
        <v>1</v>
      </c>
      <c r="BI891">
        <v>1</v>
      </c>
      <c r="BJ891">
        <v>0.2</v>
      </c>
      <c r="BK891">
        <v>1</v>
      </c>
      <c r="BL891">
        <v>35.979999999999997</v>
      </c>
      <c r="BM891">
        <v>5.4</v>
      </c>
      <c r="BN891">
        <v>41.38</v>
      </c>
      <c r="BO891">
        <v>41.38</v>
      </c>
      <c r="BQ891" t="s">
        <v>70</v>
      </c>
      <c r="BR891" t="s">
        <v>71</v>
      </c>
      <c r="BS891" s="1">
        <v>43951</v>
      </c>
      <c r="BT891" s="2">
        <v>0.51458333333333328</v>
      </c>
      <c r="BU891" t="s">
        <v>1036</v>
      </c>
      <c r="BV891" t="s">
        <v>74</v>
      </c>
      <c r="BY891">
        <v>1200</v>
      </c>
      <c r="CA891" t="s">
        <v>428</v>
      </c>
      <c r="CC891" t="s">
        <v>369</v>
      </c>
      <c r="CD891">
        <v>1428</v>
      </c>
      <c r="CE891" t="s">
        <v>73</v>
      </c>
      <c r="CI891">
        <v>1</v>
      </c>
      <c r="CJ891">
        <v>1</v>
      </c>
      <c r="CK891">
        <v>22</v>
      </c>
      <c r="CL891" t="s">
        <v>74</v>
      </c>
    </row>
    <row r="892" spans="1:90" x14ac:dyDescent="0.25">
      <c r="A892" t="s">
        <v>61</v>
      </c>
      <c r="B892" t="s">
        <v>62</v>
      </c>
      <c r="C892" t="s">
        <v>63</v>
      </c>
      <c r="E892" t="str">
        <f>"FES1162745609"</f>
        <v>FES1162745609</v>
      </c>
      <c r="F892" s="1">
        <v>43950</v>
      </c>
      <c r="G892">
        <v>202010</v>
      </c>
      <c r="H892" t="s">
        <v>64</v>
      </c>
      <c r="I892" t="s">
        <v>65</v>
      </c>
      <c r="J892" t="s">
        <v>66</v>
      </c>
      <c r="K892" t="s">
        <v>67</v>
      </c>
      <c r="L892" t="s">
        <v>64</v>
      </c>
      <c r="M892" t="s">
        <v>65</v>
      </c>
      <c r="N892" t="s">
        <v>68</v>
      </c>
      <c r="O892" t="s">
        <v>69</v>
      </c>
      <c r="P892" t="str">
        <f>"2170734095                    "</f>
        <v xml:space="preserve">2170734095                    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0</v>
      </c>
      <c r="AM892">
        <v>3.27</v>
      </c>
      <c r="AN892">
        <v>0</v>
      </c>
      <c r="AO892">
        <v>0</v>
      </c>
      <c r="AP892">
        <v>0</v>
      </c>
      <c r="AQ892">
        <v>0</v>
      </c>
      <c r="AR892">
        <v>0</v>
      </c>
      <c r="AS892">
        <v>0</v>
      </c>
      <c r="AT892">
        <v>0</v>
      </c>
      <c r="AU892">
        <v>0</v>
      </c>
      <c r="AV892">
        <v>0</v>
      </c>
      <c r="AW892">
        <v>0</v>
      </c>
      <c r="AX892">
        <v>0</v>
      </c>
      <c r="AY892">
        <v>0</v>
      </c>
      <c r="AZ892">
        <v>0</v>
      </c>
      <c r="BA892">
        <v>0</v>
      </c>
      <c r="BB892">
        <v>0</v>
      </c>
      <c r="BG892">
        <v>0</v>
      </c>
      <c r="BH892">
        <v>1</v>
      </c>
      <c r="BI892">
        <v>1</v>
      </c>
      <c r="BJ892">
        <v>0.2</v>
      </c>
      <c r="BK892">
        <v>1</v>
      </c>
      <c r="BL892">
        <v>35.979999999999997</v>
      </c>
      <c r="BM892">
        <v>5.4</v>
      </c>
      <c r="BN892">
        <v>41.38</v>
      </c>
      <c r="BO892">
        <v>41.38</v>
      </c>
      <c r="BQ892" t="s">
        <v>70</v>
      </c>
      <c r="BR892" t="s">
        <v>71</v>
      </c>
      <c r="BS892" t="s">
        <v>72</v>
      </c>
      <c r="BY892">
        <v>1200</v>
      </c>
      <c r="CC892" t="s">
        <v>65</v>
      </c>
      <c r="CD892">
        <v>1645</v>
      </c>
      <c r="CE892" t="s">
        <v>73</v>
      </c>
      <c r="CI892">
        <v>1</v>
      </c>
      <c r="CJ892" t="s">
        <v>72</v>
      </c>
      <c r="CK892">
        <v>22</v>
      </c>
      <c r="CL892" t="s">
        <v>74</v>
      </c>
    </row>
    <row r="893" spans="1:90" x14ac:dyDescent="0.25">
      <c r="A893" t="s">
        <v>61</v>
      </c>
      <c r="B893" t="s">
        <v>62</v>
      </c>
      <c r="C893" t="s">
        <v>63</v>
      </c>
      <c r="E893" t="str">
        <f>"FES1162745608"</f>
        <v>FES1162745608</v>
      </c>
      <c r="F893" s="1">
        <v>43950</v>
      </c>
      <c r="G893">
        <v>202010</v>
      </c>
      <c r="H893" t="s">
        <v>64</v>
      </c>
      <c r="I893" t="s">
        <v>65</v>
      </c>
      <c r="J893" t="s">
        <v>66</v>
      </c>
      <c r="K893" t="s">
        <v>67</v>
      </c>
      <c r="L893" t="s">
        <v>64</v>
      </c>
      <c r="M893" t="s">
        <v>65</v>
      </c>
      <c r="N893" t="s">
        <v>68</v>
      </c>
      <c r="O893" t="s">
        <v>69</v>
      </c>
      <c r="P893" t="str">
        <f>"2170733541                    "</f>
        <v xml:space="preserve">2170733541                    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3.27</v>
      </c>
      <c r="AN893">
        <v>0</v>
      </c>
      <c r="AO893">
        <v>0</v>
      </c>
      <c r="AP893">
        <v>0</v>
      </c>
      <c r="AQ893">
        <v>0</v>
      </c>
      <c r="AR893">
        <v>0</v>
      </c>
      <c r="AS893">
        <v>0</v>
      </c>
      <c r="AT893">
        <v>0</v>
      </c>
      <c r="AU893">
        <v>0</v>
      </c>
      <c r="AV893">
        <v>0</v>
      </c>
      <c r="AW893">
        <v>0</v>
      </c>
      <c r="AX893">
        <v>0</v>
      </c>
      <c r="AY893">
        <v>0</v>
      </c>
      <c r="AZ893">
        <v>0</v>
      </c>
      <c r="BA893">
        <v>0</v>
      </c>
      <c r="BB893">
        <v>0</v>
      </c>
      <c r="BG893">
        <v>0</v>
      </c>
      <c r="BH893">
        <v>1</v>
      </c>
      <c r="BI893">
        <v>1</v>
      </c>
      <c r="BJ893">
        <v>0.2</v>
      </c>
      <c r="BK893">
        <v>1</v>
      </c>
      <c r="BL893">
        <v>35.979999999999997</v>
      </c>
      <c r="BM893">
        <v>5.4</v>
      </c>
      <c r="BN893">
        <v>41.38</v>
      </c>
      <c r="BO893">
        <v>41.38</v>
      </c>
      <c r="BQ893" t="s">
        <v>70</v>
      </c>
      <c r="BR893" t="s">
        <v>71</v>
      </c>
      <c r="BS893" t="s">
        <v>72</v>
      </c>
      <c r="BY893">
        <v>1200</v>
      </c>
      <c r="CC893" t="s">
        <v>65</v>
      </c>
      <c r="CD893">
        <v>1645</v>
      </c>
      <c r="CE893" t="s">
        <v>73</v>
      </c>
      <c r="CI893">
        <v>1</v>
      </c>
      <c r="CJ893" t="s">
        <v>72</v>
      </c>
      <c r="CK893">
        <v>22</v>
      </c>
      <c r="CL893" t="s">
        <v>74</v>
      </c>
    </row>
    <row r="894" spans="1:90" x14ac:dyDescent="0.25">
      <c r="A894" t="s">
        <v>61</v>
      </c>
      <c r="B894" t="s">
        <v>62</v>
      </c>
      <c r="C894" t="s">
        <v>63</v>
      </c>
      <c r="E894" t="str">
        <f>"FES1162745668"</f>
        <v>FES1162745668</v>
      </c>
      <c r="F894" s="1">
        <v>43950</v>
      </c>
      <c r="G894">
        <v>202010</v>
      </c>
      <c r="H894" t="s">
        <v>64</v>
      </c>
      <c r="I894" t="s">
        <v>65</v>
      </c>
      <c r="J894" t="s">
        <v>66</v>
      </c>
      <c r="K894" t="s">
        <v>67</v>
      </c>
      <c r="L894" t="s">
        <v>177</v>
      </c>
      <c r="M894" t="s">
        <v>178</v>
      </c>
      <c r="N894" t="s">
        <v>179</v>
      </c>
      <c r="O894" t="s">
        <v>69</v>
      </c>
      <c r="P894" t="str">
        <f>"2170736580                    "</f>
        <v xml:space="preserve">2170736580                    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9.42</v>
      </c>
      <c r="AN894">
        <v>0</v>
      </c>
      <c r="AO894">
        <v>0</v>
      </c>
      <c r="AP894">
        <v>0</v>
      </c>
      <c r="AQ894">
        <v>0</v>
      </c>
      <c r="AR894">
        <v>0</v>
      </c>
      <c r="AS894">
        <v>0</v>
      </c>
      <c r="AT894">
        <v>0</v>
      </c>
      <c r="AU894">
        <v>0</v>
      </c>
      <c r="AV894">
        <v>0</v>
      </c>
      <c r="AW894">
        <v>0</v>
      </c>
      <c r="AX894">
        <v>0</v>
      </c>
      <c r="AY894">
        <v>0</v>
      </c>
      <c r="AZ894">
        <v>0</v>
      </c>
      <c r="BA894">
        <v>0</v>
      </c>
      <c r="BB894">
        <v>0</v>
      </c>
      <c r="BG894">
        <v>0</v>
      </c>
      <c r="BH894">
        <v>1</v>
      </c>
      <c r="BI894">
        <v>2</v>
      </c>
      <c r="BJ894">
        <v>4.0999999999999996</v>
      </c>
      <c r="BK894">
        <v>4.5</v>
      </c>
      <c r="BL894">
        <v>103.59</v>
      </c>
      <c r="BM894">
        <v>15.54</v>
      </c>
      <c r="BN894">
        <v>119.13</v>
      </c>
      <c r="BO894">
        <v>119.13</v>
      </c>
      <c r="BQ894" t="s">
        <v>70</v>
      </c>
      <c r="BR894" t="s">
        <v>71</v>
      </c>
      <c r="BS894" s="1">
        <v>43951</v>
      </c>
      <c r="BT894" s="2">
        <v>0.52847222222222223</v>
      </c>
      <c r="BU894" t="s">
        <v>1037</v>
      </c>
      <c r="BV894" t="s">
        <v>80</v>
      </c>
      <c r="BY894">
        <v>20358</v>
      </c>
      <c r="CA894" t="s">
        <v>741</v>
      </c>
      <c r="CC894" t="s">
        <v>178</v>
      </c>
      <c r="CD894">
        <v>4302</v>
      </c>
      <c r="CE894" t="s">
        <v>91</v>
      </c>
      <c r="CI894">
        <v>1</v>
      </c>
      <c r="CJ894">
        <v>1</v>
      </c>
      <c r="CK894">
        <v>21</v>
      </c>
      <c r="CL894" t="s">
        <v>74</v>
      </c>
    </row>
    <row r="895" spans="1:90" x14ac:dyDescent="0.25">
      <c r="A895" t="s">
        <v>61</v>
      </c>
      <c r="B895" t="s">
        <v>62</v>
      </c>
      <c r="C895" t="s">
        <v>63</v>
      </c>
      <c r="E895" t="str">
        <f>"FES1162745707"</f>
        <v>FES1162745707</v>
      </c>
      <c r="F895" s="1">
        <v>43951</v>
      </c>
      <c r="G895">
        <v>202010</v>
      </c>
      <c r="H895" t="s">
        <v>64</v>
      </c>
      <c r="I895" t="s">
        <v>65</v>
      </c>
      <c r="J895" t="s">
        <v>66</v>
      </c>
      <c r="K895" t="s">
        <v>67</v>
      </c>
      <c r="L895" t="s">
        <v>212</v>
      </c>
      <c r="M895" t="s">
        <v>213</v>
      </c>
      <c r="N895" t="s">
        <v>647</v>
      </c>
      <c r="O895" t="s">
        <v>69</v>
      </c>
      <c r="P895" t="str">
        <f>"2170736628                    "</f>
        <v xml:space="preserve">2170736628                    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8.3699999999999992</v>
      </c>
      <c r="AN895">
        <v>0</v>
      </c>
      <c r="AO895">
        <v>0</v>
      </c>
      <c r="AP895">
        <v>0</v>
      </c>
      <c r="AQ895">
        <v>0</v>
      </c>
      <c r="AR895">
        <v>0</v>
      </c>
      <c r="AS895">
        <v>0</v>
      </c>
      <c r="AT895">
        <v>0</v>
      </c>
      <c r="AU895">
        <v>0</v>
      </c>
      <c r="AV895">
        <v>0</v>
      </c>
      <c r="AW895">
        <v>0</v>
      </c>
      <c r="AX895">
        <v>0</v>
      </c>
      <c r="AY895">
        <v>0</v>
      </c>
      <c r="AZ895">
        <v>0</v>
      </c>
      <c r="BA895">
        <v>0</v>
      </c>
      <c r="BB895">
        <v>0</v>
      </c>
      <c r="BG895">
        <v>0</v>
      </c>
      <c r="BH895">
        <v>1</v>
      </c>
      <c r="BI895">
        <v>3.7</v>
      </c>
      <c r="BJ895">
        <v>0.9</v>
      </c>
      <c r="BK895">
        <v>4</v>
      </c>
      <c r="BL895">
        <v>92.08</v>
      </c>
      <c r="BM895">
        <v>13.81</v>
      </c>
      <c r="BN895">
        <v>105.89</v>
      </c>
      <c r="BO895">
        <v>105.89</v>
      </c>
      <c r="BQ895" t="s">
        <v>78</v>
      </c>
      <c r="BR895" t="s">
        <v>71</v>
      </c>
      <c r="BS895" t="s">
        <v>72</v>
      </c>
      <c r="BY895">
        <v>4559</v>
      </c>
      <c r="CC895" t="s">
        <v>213</v>
      </c>
      <c r="CD895">
        <v>3610</v>
      </c>
      <c r="CE895" t="s">
        <v>91</v>
      </c>
      <c r="CI895">
        <v>1</v>
      </c>
      <c r="CJ895" t="s">
        <v>72</v>
      </c>
      <c r="CK895">
        <v>21</v>
      </c>
      <c r="CL895" t="s">
        <v>74</v>
      </c>
    </row>
    <row r="896" spans="1:90" x14ac:dyDescent="0.25">
      <c r="A896" t="s">
        <v>61</v>
      </c>
      <c r="B896" t="s">
        <v>62</v>
      </c>
      <c r="C896" t="s">
        <v>63</v>
      </c>
      <c r="E896" t="str">
        <f>"RFES1162745056"</f>
        <v>RFES1162745056</v>
      </c>
      <c r="F896" s="1">
        <v>43946</v>
      </c>
      <c r="G896">
        <v>202010</v>
      </c>
      <c r="H896" t="s">
        <v>368</v>
      </c>
      <c r="I896" t="s">
        <v>369</v>
      </c>
      <c r="J896" t="s">
        <v>815</v>
      </c>
      <c r="K896" t="s">
        <v>67</v>
      </c>
      <c r="L896" t="s">
        <v>64</v>
      </c>
      <c r="M896" t="s">
        <v>65</v>
      </c>
      <c r="N896" t="s">
        <v>66</v>
      </c>
      <c r="O896" t="s">
        <v>69</v>
      </c>
      <c r="P896" t="str">
        <f>"2170733861 CLIENT             "</f>
        <v xml:space="preserve">2170733861 CLIENT             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3.66</v>
      </c>
      <c r="AN896">
        <v>0</v>
      </c>
      <c r="AO896">
        <v>0</v>
      </c>
      <c r="AP896">
        <v>0</v>
      </c>
      <c r="AQ896">
        <v>0</v>
      </c>
      <c r="AR896">
        <v>0</v>
      </c>
      <c r="AS896">
        <v>0</v>
      </c>
      <c r="AT896">
        <v>0</v>
      </c>
      <c r="AU896">
        <v>0</v>
      </c>
      <c r="AV896">
        <v>0</v>
      </c>
      <c r="AW896">
        <v>0</v>
      </c>
      <c r="AX896">
        <v>0</v>
      </c>
      <c r="AY896">
        <v>0</v>
      </c>
      <c r="AZ896">
        <v>0</v>
      </c>
      <c r="BA896">
        <v>0</v>
      </c>
      <c r="BB896">
        <v>0</v>
      </c>
      <c r="BG896">
        <v>0</v>
      </c>
      <c r="BH896">
        <v>1</v>
      </c>
      <c r="BI896">
        <v>1.2</v>
      </c>
      <c r="BJ896">
        <v>2.5</v>
      </c>
      <c r="BK896">
        <v>2.5</v>
      </c>
      <c r="BL896">
        <v>40.29</v>
      </c>
      <c r="BM896">
        <v>6.04</v>
      </c>
      <c r="BN896">
        <v>46.33</v>
      </c>
      <c r="BO896">
        <v>46.33</v>
      </c>
      <c r="BQ896" t="s">
        <v>71</v>
      </c>
      <c r="BR896" t="s">
        <v>70</v>
      </c>
      <c r="BS896" s="1">
        <v>43949</v>
      </c>
      <c r="BT896" s="2">
        <v>0.3666666666666667</v>
      </c>
      <c r="BU896" t="s">
        <v>893</v>
      </c>
      <c r="BV896" t="s">
        <v>80</v>
      </c>
      <c r="BY896">
        <v>12740</v>
      </c>
      <c r="CC896" t="s">
        <v>65</v>
      </c>
      <c r="CD896">
        <v>1601</v>
      </c>
      <c r="CE896" t="s">
        <v>73</v>
      </c>
      <c r="CF896" s="1">
        <v>43950</v>
      </c>
      <c r="CI896">
        <v>1</v>
      </c>
      <c r="CJ896">
        <v>1</v>
      </c>
      <c r="CK896">
        <v>22</v>
      </c>
      <c r="CL896" t="s">
        <v>74</v>
      </c>
    </row>
    <row r="897" spans="1:90" x14ac:dyDescent="0.25">
      <c r="A897" t="s">
        <v>61</v>
      </c>
      <c r="B897" t="s">
        <v>62</v>
      </c>
      <c r="C897" t="s">
        <v>63</v>
      </c>
      <c r="E897" t="str">
        <f>"FES1162744631"</f>
        <v>FES1162744631</v>
      </c>
      <c r="F897" s="1">
        <v>43951</v>
      </c>
      <c r="G897">
        <v>202010</v>
      </c>
      <c r="H897" t="s">
        <v>64</v>
      </c>
      <c r="I897" t="s">
        <v>65</v>
      </c>
      <c r="J897" t="s">
        <v>66</v>
      </c>
      <c r="K897" t="s">
        <v>67</v>
      </c>
      <c r="L897" t="s">
        <v>75</v>
      </c>
      <c r="M897" t="s">
        <v>76</v>
      </c>
      <c r="N897" t="s">
        <v>569</v>
      </c>
      <c r="O897" t="s">
        <v>69</v>
      </c>
      <c r="P897" t="str">
        <f>"2170733321                    "</f>
        <v xml:space="preserve">2170733321                    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3.66</v>
      </c>
      <c r="AN897">
        <v>0</v>
      </c>
      <c r="AO897">
        <v>0</v>
      </c>
      <c r="AP897">
        <v>0</v>
      </c>
      <c r="AQ897">
        <v>0</v>
      </c>
      <c r="AR897">
        <v>0</v>
      </c>
      <c r="AS897">
        <v>0</v>
      </c>
      <c r="AT897">
        <v>0</v>
      </c>
      <c r="AU897">
        <v>0</v>
      </c>
      <c r="AV897">
        <v>0</v>
      </c>
      <c r="AW897">
        <v>0</v>
      </c>
      <c r="AX897">
        <v>0</v>
      </c>
      <c r="AY897">
        <v>0</v>
      </c>
      <c r="AZ897">
        <v>0</v>
      </c>
      <c r="BA897">
        <v>0</v>
      </c>
      <c r="BB897">
        <v>0</v>
      </c>
      <c r="BG897">
        <v>0</v>
      </c>
      <c r="BH897">
        <v>1</v>
      </c>
      <c r="BI897">
        <v>2.1</v>
      </c>
      <c r="BJ897">
        <v>0.6</v>
      </c>
      <c r="BK897">
        <v>2.5</v>
      </c>
      <c r="BL897">
        <v>40.29</v>
      </c>
      <c r="BM897">
        <v>6.04</v>
      </c>
      <c r="BN897">
        <v>46.33</v>
      </c>
      <c r="BO897">
        <v>46.33</v>
      </c>
      <c r="BQ897" t="s">
        <v>78</v>
      </c>
      <c r="BR897" t="s">
        <v>71</v>
      </c>
      <c r="BS897" t="s">
        <v>72</v>
      </c>
      <c r="BY897">
        <v>3211.98</v>
      </c>
      <c r="CC897" t="s">
        <v>76</v>
      </c>
      <c r="CD897">
        <v>1459</v>
      </c>
      <c r="CE897" t="s">
        <v>91</v>
      </c>
      <c r="CI897">
        <v>1</v>
      </c>
      <c r="CJ897" t="s">
        <v>72</v>
      </c>
      <c r="CK897">
        <v>22</v>
      </c>
      <c r="CL897" t="s">
        <v>74</v>
      </c>
    </row>
    <row r="898" spans="1:90" x14ac:dyDescent="0.25">
      <c r="A898" t="s">
        <v>61</v>
      </c>
      <c r="B898" t="s">
        <v>62</v>
      </c>
      <c r="C898" t="s">
        <v>63</v>
      </c>
      <c r="E898" t="str">
        <f>"FES1162745041"</f>
        <v>FES1162745041</v>
      </c>
      <c r="F898" s="1">
        <v>43949</v>
      </c>
      <c r="G898">
        <v>202010</v>
      </c>
      <c r="H898" t="s">
        <v>64</v>
      </c>
      <c r="I898" t="s">
        <v>65</v>
      </c>
      <c r="J898" t="s">
        <v>66</v>
      </c>
      <c r="K898" t="s">
        <v>67</v>
      </c>
      <c r="L898" t="s">
        <v>75</v>
      </c>
      <c r="M898" t="s">
        <v>76</v>
      </c>
      <c r="N898" t="s">
        <v>435</v>
      </c>
      <c r="O898" t="s">
        <v>69</v>
      </c>
      <c r="P898" t="str">
        <f>"2170736243                    "</f>
        <v xml:space="preserve">2170736243                    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0</v>
      </c>
      <c r="AM898">
        <v>3.27</v>
      </c>
      <c r="AN898">
        <v>0</v>
      </c>
      <c r="AO898">
        <v>0</v>
      </c>
      <c r="AP898">
        <v>0</v>
      </c>
      <c r="AQ898">
        <v>0</v>
      </c>
      <c r="AR898">
        <v>0</v>
      </c>
      <c r="AS898">
        <v>0</v>
      </c>
      <c r="AT898">
        <v>0</v>
      </c>
      <c r="AU898">
        <v>0</v>
      </c>
      <c r="AV898">
        <v>0</v>
      </c>
      <c r="AW898">
        <v>0</v>
      </c>
      <c r="AX898">
        <v>0</v>
      </c>
      <c r="AY898">
        <v>0</v>
      </c>
      <c r="AZ898">
        <v>0</v>
      </c>
      <c r="BA898">
        <v>0</v>
      </c>
      <c r="BB898">
        <v>0</v>
      </c>
      <c r="BG898">
        <v>0</v>
      </c>
      <c r="BH898">
        <v>1</v>
      </c>
      <c r="BI898">
        <v>1</v>
      </c>
      <c r="BJ898">
        <v>0.2</v>
      </c>
      <c r="BK898">
        <v>1</v>
      </c>
      <c r="BL898">
        <v>35.979999999999997</v>
      </c>
      <c r="BM898">
        <v>5.4</v>
      </c>
      <c r="BN898">
        <v>41.38</v>
      </c>
      <c r="BO898">
        <v>41.38</v>
      </c>
      <c r="BQ898" t="s">
        <v>70</v>
      </c>
      <c r="BR898" t="s">
        <v>71</v>
      </c>
      <c r="BS898" s="1">
        <v>43950</v>
      </c>
      <c r="BT898" s="2">
        <v>0.37152777777777773</v>
      </c>
      <c r="BU898" t="s">
        <v>436</v>
      </c>
      <c r="BV898" t="s">
        <v>80</v>
      </c>
      <c r="BY898">
        <v>1200</v>
      </c>
      <c r="CA898" t="s">
        <v>437</v>
      </c>
      <c r="CC898" t="s">
        <v>76</v>
      </c>
      <c r="CD898">
        <v>1459</v>
      </c>
      <c r="CE898" t="s">
        <v>73</v>
      </c>
      <c r="CF898" s="1">
        <v>43951</v>
      </c>
      <c r="CI898">
        <v>1</v>
      </c>
      <c r="CJ898">
        <v>1</v>
      </c>
      <c r="CK898">
        <v>22</v>
      </c>
      <c r="CL898" t="s">
        <v>74</v>
      </c>
    </row>
    <row r="899" spans="1:90" x14ac:dyDescent="0.25">
      <c r="A899" t="s">
        <v>61</v>
      </c>
      <c r="B899" t="s">
        <v>62</v>
      </c>
      <c r="C899" t="s">
        <v>63</v>
      </c>
      <c r="E899" t="str">
        <f>"FES1162745068"</f>
        <v>FES1162745068</v>
      </c>
      <c r="F899" s="1">
        <v>43949</v>
      </c>
      <c r="G899">
        <v>202010</v>
      </c>
      <c r="H899" t="s">
        <v>64</v>
      </c>
      <c r="I899" t="s">
        <v>65</v>
      </c>
      <c r="J899" t="s">
        <v>66</v>
      </c>
      <c r="K899" t="s">
        <v>67</v>
      </c>
      <c r="L899" t="s">
        <v>225</v>
      </c>
      <c r="M899" t="s">
        <v>226</v>
      </c>
      <c r="N899" t="s">
        <v>620</v>
      </c>
      <c r="O899" t="s">
        <v>69</v>
      </c>
      <c r="P899" t="str">
        <f>"217036283                     "</f>
        <v xml:space="preserve">217036283                     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0</v>
      </c>
      <c r="AM899">
        <v>8.11</v>
      </c>
      <c r="AN899">
        <v>0</v>
      </c>
      <c r="AO899">
        <v>0</v>
      </c>
      <c r="AP899">
        <v>0</v>
      </c>
      <c r="AQ899">
        <v>0</v>
      </c>
      <c r="AR899">
        <v>0</v>
      </c>
      <c r="AS899">
        <v>0</v>
      </c>
      <c r="AT899">
        <v>0</v>
      </c>
      <c r="AU899">
        <v>0</v>
      </c>
      <c r="AV899">
        <v>0</v>
      </c>
      <c r="AW899">
        <v>0</v>
      </c>
      <c r="AX899">
        <v>0</v>
      </c>
      <c r="AY899">
        <v>0</v>
      </c>
      <c r="AZ899">
        <v>0</v>
      </c>
      <c r="BA899">
        <v>0</v>
      </c>
      <c r="BB899">
        <v>0</v>
      </c>
      <c r="BG899">
        <v>0</v>
      </c>
      <c r="BH899">
        <v>1</v>
      </c>
      <c r="BI899">
        <v>1</v>
      </c>
      <c r="BJ899">
        <v>0.2</v>
      </c>
      <c r="BK899">
        <v>1</v>
      </c>
      <c r="BL899">
        <v>89.23</v>
      </c>
      <c r="BM899">
        <v>13.38</v>
      </c>
      <c r="BN899">
        <v>102.61</v>
      </c>
      <c r="BO899">
        <v>102.61</v>
      </c>
      <c r="BQ899" t="s">
        <v>78</v>
      </c>
      <c r="BR899" t="s">
        <v>71</v>
      </c>
      <c r="BS899" s="1">
        <v>43950</v>
      </c>
      <c r="BT899" s="2">
        <v>0.41666666666666669</v>
      </c>
      <c r="BU899" t="s">
        <v>813</v>
      </c>
      <c r="BV899" t="s">
        <v>80</v>
      </c>
      <c r="BY899">
        <v>1200</v>
      </c>
      <c r="CC899" t="s">
        <v>226</v>
      </c>
      <c r="CD899">
        <v>1947</v>
      </c>
      <c r="CE899" t="s">
        <v>73</v>
      </c>
      <c r="CF899" s="1">
        <v>43951</v>
      </c>
      <c r="CI899">
        <v>1</v>
      </c>
      <c r="CJ899">
        <v>1</v>
      </c>
      <c r="CK899">
        <v>23</v>
      </c>
      <c r="CL899" t="s">
        <v>74</v>
      </c>
    </row>
    <row r="900" spans="1:90" x14ac:dyDescent="0.25">
      <c r="A900" t="s">
        <v>61</v>
      </c>
      <c r="B900" t="s">
        <v>62</v>
      </c>
      <c r="C900" t="s">
        <v>63</v>
      </c>
      <c r="E900" t="str">
        <f>"FES1162744993"</f>
        <v>FES1162744993</v>
      </c>
      <c r="F900" s="1">
        <v>43949</v>
      </c>
      <c r="G900">
        <v>202010</v>
      </c>
      <c r="H900" t="s">
        <v>64</v>
      </c>
      <c r="I900" t="s">
        <v>65</v>
      </c>
      <c r="J900" t="s">
        <v>66</v>
      </c>
      <c r="K900" t="s">
        <v>67</v>
      </c>
      <c r="L900" t="s">
        <v>75</v>
      </c>
      <c r="M900" t="s">
        <v>76</v>
      </c>
      <c r="N900" t="s">
        <v>435</v>
      </c>
      <c r="O900" t="s">
        <v>69</v>
      </c>
      <c r="P900" t="str">
        <f>"2170735219                    "</f>
        <v xml:space="preserve">2170735219                    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3.27</v>
      </c>
      <c r="AN900">
        <v>0</v>
      </c>
      <c r="AO900">
        <v>0</v>
      </c>
      <c r="AP900">
        <v>0</v>
      </c>
      <c r="AQ900">
        <v>0</v>
      </c>
      <c r="AR900">
        <v>0</v>
      </c>
      <c r="AS900">
        <v>0</v>
      </c>
      <c r="AT900">
        <v>0</v>
      </c>
      <c r="AU900">
        <v>0</v>
      </c>
      <c r="AV900">
        <v>0</v>
      </c>
      <c r="AW900">
        <v>0</v>
      </c>
      <c r="AX900">
        <v>0</v>
      </c>
      <c r="AY900">
        <v>0</v>
      </c>
      <c r="AZ900">
        <v>0</v>
      </c>
      <c r="BA900">
        <v>0</v>
      </c>
      <c r="BB900">
        <v>0</v>
      </c>
      <c r="BG900">
        <v>0</v>
      </c>
      <c r="BH900">
        <v>1</v>
      </c>
      <c r="BI900">
        <v>1</v>
      </c>
      <c r="BJ900">
        <v>0.2</v>
      </c>
      <c r="BK900">
        <v>1</v>
      </c>
      <c r="BL900">
        <v>35.979999999999997</v>
      </c>
      <c r="BM900">
        <v>5.4</v>
      </c>
      <c r="BN900">
        <v>41.38</v>
      </c>
      <c r="BO900">
        <v>41.38</v>
      </c>
      <c r="BQ900" t="s">
        <v>70</v>
      </c>
      <c r="BR900" t="s">
        <v>71</v>
      </c>
      <c r="BS900" s="1">
        <v>43950</v>
      </c>
      <c r="BT900" s="2">
        <v>0.37152777777777773</v>
      </c>
      <c r="BU900" t="s">
        <v>436</v>
      </c>
      <c r="BV900" t="s">
        <v>80</v>
      </c>
      <c r="BY900">
        <v>1200</v>
      </c>
      <c r="CA900" t="s">
        <v>437</v>
      </c>
      <c r="CC900" t="s">
        <v>76</v>
      </c>
      <c r="CD900">
        <v>1459</v>
      </c>
      <c r="CE900" t="s">
        <v>73</v>
      </c>
      <c r="CF900" s="1">
        <v>43951</v>
      </c>
      <c r="CI900">
        <v>1</v>
      </c>
      <c r="CJ900">
        <v>1</v>
      </c>
      <c r="CK900">
        <v>22</v>
      </c>
      <c r="CL900" t="s">
        <v>74</v>
      </c>
    </row>
    <row r="901" spans="1:90" x14ac:dyDescent="0.25">
      <c r="A901" t="s">
        <v>61</v>
      </c>
      <c r="B901" t="s">
        <v>62</v>
      </c>
      <c r="C901" t="s">
        <v>63</v>
      </c>
      <c r="E901" t="str">
        <f>"FES1162745504"</f>
        <v>FES1162745504</v>
      </c>
      <c r="F901" s="1">
        <v>43949</v>
      </c>
      <c r="G901">
        <v>202010</v>
      </c>
      <c r="H901" t="s">
        <v>64</v>
      </c>
      <c r="I901" t="s">
        <v>65</v>
      </c>
      <c r="J901" t="s">
        <v>66</v>
      </c>
      <c r="K901" t="s">
        <v>67</v>
      </c>
      <c r="L901" t="s">
        <v>254</v>
      </c>
      <c r="M901" t="s">
        <v>255</v>
      </c>
      <c r="N901" t="s">
        <v>648</v>
      </c>
      <c r="O901" t="s">
        <v>69</v>
      </c>
      <c r="P901" t="str">
        <f>"2170736363                    "</f>
        <v xml:space="preserve">2170736363                    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4.1900000000000004</v>
      </c>
      <c r="AN901">
        <v>0</v>
      </c>
      <c r="AO901">
        <v>0</v>
      </c>
      <c r="AP901">
        <v>0</v>
      </c>
      <c r="AQ901">
        <v>0</v>
      </c>
      <c r="AR901">
        <v>0</v>
      </c>
      <c r="AS901">
        <v>0</v>
      </c>
      <c r="AT901">
        <v>0</v>
      </c>
      <c r="AU901">
        <v>0</v>
      </c>
      <c r="AV901">
        <v>0</v>
      </c>
      <c r="AW901">
        <v>0</v>
      </c>
      <c r="AX901">
        <v>0</v>
      </c>
      <c r="AY901">
        <v>0</v>
      </c>
      <c r="AZ901">
        <v>0</v>
      </c>
      <c r="BA901">
        <v>0</v>
      </c>
      <c r="BB901">
        <v>0</v>
      </c>
      <c r="BG901">
        <v>0</v>
      </c>
      <c r="BH901">
        <v>1</v>
      </c>
      <c r="BI901">
        <v>1</v>
      </c>
      <c r="BJ901">
        <v>0.2</v>
      </c>
      <c r="BK901">
        <v>1</v>
      </c>
      <c r="BL901">
        <v>46.06</v>
      </c>
      <c r="BM901">
        <v>6.91</v>
      </c>
      <c r="BN901">
        <v>52.97</v>
      </c>
      <c r="BO901">
        <v>52.97</v>
      </c>
      <c r="BQ901" t="s">
        <v>70</v>
      </c>
      <c r="BR901" t="s">
        <v>71</v>
      </c>
      <c r="BS901" s="1">
        <v>43950</v>
      </c>
      <c r="BT901" s="2">
        <v>0.61319444444444449</v>
      </c>
      <c r="BU901" t="s">
        <v>1038</v>
      </c>
      <c r="BV901" t="s">
        <v>74</v>
      </c>
      <c r="BW901" t="s">
        <v>258</v>
      </c>
      <c r="BX901" t="s">
        <v>259</v>
      </c>
      <c r="BY901">
        <v>1200</v>
      </c>
      <c r="CA901" t="s">
        <v>1039</v>
      </c>
      <c r="CC901" t="s">
        <v>255</v>
      </c>
      <c r="CD901">
        <v>82</v>
      </c>
      <c r="CE901" t="s">
        <v>73</v>
      </c>
      <c r="CF901" s="1">
        <v>43952</v>
      </c>
      <c r="CI901">
        <v>1</v>
      </c>
      <c r="CJ901">
        <v>1</v>
      </c>
      <c r="CK901">
        <v>21</v>
      </c>
      <c r="CL901" t="s">
        <v>74</v>
      </c>
    </row>
    <row r="902" spans="1:90" x14ac:dyDescent="0.25">
      <c r="A902" t="s">
        <v>61</v>
      </c>
      <c r="B902" t="s">
        <v>62</v>
      </c>
      <c r="C902" t="s">
        <v>63</v>
      </c>
      <c r="E902" t="str">
        <f>"FES1162745378"</f>
        <v>FES1162745378</v>
      </c>
      <c r="F902" s="1">
        <v>43949</v>
      </c>
      <c r="G902">
        <v>202010</v>
      </c>
      <c r="H902" t="s">
        <v>64</v>
      </c>
      <c r="I902" t="s">
        <v>65</v>
      </c>
      <c r="J902" t="s">
        <v>66</v>
      </c>
      <c r="K902" t="s">
        <v>67</v>
      </c>
      <c r="L902" t="s">
        <v>92</v>
      </c>
      <c r="M902" t="s">
        <v>93</v>
      </c>
      <c r="N902" t="s">
        <v>320</v>
      </c>
      <c r="O902" t="s">
        <v>69</v>
      </c>
      <c r="P902" t="str">
        <f>"2170736523                    "</f>
        <v xml:space="preserve">2170736523                    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4.1900000000000004</v>
      </c>
      <c r="AN902">
        <v>0</v>
      </c>
      <c r="AO902">
        <v>0</v>
      </c>
      <c r="AP902">
        <v>0</v>
      </c>
      <c r="AQ902">
        <v>0</v>
      </c>
      <c r="AR902">
        <v>0</v>
      </c>
      <c r="AS902">
        <v>0</v>
      </c>
      <c r="AT902">
        <v>0</v>
      </c>
      <c r="AU902">
        <v>0</v>
      </c>
      <c r="AV902">
        <v>0</v>
      </c>
      <c r="AW902">
        <v>0</v>
      </c>
      <c r="AX902">
        <v>0</v>
      </c>
      <c r="AY902">
        <v>0</v>
      </c>
      <c r="AZ902">
        <v>0</v>
      </c>
      <c r="BA902">
        <v>0</v>
      </c>
      <c r="BB902">
        <v>0</v>
      </c>
      <c r="BG902">
        <v>0</v>
      </c>
      <c r="BH902">
        <v>1</v>
      </c>
      <c r="BI902">
        <v>1</v>
      </c>
      <c r="BJ902">
        <v>0.2</v>
      </c>
      <c r="BK902">
        <v>1</v>
      </c>
      <c r="BL902">
        <v>46.06</v>
      </c>
      <c r="BM902">
        <v>6.91</v>
      </c>
      <c r="BN902">
        <v>52.97</v>
      </c>
      <c r="BO902">
        <v>52.97</v>
      </c>
      <c r="BQ902" t="s">
        <v>70</v>
      </c>
      <c r="BR902" t="s">
        <v>71</v>
      </c>
      <c r="BS902" s="1">
        <v>43950</v>
      </c>
      <c r="BT902" s="2">
        <v>0.44305555555555554</v>
      </c>
      <c r="BU902" t="s">
        <v>1040</v>
      </c>
      <c r="BV902" t="s">
        <v>74</v>
      </c>
      <c r="BW902" t="s">
        <v>96</v>
      </c>
      <c r="BX902" t="s">
        <v>97</v>
      </c>
      <c r="BY902">
        <v>1200</v>
      </c>
      <c r="CA902" t="s">
        <v>164</v>
      </c>
      <c r="CC902" t="s">
        <v>93</v>
      </c>
      <c r="CD902">
        <v>7925</v>
      </c>
      <c r="CE902" t="s">
        <v>73</v>
      </c>
      <c r="CF902" s="1">
        <v>43951</v>
      </c>
      <c r="CI902">
        <v>1</v>
      </c>
      <c r="CJ902">
        <v>1</v>
      </c>
      <c r="CK902">
        <v>21</v>
      </c>
      <c r="CL902" t="s">
        <v>74</v>
      </c>
    </row>
    <row r="903" spans="1:90" x14ac:dyDescent="0.25">
      <c r="A903" t="s">
        <v>61</v>
      </c>
      <c r="B903" t="s">
        <v>62</v>
      </c>
      <c r="C903" t="s">
        <v>63</v>
      </c>
      <c r="E903" t="str">
        <f>"FES1162745556"</f>
        <v>FES1162745556</v>
      </c>
      <c r="F903" s="1">
        <v>43949</v>
      </c>
      <c r="G903">
        <v>202010</v>
      </c>
      <c r="H903" t="s">
        <v>64</v>
      </c>
      <c r="I903" t="s">
        <v>65</v>
      </c>
      <c r="J903" t="s">
        <v>66</v>
      </c>
      <c r="K903" t="s">
        <v>67</v>
      </c>
      <c r="L903" t="s">
        <v>177</v>
      </c>
      <c r="M903" t="s">
        <v>178</v>
      </c>
      <c r="N903" t="s">
        <v>179</v>
      </c>
      <c r="O903" t="s">
        <v>69</v>
      </c>
      <c r="P903" t="str">
        <f>"2170736680                    "</f>
        <v xml:space="preserve">2170736680                    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4.1900000000000004</v>
      </c>
      <c r="AN903">
        <v>0</v>
      </c>
      <c r="AO903">
        <v>0</v>
      </c>
      <c r="AP903">
        <v>0</v>
      </c>
      <c r="AQ903">
        <v>0</v>
      </c>
      <c r="AR903">
        <v>0</v>
      </c>
      <c r="AS903">
        <v>0</v>
      </c>
      <c r="AT903">
        <v>0</v>
      </c>
      <c r="AU903">
        <v>0</v>
      </c>
      <c r="AV903">
        <v>0</v>
      </c>
      <c r="AW903">
        <v>0</v>
      </c>
      <c r="AX903">
        <v>0</v>
      </c>
      <c r="AY903">
        <v>0</v>
      </c>
      <c r="AZ903">
        <v>0</v>
      </c>
      <c r="BA903">
        <v>0</v>
      </c>
      <c r="BB903">
        <v>0</v>
      </c>
      <c r="BG903">
        <v>0</v>
      </c>
      <c r="BH903">
        <v>1</v>
      </c>
      <c r="BI903">
        <v>1</v>
      </c>
      <c r="BJ903">
        <v>0.2</v>
      </c>
      <c r="BK903">
        <v>1</v>
      </c>
      <c r="BL903">
        <v>46.06</v>
      </c>
      <c r="BM903">
        <v>6.91</v>
      </c>
      <c r="BN903">
        <v>52.97</v>
      </c>
      <c r="BO903">
        <v>52.97</v>
      </c>
      <c r="BQ903" t="s">
        <v>70</v>
      </c>
      <c r="BR903" t="s">
        <v>71</v>
      </c>
      <c r="BS903" s="1">
        <v>43950</v>
      </c>
      <c r="BT903" s="2">
        <v>0.53333333333333333</v>
      </c>
      <c r="BU903" t="s">
        <v>1041</v>
      </c>
      <c r="BV903" t="s">
        <v>80</v>
      </c>
      <c r="BY903">
        <v>1200</v>
      </c>
      <c r="CA903" t="s">
        <v>741</v>
      </c>
      <c r="CC903" t="s">
        <v>178</v>
      </c>
      <c r="CD903">
        <v>4302</v>
      </c>
      <c r="CE903" t="s">
        <v>73</v>
      </c>
      <c r="CF903" s="1">
        <v>43951</v>
      </c>
      <c r="CI903">
        <v>1</v>
      </c>
      <c r="CJ903">
        <v>1</v>
      </c>
      <c r="CK903">
        <v>21</v>
      </c>
      <c r="CL903" t="s">
        <v>74</v>
      </c>
    </row>
    <row r="904" spans="1:90" x14ac:dyDescent="0.25">
      <c r="A904" t="s">
        <v>61</v>
      </c>
      <c r="B904" t="s">
        <v>62</v>
      </c>
      <c r="C904" t="s">
        <v>63</v>
      </c>
      <c r="E904" t="str">
        <f>"FES1162745524"</f>
        <v>FES1162745524</v>
      </c>
      <c r="F904" s="1">
        <v>43949</v>
      </c>
      <c r="G904">
        <v>202010</v>
      </c>
      <c r="H904" t="s">
        <v>64</v>
      </c>
      <c r="I904" t="s">
        <v>65</v>
      </c>
      <c r="J904" t="s">
        <v>66</v>
      </c>
      <c r="K904" t="s">
        <v>67</v>
      </c>
      <c r="L904" t="s">
        <v>684</v>
      </c>
      <c r="M904" t="s">
        <v>685</v>
      </c>
      <c r="N904" t="s">
        <v>1042</v>
      </c>
      <c r="O904" t="s">
        <v>69</v>
      </c>
      <c r="P904" t="str">
        <f>"2170734909                    "</f>
        <v xml:space="preserve">2170734909                    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0</v>
      </c>
      <c r="AM904">
        <v>4.1900000000000004</v>
      </c>
      <c r="AN904">
        <v>0</v>
      </c>
      <c r="AO904">
        <v>0</v>
      </c>
      <c r="AP904">
        <v>0</v>
      </c>
      <c r="AQ904">
        <v>0</v>
      </c>
      <c r="AR904">
        <v>0</v>
      </c>
      <c r="AS904">
        <v>0</v>
      </c>
      <c r="AT904">
        <v>0</v>
      </c>
      <c r="AU904">
        <v>0</v>
      </c>
      <c r="AV904">
        <v>0</v>
      </c>
      <c r="AW904">
        <v>0</v>
      </c>
      <c r="AX904">
        <v>0</v>
      </c>
      <c r="AY904">
        <v>0</v>
      </c>
      <c r="AZ904">
        <v>0</v>
      </c>
      <c r="BA904">
        <v>0</v>
      </c>
      <c r="BB904">
        <v>0</v>
      </c>
      <c r="BG904">
        <v>0</v>
      </c>
      <c r="BH904">
        <v>1</v>
      </c>
      <c r="BI904">
        <v>1</v>
      </c>
      <c r="BJ904">
        <v>0.2</v>
      </c>
      <c r="BK904">
        <v>1</v>
      </c>
      <c r="BL904">
        <v>46.06</v>
      </c>
      <c r="BM904">
        <v>6.91</v>
      </c>
      <c r="BN904">
        <v>52.97</v>
      </c>
      <c r="BO904">
        <v>52.97</v>
      </c>
      <c r="BQ904" t="s">
        <v>70</v>
      </c>
      <c r="BR904" t="s">
        <v>71</v>
      </c>
      <c r="BS904" s="1">
        <v>43950</v>
      </c>
      <c r="BT904" s="2">
        <v>0.41666666666666669</v>
      </c>
      <c r="BU904" t="s">
        <v>1043</v>
      </c>
      <c r="BV904" t="s">
        <v>80</v>
      </c>
      <c r="BY904">
        <v>1200</v>
      </c>
      <c r="CC904" t="s">
        <v>685</v>
      </c>
      <c r="CD904">
        <v>4133</v>
      </c>
      <c r="CE904" t="s">
        <v>73</v>
      </c>
      <c r="CF904" s="1">
        <v>43951</v>
      </c>
      <c r="CI904">
        <v>1</v>
      </c>
      <c r="CJ904">
        <v>1</v>
      </c>
      <c r="CK904">
        <v>21</v>
      </c>
      <c r="CL904" t="s">
        <v>74</v>
      </c>
    </row>
    <row r="905" spans="1:90" x14ac:dyDescent="0.25">
      <c r="A905" t="s">
        <v>61</v>
      </c>
      <c r="B905" t="s">
        <v>62</v>
      </c>
      <c r="C905" t="s">
        <v>63</v>
      </c>
      <c r="E905" t="str">
        <f>"FES1162745534"</f>
        <v>FES1162745534</v>
      </c>
      <c r="F905" s="1">
        <v>43949</v>
      </c>
      <c r="G905">
        <v>202010</v>
      </c>
      <c r="H905" t="s">
        <v>64</v>
      </c>
      <c r="I905" t="s">
        <v>65</v>
      </c>
      <c r="J905" t="s">
        <v>66</v>
      </c>
      <c r="K905" t="s">
        <v>67</v>
      </c>
      <c r="L905" t="s">
        <v>684</v>
      </c>
      <c r="M905" t="s">
        <v>685</v>
      </c>
      <c r="N905" t="s">
        <v>1042</v>
      </c>
      <c r="O905" t="s">
        <v>69</v>
      </c>
      <c r="P905" t="str">
        <f>"2170736670                    "</f>
        <v xml:space="preserve">2170736670                    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4.1900000000000004</v>
      </c>
      <c r="AN905">
        <v>0</v>
      </c>
      <c r="AO905">
        <v>0</v>
      </c>
      <c r="AP905">
        <v>0</v>
      </c>
      <c r="AQ905">
        <v>0</v>
      </c>
      <c r="AR905">
        <v>0</v>
      </c>
      <c r="AS905">
        <v>0</v>
      </c>
      <c r="AT905">
        <v>0</v>
      </c>
      <c r="AU905">
        <v>0</v>
      </c>
      <c r="AV905">
        <v>0</v>
      </c>
      <c r="AW905">
        <v>0</v>
      </c>
      <c r="AX905">
        <v>0</v>
      </c>
      <c r="AY905">
        <v>0</v>
      </c>
      <c r="AZ905">
        <v>0</v>
      </c>
      <c r="BA905">
        <v>0</v>
      </c>
      <c r="BB905">
        <v>0</v>
      </c>
      <c r="BG905">
        <v>0</v>
      </c>
      <c r="BH905">
        <v>1</v>
      </c>
      <c r="BI905">
        <v>1</v>
      </c>
      <c r="BJ905">
        <v>0.2</v>
      </c>
      <c r="BK905">
        <v>1</v>
      </c>
      <c r="BL905">
        <v>46.06</v>
      </c>
      <c r="BM905">
        <v>6.91</v>
      </c>
      <c r="BN905">
        <v>52.97</v>
      </c>
      <c r="BO905">
        <v>52.97</v>
      </c>
      <c r="BQ905" t="s">
        <v>70</v>
      </c>
      <c r="BR905" t="s">
        <v>71</v>
      </c>
      <c r="BS905" s="1">
        <v>43950</v>
      </c>
      <c r="BT905" s="2">
        <v>0.41666666666666669</v>
      </c>
      <c r="BU905" t="s">
        <v>1043</v>
      </c>
      <c r="BV905" t="s">
        <v>80</v>
      </c>
      <c r="BY905">
        <v>1200</v>
      </c>
      <c r="CC905" t="s">
        <v>685</v>
      </c>
      <c r="CD905">
        <v>4133</v>
      </c>
      <c r="CE905" t="s">
        <v>73</v>
      </c>
      <c r="CF905" s="1">
        <v>43951</v>
      </c>
      <c r="CI905">
        <v>1</v>
      </c>
      <c r="CJ905">
        <v>1</v>
      </c>
      <c r="CK905">
        <v>21</v>
      </c>
      <c r="CL905" t="s">
        <v>74</v>
      </c>
    </row>
    <row r="906" spans="1:90" x14ac:dyDescent="0.25">
      <c r="A906" t="s">
        <v>61</v>
      </c>
      <c r="B906" t="s">
        <v>62</v>
      </c>
      <c r="C906" t="s">
        <v>63</v>
      </c>
      <c r="E906" t="str">
        <f>"FES1162745568"</f>
        <v>FES1162745568</v>
      </c>
      <c r="F906" s="1">
        <v>43949</v>
      </c>
      <c r="G906">
        <v>202010</v>
      </c>
      <c r="H906" t="s">
        <v>64</v>
      </c>
      <c r="I906" t="s">
        <v>65</v>
      </c>
      <c r="J906" t="s">
        <v>66</v>
      </c>
      <c r="K906" t="s">
        <v>67</v>
      </c>
      <c r="L906" t="s">
        <v>92</v>
      </c>
      <c r="M906" t="s">
        <v>93</v>
      </c>
      <c r="N906" t="s">
        <v>788</v>
      </c>
      <c r="O906" t="s">
        <v>69</v>
      </c>
      <c r="P906" t="str">
        <f>"2170736690                    "</f>
        <v xml:space="preserve">2170736690                    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0</v>
      </c>
      <c r="AM906">
        <v>4.1900000000000004</v>
      </c>
      <c r="AN906">
        <v>0</v>
      </c>
      <c r="AO906">
        <v>0</v>
      </c>
      <c r="AP906">
        <v>0</v>
      </c>
      <c r="AQ906">
        <v>0</v>
      </c>
      <c r="AR906">
        <v>0</v>
      </c>
      <c r="AS906">
        <v>0</v>
      </c>
      <c r="AT906">
        <v>0</v>
      </c>
      <c r="AU906">
        <v>0</v>
      </c>
      <c r="AV906">
        <v>0</v>
      </c>
      <c r="AW906">
        <v>0</v>
      </c>
      <c r="AX906">
        <v>0</v>
      </c>
      <c r="AY906">
        <v>0</v>
      </c>
      <c r="AZ906">
        <v>0</v>
      </c>
      <c r="BA906">
        <v>0</v>
      </c>
      <c r="BB906">
        <v>0</v>
      </c>
      <c r="BG906">
        <v>0</v>
      </c>
      <c r="BH906">
        <v>1</v>
      </c>
      <c r="BI906">
        <v>1</v>
      </c>
      <c r="BJ906">
        <v>0.2</v>
      </c>
      <c r="BK906">
        <v>1</v>
      </c>
      <c r="BL906">
        <v>46.06</v>
      </c>
      <c r="BM906">
        <v>6.91</v>
      </c>
      <c r="BN906">
        <v>52.97</v>
      </c>
      <c r="BO906">
        <v>52.97</v>
      </c>
      <c r="BQ906" t="s">
        <v>70</v>
      </c>
      <c r="BR906" t="s">
        <v>71</v>
      </c>
      <c r="BS906" s="1">
        <v>43950</v>
      </c>
      <c r="BT906" s="2">
        <v>0.40416666666666662</v>
      </c>
      <c r="BU906" t="s">
        <v>1044</v>
      </c>
      <c r="BV906" t="s">
        <v>80</v>
      </c>
      <c r="BY906">
        <v>1200</v>
      </c>
      <c r="CA906" t="s">
        <v>164</v>
      </c>
      <c r="CC906" t="s">
        <v>93</v>
      </c>
      <c r="CD906">
        <v>7925</v>
      </c>
      <c r="CE906" t="s">
        <v>73</v>
      </c>
      <c r="CF906" s="1">
        <v>43951</v>
      </c>
      <c r="CI906">
        <v>1</v>
      </c>
      <c r="CJ906">
        <v>1</v>
      </c>
      <c r="CK906">
        <v>21</v>
      </c>
      <c r="CL906" t="s">
        <v>74</v>
      </c>
    </row>
    <row r="907" spans="1:90" x14ac:dyDescent="0.25">
      <c r="A907" t="s">
        <v>61</v>
      </c>
      <c r="B907" t="s">
        <v>62</v>
      </c>
      <c r="C907" t="s">
        <v>63</v>
      </c>
      <c r="E907" t="str">
        <f>"FES1162745531"</f>
        <v>FES1162745531</v>
      </c>
      <c r="F907" s="1">
        <v>43949</v>
      </c>
      <c r="G907">
        <v>202010</v>
      </c>
      <c r="H907" t="s">
        <v>64</v>
      </c>
      <c r="I907" t="s">
        <v>65</v>
      </c>
      <c r="J907" t="s">
        <v>66</v>
      </c>
      <c r="K907" t="s">
        <v>67</v>
      </c>
      <c r="L907" t="s">
        <v>684</v>
      </c>
      <c r="M907" t="s">
        <v>685</v>
      </c>
      <c r="N907" t="s">
        <v>1042</v>
      </c>
      <c r="O907" t="s">
        <v>69</v>
      </c>
      <c r="P907" t="str">
        <f>"2170735463                    "</f>
        <v xml:space="preserve">2170735463                    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4.1900000000000004</v>
      </c>
      <c r="AN907">
        <v>0</v>
      </c>
      <c r="AO907">
        <v>0</v>
      </c>
      <c r="AP907">
        <v>0</v>
      </c>
      <c r="AQ907">
        <v>0</v>
      </c>
      <c r="AR907">
        <v>0</v>
      </c>
      <c r="AS907">
        <v>0</v>
      </c>
      <c r="AT907">
        <v>0</v>
      </c>
      <c r="AU907">
        <v>0</v>
      </c>
      <c r="AV907">
        <v>0</v>
      </c>
      <c r="AW907">
        <v>0</v>
      </c>
      <c r="AX907">
        <v>0</v>
      </c>
      <c r="AY907">
        <v>0</v>
      </c>
      <c r="AZ907">
        <v>0</v>
      </c>
      <c r="BA907">
        <v>0</v>
      </c>
      <c r="BB907">
        <v>0</v>
      </c>
      <c r="BG907">
        <v>0</v>
      </c>
      <c r="BH907">
        <v>1</v>
      </c>
      <c r="BI907">
        <v>1</v>
      </c>
      <c r="BJ907">
        <v>0.2</v>
      </c>
      <c r="BK907">
        <v>1</v>
      </c>
      <c r="BL907">
        <v>46.06</v>
      </c>
      <c r="BM907">
        <v>6.91</v>
      </c>
      <c r="BN907">
        <v>52.97</v>
      </c>
      <c r="BO907">
        <v>52.97</v>
      </c>
      <c r="BQ907" t="s">
        <v>70</v>
      </c>
      <c r="BR907" t="s">
        <v>71</v>
      </c>
      <c r="BS907" s="1">
        <v>43950</v>
      </c>
      <c r="BT907" s="2">
        <v>0.41666666666666669</v>
      </c>
      <c r="BU907" t="s">
        <v>1043</v>
      </c>
      <c r="BV907" t="s">
        <v>80</v>
      </c>
      <c r="BY907">
        <v>1200</v>
      </c>
      <c r="CC907" t="s">
        <v>685</v>
      </c>
      <c r="CD907">
        <v>4133</v>
      </c>
      <c r="CE907" t="s">
        <v>73</v>
      </c>
      <c r="CF907" s="1">
        <v>43951</v>
      </c>
      <c r="CI907">
        <v>1</v>
      </c>
      <c r="CJ907">
        <v>1</v>
      </c>
      <c r="CK907">
        <v>21</v>
      </c>
      <c r="CL907" t="s">
        <v>74</v>
      </c>
    </row>
    <row r="908" spans="1:90" x14ac:dyDescent="0.25">
      <c r="A908" t="s">
        <v>61</v>
      </c>
      <c r="B908" t="s">
        <v>62</v>
      </c>
      <c r="C908" t="s">
        <v>63</v>
      </c>
      <c r="E908" t="str">
        <f>"FES1162745564"</f>
        <v>FES1162745564</v>
      </c>
      <c r="F908" s="1">
        <v>43949</v>
      </c>
      <c r="G908">
        <v>202010</v>
      </c>
      <c r="H908" t="s">
        <v>64</v>
      </c>
      <c r="I908" t="s">
        <v>65</v>
      </c>
      <c r="J908" t="s">
        <v>66</v>
      </c>
      <c r="K908" t="s">
        <v>67</v>
      </c>
      <c r="L908" t="s">
        <v>120</v>
      </c>
      <c r="M908" t="s">
        <v>121</v>
      </c>
      <c r="N908" t="s">
        <v>728</v>
      </c>
      <c r="O908" t="s">
        <v>69</v>
      </c>
      <c r="P908" t="str">
        <f>"2170736686                    "</f>
        <v xml:space="preserve">2170736686                    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4.1900000000000004</v>
      </c>
      <c r="AN908">
        <v>0</v>
      </c>
      <c r="AO908">
        <v>0</v>
      </c>
      <c r="AP908">
        <v>0</v>
      </c>
      <c r="AQ908">
        <v>0</v>
      </c>
      <c r="AR908">
        <v>0</v>
      </c>
      <c r="AS908">
        <v>0</v>
      </c>
      <c r="AT908">
        <v>0</v>
      </c>
      <c r="AU908">
        <v>0</v>
      </c>
      <c r="AV908">
        <v>0</v>
      </c>
      <c r="AW908">
        <v>0</v>
      </c>
      <c r="AX908">
        <v>0</v>
      </c>
      <c r="AY908">
        <v>0</v>
      </c>
      <c r="AZ908">
        <v>0</v>
      </c>
      <c r="BA908">
        <v>0</v>
      </c>
      <c r="BB908">
        <v>0</v>
      </c>
      <c r="BG908">
        <v>0</v>
      </c>
      <c r="BH908">
        <v>1</v>
      </c>
      <c r="BI908">
        <v>1</v>
      </c>
      <c r="BJ908">
        <v>0.2</v>
      </c>
      <c r="BK908">
        <v>1</v>
      </c>
      <c r="BL908">
        <v>46.06</v>
      </c>
      <c r="BM908">
        <v>6.91</v>
      </c>
      <c r="BN908">
        <v>52.97</v>
      </c>
      <c r="BO908">
        <v>52.97</v>
      </c>
      <c r="BQ908" t="s">
        <v>109</v>
      </c>
      <c r="BR908" t="s">
        <v>71</v>
      </c>
      <c r="BS908" s="1">
        <v>43950</v>
      </c>
      <c r="BT908" s="2">
        <v>0.49444444444444446</v>
      </c>
      <c r="BU908" t="s">
        <v>1045</v>
      </c>
      <c r="BV908" t="s">
        <v>74</v>
      </c>
      <c r="BW908" t="s">
        <v>85</v>
      </c>
      <c r="BX908" t="s">
        <v>1046</v>
      </c>
      <c r="BY908">
        <v>1200</v>
      </c>
      <c r="CA908" t="s">
        <v>956</v>
      </c>
      <c r="CC908" t="s">
        <v>121</v>
      </c>
      <c r="CD908">
        <v>4000</v>
      </c>
      <c r="CE908" t="s">
        <v>73</v>
      </c>
      <c r="CF908" s="1">
        <v>43950</v>
      </c>
      <c r="CI908">
        <v>1</v>
      </c>
      <c r="CJ908">
        <v>1</v>
      </c>
      <c r="CK908">
        <v>21</v>
      </c>
      <c r="CL908" t="s">
        <v>74</v>
      </c>
    </row>
    <row r="909" spans="1:90" x14ac:dyDescent="0.25">
      <c r="A909" t="s">
        <v>61</v>
      </c>
      <c r="B909" t="s">
        <v>62</v>
      </c>
      <c r="C909" t="s">
        <v>63</v>
      </c>
      <c r="E909" t="str">
        <f>"FES1162745569"</f>
        <v>FES1162745569</v>
      </c>
      <c r="F909" s="1">
        <v>43949</v>
      </c>
      <c r="G909">
        <v>202010</v>
      </c>
      <c r="H909" t="s">
        <v>64</v>
      </c>
      <c r="I909" t="s">
        <v>65</v>
      </c>
      <c r="J909" t="s">
        <v>66</v>
      </c>
      <c r="K909" t="s">
        <v>67</v>
      </c>
      <c r="L909" t="s">
        <v>92</v>
      </c>
      <c r="M909" t="s">
        <v>93</v>
      </c>
      <c r="N909" t="s">
        <v>788</v>
      </c>
      <c r="O909" t="s">
        <v>69</v>
      </c>
      <c r="P909" t="str">
        <f>"2170736692                    "</f>
        <v xml:space="preserve">2170736692                    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4.1900000000000004</v>
      </c>
      <c r="AN909">
        <v>0</v>
      </c>
      <c r="AO909">
        <v>0</v>
      </c>
      <c r="AP909">
        <v>0</v>
      </c>
      <c r="AQ909">
        <v>0</v>
      </c>
      <c r="AR909">
        <v>0</v>
      </c>
      <c r="AS909">
        <v>0</v>
      </c>
      <c r="AT909">
        <v>0</v>
      </c>
      <c r="AU909">
        <v>0</v>
      </c>
      <c r="AV909">
        <v>0</v>
      </c>
      <c r="AW909">
        <v>0</v>
      </c>
      <c r="AX909">
        <v>0</v>
      </c>
      <c r="AY909">
        <v>0</v>
      </c>
      <c r="AZ909">
        <v>0</v>
      </c>
      <c r="BA909">
        <v>0</v>
      </c>
      <c r="BB909">
        <v>0</v>
      </c>
      <c r="BG909">
        <v>0</v>
      </c>
      <c r="BH909">
        <v>1</v>
      </c>
      <c r="BI909">
        <v>1</v>
      </c>
      <c r="BJ909">
        <v>0.2</v>
      </c>
      <c r="BK909">
        <v>1</v>
      </c>
      <c r="BL909">
        <v>46.06</v>
      </c>
      <c r="BM909">
        <v>6.91</v>
      </c>
      <c r="BN909">
        <v>52.97</v>
      </c>
      <c r="BO909">
        <v>52.97</v>
      </c>
      <c r="BQ909" t="s">
        <v>70</v>
      </c>
      <c r="BR909" t="s">
        <v>71</v>
      </c>
      <c r="BS909" s="1">
        <v>43950</v>
      </c>
      <c r="BT909" s="2">
        <v>0.40416666666666662</v>
      </c>
      <c r="BU909" t="s">
        <v>1044</v>
      </c>
      <c r="BV909" t="s">
        <v>80</v>
      </c>
      <c r="BY909">
        <v>1200</v>
      </c>
      <c r="CA909" t="s">
        <v>164</v>
      </c>
      <c r="CC909" t="s">
        <v>93</v>
      </c>
      <c r="CD909">
        <v>7925</v>
      </c>
      <c r="CE909" t="s">
        <v>73</v>
      </c>
      <c r="CF909" s="1">
        <v>43951</v>
      </c>
      <c r="CI909">
        <v>1</v>
      </c>
      <c r="CJ909">
        <v>1</v>
      </c>
      <c r="CK909">
        <v>21</v>
      </c>
      <c r="CL909" t="s">
        <v>74</v>
      </c>
    </row>
    <row r="910" spans="1:90" x14ac:dyDescent="0.25">
      <c r="A910" t="s">
        <v>61</v>
      </c>
      <c r="B910" t="s">
        <v>62</v>
      </c>
      <c r="C910" t="s">
        <v>63</v>
      </c>
      <c r="E910" t="str">
        <f>"FES1162745554"</f>
        <v>FES1162745554</v>
      </c>
      <c r="F910" s="1">
        <v>43949</v>
      </c>
      <c r="G910">
        <v>202010</v>
      </c>
      <c r="H910" t="s">
        <v>64</v>
      </c>
      <c r="I910" t="s">
        <v>65</v>
      </c>
      <c r="J910" t="s">
        <v>66</v>
      </c>
      <c r="K910" t="s">
        <v>67</v>
      </c>
      <c r="L910" t="s">
        <v>1047</v>
      </c>
      <c r="M910" t="s">
        <v>1048</v>
      </c>
      <c r="N910" t="s">
        <v>1049</v>
      </c>
      <c r="O910" t="s">
        <v>69</v>
      </c>
      <c r="P910" t="str">
        <f>"2170736147                    "</f>
        <v xml:space="preserve">2170736147                    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19.100000000000001</v>
      </c>
      <c r="AN910">
        <v>0</v>
      </c>
      <c r="AO910">
        <v>0</v>
      </c>
      <c r="AP910">
        <v>0</v>
      </c>
      <c r="AQ910">
        <v>0</v>
      </c>
      <c r="AR910">
        <v>0</v>
      </c>
      <c r="AS910">
        <v>0</v>
      </c>
      <c r="AT910">
        <v>0</v>
      </c>
      <c r="AU910">
        <v>0</v>
      </c>
      <c r="AV910">
        <v>0</v>
      </c>
      <c r="AW910">
        <v>0</v>
      </c>
      <c r="AX910">
        <v>0</v>
      </c>
      <c r="AY910">
        <v>0</v>
      </c>
      <c r="AZ910">
        <v>0</v>
      </c>
      <c r="BA910">
        <v>0</v>
      </c>
      <c r="BB910">
        <v>0</v>
      </c>
      <c r="BG910">
        <v>0</v>
      </c>
      <c r="BH910">
        <v>1</v>
      </c>
      <c r="BI910">
        <v>4.9000000000000004</v>
      </c>
      <c r="BJ910">
        <v>1.7</v>
      </c>
      <c r="BK910">
        <v>5</v>
      </c>
      <c r="BL910">
        <v>210.14</v>
      </c>
      <c r="BM910">
        <v>31.52</v>
      </c>
      <c r="BN910">
        <v>241.66</v>
      </c>
      <c r="BO910">
        <v>241.66</v>
      </c>
      <c r="BQ910" t="s">
        <v>78</v>
      </c>
      <c r="BR910" t="s">
        <v>71</v>
      </c>
      <c r="BS910" t="s">
        <v>72</v>
      </c>
      <c r="BY910">
        <v>8696.52</v>
      </c>
      <c r="CC910" t="s">
        <v>1048</v>
      </c>
      <c r="CD910">
        <v>4270</v>
      </c>
      <c r="CE910" t="s">
        <v>91</v>
      </c>
      <c r="CI910">
        <v>2</v>
      </c>
      <c r="CJ910" t="s">
        <v>72</v>
      </c>
      <c r="CK910">
        <v>23</v>
      </c>
      <c r="CL910" t="s">
        <v>74</v>
      </c>
    </row>
    <row r="911" spans="1:90" x14ac:dyDescent="0.25">
      <c r="A911" t="s">
        <v>61</v>
      </c>
      <c r="B911" t="s">
        <v>62</v>
      </c>
      <c r="C911" t="s">
        <v>63</v>
      </c>
      <c r="E911" t="str">
        <f>"FES1162745045"</f>
        <v>FES1162745045</v>
      </c>
      <c r="F911" s="1">
        <v>43949</v>
      </c>
      <c r="G911">
        <v>202010</v>
      </c>
      <c r="H911" t="s">
        <v>64</v>
      </c>
      <c r="I911" t="s">
        <v>65</v>
      </c>
      <c r="J911" t="s">
        <v>66</v>
      </c>
      <c r="K911" t="s">
        <v>67</v>
      </c>
      <c r="L911" t="s">
        <v>75</v>
      </c>
      <c r="M911" t="s">
        <v>76</v>
      </c>
      <c r="N911" t="s">
        <v>435</v>
      </c>
      <c r="O911" t="s">
        <v>69</v>
      </c>
      <c r="P911" t="str">
        <f>"2170736247                    "</f>
        <v xml:space="preserve">2170736247                    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10.33</v>
      </c>
      <c r="AN911">
        <v>0</v>
      </c>
      <c r="AO911">
        <v>0</v>
      </c>
      <c r="AP911">
        <v>0</v>
      </c>
      <c r="AQ911">
        <v>0</v>
      </c>
      <c r="AR911">
        <v>0</v>
      </c>
      <c r="AS911">
        <v>0</v>
      </c>
      <c r="AT911">
        <v>0</v>
      </c>
      <c r="AU911">
        <v>0</v>
      </c>
      <c r="AV911">
        <v>0</v>
      </c>
      <c r="AW911">
        <v>0</v>
      </c>
      <c r="AX911">
        <v>0</v>
      </c>
      <c r="AY911">
        <v>0</v>
      </c>
      <c r="AZ911">
        <v>0</v>
      </c>
      <c r="BA911">
        <v>0</v>
      </c>
      <c r="BB911">
        <v>0</v>
      </c>
      <c r="BG911">
        <v>0</v>
      </c>
      <c r="BH911">
        <v>1</v>
      </c>
      <c r="BI911">
        <v>8.5</v>
      </c>
      <c r="BJ911">
        <v>10.8</v>
      </c>
      <c r="BK911">
        <v>11</v>
      </c>
      <c r="BL911">
        <v>113.6</v>
      </c>
      <c r="BM911">
        <v>17.04</v>
      </c>
      <c r="BN911">
        <v>130.63999999999999</v>
      </c>
      <c r="BO911">
        <v>130.63999999999999</v>
      </c>
      <c r="BQ911" t="s">
        <v>70</v>
      </c>
      <c r="BR911" t="s">
        <v>71</v>
      </c>
      <c r="BS911" s="1">
        <v>43950</v>
      </c>
      <c r="BT911" s="2">
        <v>0.37152777777777773</v>
      </c>
      <c r="BU911" t="s">
        <v>436</v>
      </c>
      <c r="BV911" t="s">
        <v>80</v>
      </c>
      <c r="BY911">
        <v>54041.9</v>
      </c>
      <c r="CA911" t="s">
        <v>437</v>
      </c>
      <c r="CC911" t="s">
        <v>76</v>
      </c>
      <c r="CD911">
        <v>1459</v>
      </c>
      <c r="CE911" t="s">
        <v>91</v>
      </c>
      <c r="CF911" s="1">
        <v>43951</v>
      </c>
      <c r="CI911">
        <v>1</v>
      </c>
      <c r="CJ911">
        <v>1</v>
      </c>
      <c r="CK911">
        <v>22</v>
      </c>
      <c r="CL911" t="s">
        <v>74</v>
      </c>
    </row>
    <row r="912" spans="1:90" x14ac:dyDescent="0.25">
      <c r="A912" t="s">
        <v>61</v>
      </c>
      <c r="B912" t="s">
        <v>62</v>
      </c>
      <c r="C912" t="s">
        <v>63</v>
      </c>
      <c r="E912" t="str">
        <f>"FES1162745538"</f>
        <v>FES1162745538</v>
      </c>
      <c r="F912" s="1">
        <v>43949</v>
      </c>
      <c r="G912">
        <v>202010</v>
      </c>
      <c r="H912" t="s">
        <v>64</v>
      </c>
      <c r="I912" t="s">
        <v>65</v>
      </c>
      <c r="J912" t="s">
        <v>66</v>
      </c>
      <c r="K912" t="s">
        <v>67</v>
      </c>
      <c r="L912" t="s">
        <v>120</v>
      </c>
      <c r="M912" t="s">
        <v>121</v>
      </c>
      <c r="N912" t="s">
        <v>126</v>
      </c>
      <c r="O912" t="s">
        <v>69</v>
      </c>
      <c r="P912" t="str">
        <f>"2170736671                    "</f>
        <v xml:space="preserve">2170736671                    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7.33</v>
      </c>
      <c r="AN912">
        <v>0</v>
      </c>
      <c r="AO912">
        <v>0</v>
      </c>
      <c r="AP912">
        <v>0</v>
      </c>
      <c r="AQ912">
        <v>0</v>
      </c>
      <c r="AR912">
        <v>0</v>
      </c>
      <c r="AS912">
        <v>0</v>
      </c>
      <c r="AT912">
        <v>0</v>
      </c>
      <c r="AU912">
        <v>0</v>
      </c>
      <c r="AV912">
        <v>0</v>
      </c>
      <c r="AW912">
        <v>0</v>
      </c>
      <c r="AX912">
        <v>0</v>
      </c>
      <c r="AY912">
        <v>0</v>
      </c>
      <c r="AZ912">
        <v>0</v>
      </c>
      <c r="BA912">
        <v>0</v>
      </c>
      <c r="BB912">
        <v>0</v>
      </c>
      <c r="BG912">
        <v>0</v>
      </c>
      <c r="BH912">
        <v>1</v>
      </c>
      <c r="BI912">
        <v>1.7</v>
      </c>
      <c r="BJ912">
        <v>3.5</v>
      </c>
      <c r="BK912">
        <v>3.5</v>
      </c>
      <c r="BL912">
        <v>80.58</v>
      </c>
      <c r="BM912">
        <v>12.09</v>
      </c>
      <c r="BN912">
        <v>92.67</v>
      </c>
      <c r="BO912">
        <v>92.67</v>
      </c>
      <c r="BQ912" t="s">
        <v>70</v>
      </c>
      <c r="BR912" t="s">
        <v>71</v>
      </c>
      <c r="BS912" s="1">
        <v>43950</v>
      </c>
      <c r="BT912" s="2">
        <v>0.53055555555555556</v>
      </c>
      <c r="BU912" t="s">
        <v>1050</v>
      </c>
      <c r="BV912" t="s">
        <v>74</v>
      </c>
      <c r="BW912" t="s">
        <v>85</v>
      </c>
      <c r="BX912" t="s">
        <v>339</v>
      </c>
      <c r="BY912">
        <v>17528.89</v>
      </c>
      <c r="CA912" t="s">
        <v>811</v>
      </c>
      <c r="CC912" t="s">
        <v>121</v>
      </c>
      <c r="CD912">
        <v>4001</v>
      </c>
      <c r="CE912" t="s">
        <v>91</v>
      </c>
      <c r="CF912" s="1">
        <v>43951</v>
      </c>
      <c r="CI912">
        <v>1</v>
      </c>
      <c r="CJ912">
        <v>1</v>
      </c>
      <c r="CK912">
        <v>21</v>
      </c>
      <c r="CL912" t="s">
        <v>74</v>
      </c>
    </row>
    <row r="913" spans="1:90" x14ac:dyDescent="0.25">
      <c r="A913" t="s">
        <v>61</v>
      </c>
      <c r="B913" t="s">
        <v>62</v>
      </c>
      <c r="C913" t="s">
        <v>63</v>
      </c>
      <c r="E913" t="str">
        <f>"FES1162745553"</f>
        <v>FES1162745553</v>
      </c>
      <c r="F913" s="1">
        <v>43949</v>
      </c>
      <c r="G913">
        <v>202010</v>
      </c>
      <c r="H913" t="s">
        <v>64</v>
      </c>
      <c r="I913" t="s">
        <v>65</v>
      </c>
      <c r="J913" t="s">
        <v>66</v>
      </c>
      <c r="K913" t="s">
        <v>67</v>
      </c>
      <c r="L913" t="s">
        <v>177</v>
      </c>
      <c r="M913" t="s">
        <v>178</v>
      </c>
      <c r="N913" t="s">
        <v>179</v>
      </c>
      <c r="O913" t="s">
        <v>69</v>
      </c>
      <c r="P913" t="str">
        <f>"2170736679                    "</f>
        <v xml:space="preserve">2170736679                    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6.28</v>
      </c>
      <c r="AN913">
        <v>0</v>
      </c>
      <c r="AO913">
        <v>0</v>
      </c>
      <c r="AP913">
        <v>0</v>
      </c>
      <c r="AQ913">
        <v>0</v>
      </c>
      <c r="AR913">
        <v>0</v>
      </c>
      <c r="AS913">
        <v>0</v>
      </c>
      <c r="AT913">
        <v>0</v>
      </c>
      <c r="AU913">
        <v>0</v>
      </c>
      <c r="AV913">
        <v>0</v>
      </c>
      <c r="AW913">
        <v>0</v>
      </c>
      <c r="AX913">
        <v>0</v>
      </c>
      <c r="AY913">
        <v>0</v>
      </c>
      <c r="AZ913">
        <v>0</v>
      </c>
      <c r="BA913">
        <v>0</v>
      </c>
      <c r="BB913">
        <v>0</v>
      </c>
      <c r="BG913">
        <v>0</v>
      </c>
      <c r="BH913">
        <v>1</v>
      </c>
      <c r="BI913">
        <v>1.5</v>
      </c>
      <c r="BJ913">
        <v>2.7</v>
      </c>
      <c r="BK913">
        <v>3</v>
      </c>
      <c r="BL913">
        <v>69.069999999999993</v>
      </c>
      <c r="BM913">
        <v>10.36</v>
      </c>
      <c r="BN913">
        <v>79.430000000000007</v>
      </c>
      <c r="BO913">
        <v>79.430000000000007</v>
      </c>
      <c r="BQ913" t="s">
        <v>70</v>
      </c>
      <c r="BR913" t="s">
        <v>71</v>
      </c>
      <c r="BS913" s="1">
        <v>43950</v>
      </c>
      <c r="BT913" s="2">
        <v>0.53333333333333333</v>
      </c>
      <c r="BU913" t="s">
        <v>965</v>
      </c>
      <c r="BV913" t="s">
        <v>80</v>
      </c>
      <c r="BY913">
        <v>13551.3</v>
      </c>
      <c r="CA913" t="s">
        <v>741</v>
      </c>
      <c r="CC913" t="s">
        <v>178</v>
      </c>
      <c r="CD913">
        <v>4302</v>
      </c>
      <c r="CE913" t="s">
        <v>91</v>
      </c>
      <c r="CF913" s="1">
        <v>43951</v>
      </c>
      <c r="CI913">
        <v>1</v>
      </c>
      <c r="CJ913">
        <v>1</v>
      </c>
      <c r="CK913">
        <v>21</v>
      </c>
      <c r="CL913" t="s">
        <v>74</v>
      </c>
    </row>
    <row r="914" spans="1:90" x14ac:dyDescent="0.25">
      <c r="A914" t="s">
        <v>61</v>
      </c>
      <c r="B914" t="s">
        <v>62</v>
      </c>
      <c r="C914" t="s">
        <v>63</v>
      </c>
      <c r="E914" t="str">
        <f>"FES1162745133"</f>
        <v>FES1162745133</v>
      </c>
      <c r="F914" s="1">
        <v>43949</v>
      </c>
      <c r="G914">
        <v>202010</v>
      </c>
      <c r="H914" t="s">
        <v>64</v>
      </c>
      <c r="I914" t="s">
        <v>65</v>
      </c>
      <c r="J914" t="s">
        <v>66</v>
      </c>
      <c r="K914" t="s">
        <v>67</v>
      </c>
      <c r="L914" t="s">
        <v>64</v>
      </c>
      <c r="M914" t="s">
        <v>65</v>
      </c>
      <c r="N914" t="s">
        <v>219</v>
      </c>
      <c r="O914" t="s">
        <v>69</v>
      </c>
      <c r="P914" t="str">
        <f>"2170736262                    "</f>
        <v xml:space="preserve">2170736262                    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3.66</v>
      </c>
      <c r="AN914">
        <v>0</v>
      </c>
      <c r="AO914">
        <v>0</v>
      </c>
      <c r="AP914">
        <v>0</v>
      </c>
      <c r="AQ914">
        <v>0</v>
      </c>
      <c r="AR914">
        <v>0</v>
      </c>
      <c r="AS914">
        <v>0</v>
      </c>
      <c r="AT914">
        <v>0</v>
      </c>
      <c r="AU914">
        <v>0</v>
      </c>
      <c r="AV914">
        <v>0</v>
      </c>
      <c r="AW914">
        <v>0</v>
      </c>
      <c r="AX914">
        <v>0</v>
      </c>
      <c r="AY914">
        <v>0</v>
      </c>
      <c r="AZ914">
        <v>0</v>
      </c>
      <c r="BA914">
        <v>0</v>
      </c>
      <c r="BB914">
        <v>0</v>
      </c>
      <c r="BG914">
        <v>0</v>
      </c>
      <c r="BH914">
        <v>1</v>
      </c>
      <c r="BI914">
        <v>2.1</v>
      </c>
      <c r="BJ914">
        <v>1.2</v>
      </c>
      <c r="BK914">
        <v>2.5</v>
      </c>
      <c r="BL914">
        <v>40.29</v>
      </c>
      <c r="BM914">
        <v>6.04</v>
      </c>
      <c r="BN914">
        <v>46.33</v>
      </c>
      <c r="BO914">
        <v>46.33</v>
      </c>
      <c r="BQ914" t="s">
        <v>1051</v>
      </c>
      <c r="BR914" t="s">
        <v>71</v>
      </c>
      <c r="BS914" s="1">
        <v>43950</v>
      </c>
      <c r="BT914" s="2">
        <v>0.3611111111111111</v>
      </c>
      <c r="BU914" t="s">
        <v>1052</v>
      </c>
      <c r="BV914" t="s">
        <v>80</v>
      </c>
      <c r="BY914">
        <v>5796.52</v>
      </c>
      <c r="CC914" t="s">
        <v>65</v>
      </c>
      <c r="CD914">
        <v>1601</v>
      </c>
      <c r="CE914" t="s">
        <v>91</v>
      </c>
      <c r="CF914" s="1">
        <v>43951</v>
      </c>
      <c r="CI914">
        <v>1</v>
      </c>
      <c r="CJ914">
        <v>1</v>
      </c>
      <c r="CK914">
        <v>22</v>
      </c>
      <c r="CL914" t="s">
        <v>74</v>
      </c>
    </row>
    <row r="915" spans="1:90" x14ac:dyDescent="0.25">
      <c r="A915" t="s">
        <v>61</v>
      </c>
      <c r="B915" t="s">
        <v>62</v>
      </c>
      <c r="C915" t="s">
        <v>63</v>
      </c>
      <c r="E915" t="str">
        <f>"FES1162745521"</f>
        <v>FES1162745521</v>
      </c>
      <c r="F915" s="1">
        <v>43949</v>
      </c>
      <c r="G915">
        <v>202010</v>
      </c>
      <c r="H915" t="s">
        <v>64</v>
      </c>
      <c r="I915" t="s">
        <v>65</v>
      </c>
      <c r="J915" t="s">
        <v>66</v>
      </c>
      <c r="K915" t="s">
        <v>67</v>
      </c>
      <c r="L915" t="s">
        <v>270</v>
      </c>
      <c r="M915" t="s">
        <v>271</v>
      </c>
      <c r="N915" t="s">
        <v>1053</v>
      </c>
      <c r="O915" t="s">
        <v>69</v>
      </c>
      <c r="P915" t="str">
        <f>"2170731154                    "</f>
        <v xml:space="preserve">2170731154                    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0</v>
      </c>
      <c r="AM915">
        <v>4.84</v>
      </c>
      <c r="AN915">
        <v>0</v>
      </c>
      <c r="AO915">
        <v>0</v>
      </c>
      <c r="AP915">
        <v>0</v>
      </c>
      <c r="AQ915">
        <v>0</v>
      </c>
      <c r="AR915">
        <v>0</v>
      </c>
      <c r="AS915">
        <v>0</v>
      </c>
      <c r="AT915">
        <v>0</v>
      </c>
      <c r="AU915">
        <v>0</v>
      </c>
      <c r="AV915">
        <v>0</v>
      </c>
      <c r="AW915">
        <v>0</v>
      </c>
      <c r="AX915">
        <v>0</v>
      </c>
      <c r="AY915">
        <v>0</v>
      </c>
      <c r="AZ915">
        <v>0</v>
      </c>
      <c r="BA915">
        <v>0</v>
      </c>
      <c r="BB915">
        <v>0</v>
      </c>
      <c r="BG915">
        <v>0</v>
      </c>
      <c r="BH915">
        <v>1</v>
      </c>
      <c r="BI915">
        <v>3.6</v>
      </c>
      <c r="BJ915">
        <v>1.4</v>
      </c>
      <c r="BK915">
        <v>4</v>
      </c>
      <c r="BL915">
        <v>53.23</v>
      </c>
      <c r="BM915">
        <v>7.98</v>
      </c>
      <c r="BN915">
        <v>61.21</v>
      </c>
      <c r="BO915">
        <v>61.21</v>
      </c>
      <c r="BQ915" t="s">
        <v>78</v>
      </c>
      <c r="BR915" t="s">
        <v>71</v>
      </c>
      <c r="BS915" s="1">
        <v>43950</v>
      </c>
      <c r="BT915" s="2">
        <v>0.3430555555555555</v>
      </c>
      <c r="BU915" t="s">
        <v>1054</v>
      </c>
      <c r="BV915" t="s">
        <v>80</v>
      </c>
      <c r="BY915">
        <v>6888.45</v>
      </c>
      <c r="CA915" t="s">
        <v>486</v>
      </c>
      <c r="CC915" t="s">
        <v>271</v>
      </c>
      <c r="CD915">
        <v>2094</v>
      </c>
      <c r="CE915" t="s">
        <v>91</v>
      </c>
      <c r="CF915" s="1">
        <v>43951</v>
      </c>
      <c r="CI915">
        <v>1</v>
      </c>
      <c r="CJ915">
        <v>1</v>
      </c>
      <c r="CK915">
        <v>22</v>
      </c>
      <c r="CL915" t="s">
        <v>74</v>
      </c>
    </row>
    <row r="916" spans="1:90" x14ac:dyDescent="0.25">
      <c r="A916" t="s">
        <v>61</v>
      </c>
      <c r="B916" t="s">
        <v>62</v>
      </c>
      <c r="C916" t="s">
        <v>63</v>
      </c>
      <c r="E916" t="str">
        <f>"FES1162745523"</f>
        <v>FES1162745523</v>
      </c>
      <c r="F916" s="1">
        <v>43949</v>
      </c>
      <c r="G916">
        <v>202010</v>
      </c>
      <c r="H916" t="s">
        <v>64</v>
      </c>
      <c r="I916" t="s">
        <v>65</v>
      </c>
      <c r="J916" t="s">
        <v>66</v>
      </c>
      <c r="K916" t="s">
        <v>67</v>
      </c>
      <c r="L916" t="s">
        <v>270</v>
      </c>
      <c r="M916" t="s">
        <v>271</v>
      </c>
      <c r="N916" t="s">
        <v>1053</v>
      </c>
      <c r="O916" t="s">
        <v>69</v>
      </c>
      <c r="P916" t="str">
        <f>"2170732954                    "</f>
        <v xml:space="preserve">2170732954                    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0</v>
      </c>
      <c r="AM916">
        <v>4.84</v>
      </c>
      <c r="AN916">
        <v>0</v>
      </c>
      <c r="AO916">
        <v>0</v>
      </c>
      <c r="AP916">
        <v>0</v>
      </c>
      <c r="AQ916">
        <v>0</v>
      </c>
      <c r="AR916">
        <v>0</v>
      </c>
      <c r="AS916">
        <v>0</v>
      </c>
      <c r="AT916">
        <v>0</v>
      </c>
      <c r="AU916">
        <v>0</v>
      </c>
      <c r="AV916">
        <v>0</v>
      </c>
      <c r="AW916">
        <v>0</v>
      </c>
      <c r="AX916">
        <v>0</v>
      </c>
      <c r="AY916">
        <v>0</v>
      </c>
      <c r="AZ916">
        <v>0</v>
      </c>
      <c r="BA916">
        <v>0</v>
      </c>
      <c r="BB916">
        <v>0</v>
      </c>
      <c r="BG916">
        <v>0</v>
      </c>
      <c r="BH916">
        <v>1</v>
      </c>
      <c r="BI916">
        <v>3.6</v>
      </c>
      <c r="BJ916">
        <v>1.3</v>
      </c>
      <c r="BK916">
        <v>4</v>
      </c>
      <c r="BL916">
        <v>53.23</v>
      </c>
      <c r="BM916">
        <v>7.98</v>
      </c>
      <c r="BN916">
        <v>61.21</v>
      </c>
      <c r="BO916">
        <v>61.21</v>
      </c>
      <c r="BQ916" t="s">
        <v>78</v>
      </c>
      <c r="BR916" t="s">
        <v>71</v>
      </c>
      <c r="BS916" s="1">
        <v>43950</v>
      </c>
      <c r="BT916" s="2">
        <v>0.41666666666666669</v>
      </c>
      <c r="BU916" t="s">
        <v>1055</v>
      </c>
      <c r="BV916" t="s">
        <v>80</v>
      </c>
      <c r="BY916">
        <v>6468.36</v>
      </c>
      <c r="CA916" t="s">
        <v>486</v>
      </c>
      <c r="CC916" t="s">
        <v>271</v>
      </c>
      <c r="CD916">
        <v>2094</v>
      </c>
      <c r="CE916" t="s">
        <v>91</v>
      </c>
      <c r="CF916" s="1">
        <v>43951</v>
      </c>
      <c r="CI916">
        <v>1</v>
      </c>
      <c r="CJ916">
        <v>1</v>
      </c>
      <c r="CK916">
        <v>22</v>
      </c>
      <c r="CL916" t="s">
        <v>74</v>
      </c>
    </row>
    <row r="917" spans="1:90" x14ac:dyDescent="0.25">
      <c r="A917" t="s">
        <v>61</v>
      </c>
      <c r="B917" t="s">
        <v>62</v>
      </c>
      <c r="C917" t="s">
        <v>63</v>
      </c>
      <c r="E917" t="str">
        <f>"FES1162745530"</f>
        <v>FES1162745530</v>
      </c>
      <c r="F917" s="1">
        <v>43949</v>
      </c>
      <c r="G917">
        <v>202010</v>
      </c>
      <c r="H917" t="s">
        <v>64</v>
      </c>
      <c r="I917" t="s">
        <v>65</v>
      </c>
      <c r="J917" t="s">
        <v>66</v>
      </c>
      <c r="K917" t="s">
        <v>67</v>
      </c>
      <c r="L917" t="s">
        <v>254</v>
      </c>
      <c r="M917" t="s">
        <v>255</v>
      </c>
      <c r="N917" t="s">
        <v>1042</v>
      </c>
      <c r="O917" t="s">
        <v>69</v>
      </c>
      <c r="P917" t="str">
        <f>"2170735239                    "</f>
        <v xml:space="preserve">2170735239                    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19.88</v>
      </c>
      <c r="AN917">
        <v>0</v>
      </c>
      <c r="AO917">
        <v>0</v>
      </c>
      <c r="AP917">
        <v>0</v>
      </c>
      <c r="AQ917">
        <v>0</v>
      </c>
      <c r="AR917">
        <v>0</v>
      </c>
      <c r="AS917">
        <v>0</v>
      </c>
      <c r="AT917">
        <v>0</v>
      </c>
      <c r="AU917">
        <v>0</v>
      </c>
      <c r="AV917">
        <v>0</v>
      </c>
      <c r="AW917">
        <v>0</v>
      </c>
      <c r="AX917">
        <v>0</v>
      </c>
      <c r="AY917">
        <v>0</v>
      </c>
      <c r="AZ917">
        <v>0</v>
      </c>
      <c r="BA917">
        <v>0</v>
      </c>
      <c r="BB917">
        <v>0</v>
      </c>
      <c r="BG917">
        <v>0</v>
      </c>
      <c r="BH917">
        <v>1</v>
      </c>
      <c r="BI917">
        <v>9.1999999999999993</v>
      </c>
      <c r="BJ917">
        <v>4.5</v>
      </c>
      <c r="BK917">
        <v>9.5</v>
      </c>
      <c r="BL917">
        <v>218.65</v>
      </c>
      <c r="BM917">
        <v>32.799999999999997</v>
      </c>
      <c r="BN917">
        <v>251.45</v>
      </c>
      <c r="BO917">
        <v>251.45</v>
      </c>
      <c r="BQ917" t="s">
        <v>70</v>
      </c>
      <c r="BR917" t="s">
        <v>71</v>
      </c>
      <c r="BS917" t="s">
        <v>72</v>
      </c>
      <c r="BY917">
        <v>22588.74</v>
      </c>
      <c r="CC917" t="s">
        <v>255</v>
      </c>
      <c r="CD917">
        <v>200</v>
      </c>
      <c r="CE917" t="s">
        <v>91</v>
      </c>
      <c r="CI917">
        <v>1</v>
      </c>
      <c r="CJ917" t="s">
        <v>72</v>
      </c>
      <c r="CK917">
        <v>21</v>
      </c>
      <c r="CL917" t="s">
        <v>74</v>
      </c>
    </row>
    <row r="918" spans="1:90" x14ac:dyDescent="0.25">
      <c r="A918" t="s">
        <v>61</v>
      </c>
      <c r="B918" t="s">
        <v>62</v>
      </c>
      <c r="C918" t="s">
        <v>63</v>
      </c>
      <c r="E918" t="str">
        <f>"FES1162745476"</f>
        <v>FES1162745476</v>
      </c>
      <c r="F918" s="1">
        <v>43949</v>
      </c>
      <c r="G918">
        <v>202010</v>
      </c>
      <c r="H918" t="s">
        <v>64</v>
      </c>
      <c r="I918" t="s">
        <v>65</v>
      </c>
      <c r="J918" t="s">
        <v>66</v>
      </c>
      <c r="K918" t="s">
        <v>67</v>
      </c>
      <c r="L918" t="s">
        <v>456</v>
      </c>
      <c r="M918" t="s">
        <v>457</v>
      </c>
      <c r="N918" t="s">
        <v>196</v>
      </c>
      <c r="O918" t="s">
        <v>69</v>
      </c>
      <c r="P918" t="str">
        <f>"2170736144                    "</f>
        <v xml:space="preserve">2170736144                    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0</v>
      </c>
      <c r="AM918">
        <v>10.19</v>
      </c>
      <c r="AN918">
        <v>0</v>
      </c>
      <c r="AO918">
        <v>0</v>
      </c>
      <c r="AP918">
        <v>0</v>
      </c>
      <c r="AQ918">
        <v>0</v>
      </c>
      <c r="AR918">
        <v>0</v>
      </c>
      <c r="AS918">
        <v>0</v>
      </c>
      <c r="AT918">
        <v>0</v>
      </c>
      <c r="AU918">
        <v>0</v>
      </c>
      <c r="AV918">
        <v>0</v>
      </c>
      <c r="AW918">
        <v>0</v>
      </c>
      <c r="AX918">
        <v>0</v>
      </c>
      <c r="AY918">
        <v>0</v>
      </c>
      <c r="AZ918">
        <v>0</v>
      </c>
      <c r="BA918">
        <v>0</v>
      </c>
      <c r="BB918">
        <v>0</v>
      </c>
      <c r="BG918">
        <v>0</v>
      </c>
      <c r="BH918">
        <v>1</v>
      </c>
      <c r="BI918">
        <v>2.2999999999999998</v>
      </c>
      <c r="BJ918">
        <v>3.2</v>
      </c>
      <c r="BK918">
        <v>3.5</v>
      </c>
      <c r="BL918">
        <v>112.09</v>
      </c>
      <c r="BM918">
        <v>16.809999999999999</v>
      </c>
      <c r="BN918">
        <v>128.9</v>
      </c>
      <c r="BO918">
        <v>128.9</v>
      </c>
      <c r="BQ918" t="s">
        <v>70</v>
      </c>
      <c r="BR918" t="s">
        <v>71</v>
      </c>
      <c r="BS918" t="s">
        <v>72</v>
      </c>
      <c r="BY918">
        <v>15912.88</v>
      </c>
      <c r="CC918" t="s">
        <v>457</v>
      </c>
      <c r="CD918">
        <v>407</v>
      </c>
      <c r="CE918" t="s">
        <v>91</v>
      </c>
      <c r="CI918">
        <v>1</v>
      </c>
      <c r="CJ918" t="s">
        <v>72</v>
      </c>
      <c r="CK918">
        <v>24</v>
      </c>
      <c r="CL918" t="s">
        <v>74</v>
      </c>
    </row>
    <row r="919" spans="1:90" x14ac:dyDescent="0.25">
      <c r="A919" t="s">
        <v>61</v>
      </c>
      <c r="B919" t="s">
        <v>62</v>
      </c>
      <c r="C919" t="s">
        <v>63</v>
      </c>
      <c r="E919" t="str">
        <f>"FES1162745541"</f>
        <v>FES1162745541</v>
      </c>
      <c r="F919" s="1">
        <v>43949</v>
      </c>
      <c r="G919">
        <v>202010</v>
      </c>
      <c r="H919" t="s">
        <v>64</v>
      </c>
      <c r="I919" t="s">
        <v>65</v>
      </c>
      <c r="J919" t="s">
        <v>66</v>
      </c>
      <c r="K919" t="s">
        <v>67</v>
      </c>
      <c r="L919" t="s">
        <v>92</v>
      </c>
      <c r="M919" t="s">
        <v>93</v>
      </c>
      <c r="N919" t="s">
        <v>329</v>
      </c>
      <c r="O919" t="s">
        <v>69</v>
      </c>
      <c r="P919" t="str">
        <f>"2170736508                    "</f>
        <v xml:space="preserve">2170736508                    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4.1900000000000004</v>
      </c>
      <c r="AN919">
        <v>0</v>
      </c>
      <c r="AO919">
        <v>0</v>
      </c>
      <c r="AP919">
        <v>0</v>
      </c>
      <c r="AQ919">
        <v>0</v>
      </c>
      <c r="AR919">
        <v>0</v>
      </c>
      <c r="AS919">
        <v>0</v>
      </c>
      <c r="AT919">
        <v>0</v>
      </c>
      <c r="AU919">
        <v>0</v>
      </c>
      <c r="AV919">
        <v>0</v>
      </c>
      <c r="AW919">
        <v>0</v>
      </c>
      <c r="AX919">
        <v>0</v>
      </c>
      <c r="AY919">
        <v>0</v>
      </c>
      <c r="AZ919">
        <v>0</v>
      </c>
      <c r="BA919">
        <v>0</v>
      </c>
      <c r="BB919">
        <v>0</v>
      </c>
      <c r="BG919">
        <v>0</v>
      </c>
      <c r="BH919">
        <v>1</v>
      </c>
      <c r="BI919">
        <v>1.2</v>
      </c>
      <c r="BJ919">
        <v>0.6</v>
      </c>
      <c r="BK919">
        <v>1.5</v>
      </c>
      <c r="BL919">
        <v>46.06</v>
      </c>
      <c r="BM919">
        <v>6.91</v>
      </c>
      <c r="BN919">
        <v>52.97</v>
      </c>
      <c r="BO919">
        <v>52.97</v>
      </c>
      <c r="BQ919" t="s">
        <v>70</v>
      </c>
      <c r="BR919" t="s">
        <v>71</v>
      </c>
      <c r="BS919" s="1">
        <v>43950</v>
      </c>
      <c r="BT919" s="2">
        <v>0.38125000000000003</v>
      </c>
      <c r="BU919" t="s">
        <v>1056</v>
      </c>
      <c r="BV919" t="s">
        <v>80</v>
      </c>
      <c r="BY919">
        <v>3096.87</v>
      </c>
      <c r="CA919" t="s">
        <v>98</v>
      </c>
      <c r="CC919" t="s">
        <v>93</v>
      </c>
      <c r="CD919">
        <v>7441</v>
      </c>
      <c r="CE919" t="s">
        <v>91</v>
      </c>
      <c r="CF919" s="1">
        <v>43951</v>
      </c>
      <c r="CI919">
        <v>1</v>
      </c>
      <c r="CJ919">
        <v>1</v>
      </c>
      <c r="CK919">
        <v>21</v>
      </c>
      <c r="CL919" t="s">
        <v>74</v>
      </c>
    </row>
    <row r="920" spans="1:90" x14ac:dyDescent="0.25">
      <c r="A920" t="s">
        <v>61</v>
      </c>
      <c r="B920" t="s">
        <v>62</v>
      </c>
      <c r="C920" t="s">
        <v>63</v>
      </c>
      <c r="E920" t="str">
        <f>"FES1162745542"</f>
        <v>FES1162745542</v>
      </c>
      <c r="F920" s="1">
        <v>43949</v>
      </c>
      <c r="G920">
        <v>202010</v>
      </c>
      <c r="H920" t="s">
        <v>64</v>
      </c>
      <c r="I920" t="s">
        <v>65</v>
      </c>
      <c r="J920" t="s">
        <v>66</v>
      </c>
      <c r="K920" t="s">
        <v>67</v>
      </c>
      <c r="L920" t="s">
        <v>92</v>
      </c>
      <c r="M920" t="s">
        <v>93</v>
      </c>
      <c r="N920" t="s">
        <v>329</v>
      </c>
      <c r="O920" t="s">
        <v>69</v>
      </c>
      <c r="P920" t="str">
        <f>"2170736509                    "</f>
        <v xml:space="preserve">2170736509                    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0</v>
      </c>
      <c r="AM920">
        <v>4.1900000000000004</v>
      </c>
      <c r="AN920">
        <v>0</v>
      </c>
      <c r="AO920">
        <v>0</v>
      </c>
      <c r="AP920">
        <v>0</v>
      </c>
      <c r="AQ920">
        <v>0</v>
      </c>
      <c r="AR920">
        <v>0</v>
      </c>
      <c r="AS920">
        <v>0</v>
      </c>
      <c r="AT920">
        <v>0</v>
      </c>
      <c r="AU920">
        <v>0</v>
      </c>
      <c r="AV920">
        <v>0</v>
      </c>
      <c r="AW920">
        <v>0</v>
      </c>
      <c r="AX920">
        <v>0</v>
      </c>
      <c r="AY920">
        <v>0</v>
      </c>
      <c r="AZ920">
        <v>0</v>
      </c>
      <c r="BA920">
        <v>0</v>
      </c>
      <c r="BB920">
        <v>0</v>
      </c>
      <c r="BG920">
        <v>0</v>
      </c>
      <c r="BH920">
        <v>1</v>
      </c>
      <c r="BI920">
        <v>1</v>
      </c>
      <c r="BJ920">
        <v>0.2</v>
      </c>
      <c r="BK920">
        <v>1</v>
      </c>
      <c r="BL920">
        <v>46.06</v>
      </c>
      <c r="BM920">
        <v>6.91</v>
      </c>
      <c r="BN920">
        <v>52.97</v>
      </c>
      <c r="BO920">
        <v>52.97</v>
      </c>
      <c r="BQ920" t="s">
        <v>70</v>
      </c>
      <c r="BR920" t="s">
        <v>71</v>
      </c>
      <c r="BS920" s="1">
        <v>43950</v>
      </c>
      <c r="BT920" s="2">
        <v>0.38125000000000003</v>
      </c>
      <c r="BU920" t="s">
        <v>1056</v>
      </c>
      <c r="BV920" t="s">
        <v>80</v>
      </c>
      <c r="BY920">
        <v>1200</v>
      </c>
      <c r="CA920" t="s">
        <v>98</v>
      </c>
      <c r="CC920" t="s">
        <v>93</v>
      </c>
      <c r="CD920">
        <v>7441</v>
      </c>
      <c r="CE920" t="s">
        <v>73</v>
      </c>
      <c r="CF920" s="1">
        <v>43951</v>
      </c>
      <c r="CI920">
        <v>1</v>
      </c>
      <c r="CJ920">
        <v>1</v>
      </c>
      <c r="CK920">
        <v>21</v>
      </c>
      <c r="CL920" t="s">
        <v>74</v>
      </c>
    </row>
    <row r="921" spans="1:90" x14ac:dyDescent="0.25">
      <c r="A921" t="s">
        <v>61</v>
      </c>
      <c r="B921" t="s">
        <v>62</v>
      </c>
      <c r="C921" t="s">
        <v>63</v>
      </c>
      <c r="E921" t="str">
        <f>"FES1162745540"</f>
        <v>FES1162745540</v>
      </c>
      <c r="F921" s="1">
        <v>43949</v>
      </c>
      <c r="G921">
        <v>202010</v>
      </c>
      <c r="H921" t="s">
        <v>64</v>
      </c>
      <c r="I921" t="s">
        <v>65</v>
      </c>
      <c r="J921" t="s">
        <v>66</v>
      </c>
      <c r="K921" t="s">
        <v>67</v>
      </c>
      <c r="L921" t="s">
        <v>532</v>
      </c>
      <c r="M921" t="s">
        <v>533</v>
      </c>
      <c r="N921" t="s">
        <v>534</v>
      </c>
      <c r="O921" t="s">
        <v>69</v>
      </c>
      <c r="P921" t="str">
        <f>"2170736416                    "</f>
        <v xml:space="preserve">2170736416                    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4.1900000000000004</v>
      </c>
      <c r="AN921">
        <v>0</v>
      </c>
      <c r="AO921">
        <v>0</v>
      </c>
      <c r="AP921">
        <v>0</v>
      </c>
      <c r="AQ921">
        <v>0</v>
      </c>
      <c r="AR921">
        <v>0</v>
      </c>
      <c r="AS921">
        <v>0</v>
      </c>
      <c r="AT921">
        <v>0</v>
      </c>
      <c r="AU921">
        <v>0</v>
      </c>
      <c r="AV921">
        <v>0</v>
      </c>
      <c r="AW921">
        <v>0</v>
      </c>
      <c r="AX921">
        <v>0</v>
      </c>
      <c r="AY921">
        <v>0</v>
      </c>
      <c r="AZ921">
        <v>0</v>
      </c>
      <c r="BA921">
        <v>0</v>
      </c>
      <c r="BB921">
        <v>0</v>
      </c>
      <c r="BG921">
        <v>0</v>
      </c>
      <c r="BH921">
        <v>1</v>
      </c>
      <c r="BI921">
        <v>1</v>
      </c>
      <c r="BJ921">
        <v>0.2</v>
      </c>
      <c r="BK921">
        <v>1</v>
      </c>
      <c r="BL921">
        <v>46.06</v>
      </c>
      <c r="BM921">
        <v>6.91</v>
      </c>
      <c r="BN921">
        <v>52.97</v>
      </c>
      <c r="BO921">
        <v>52.97</v>
      </c>
      <c r="BQ921" t="s">
        <v>70</v>
      </c>
      <c r="BR921" t="s">
        <v>71</v>
      </c>
      <c r="BS921" s="1">
        <v>43950</v>
      </c>
      <c r="BT921" s="2">
        <v>0.41666666666666669</v>
      </c>
      <c r="BU921" t="s">
        <v>535</v>
      </c>
      <c r="BV921" t="s">
        <v>80</v>
      </c>
      <c r="BY921">
        <v>1200</v>
      </c>
      <c r="CC921" t="s">
        <v>533</v>
      </c>
      <c r="CD921">
        <v>6536</v>
      </c>
      <c r="CE921" t="s">
        <v>73</v>
      </c>
      <c r="CI921">
        <v>1</v>
      </c>
      <c r="CJ921">
        <v>1</v>
      </c>
      <c r="CK921">
        <v>21</v>
      </c>
      <c r="CL921" t="s">
        <v>74</v>
      </c>
    </row>
    <row r="922" spans="1:90" x14ac:dyDescent="0.25">
      <c r="A922" t="s">
        <v>61</v>
      </c>
      <c r="B922" t="s">
        <v>62</v>
      </c>
      <c r="C922" t="s">
        <v>63</v>
      </c>
      <c r="E922" t="str">
        <f>"FES1162745484"</f>
        <v>FES1162745484</v>
      </c>
      <c r="F922" s="1">
        <v>43949</v>
      </c>
      <c r="G922">
        <v>202010</v>
      </c>
      <c r="H922" t="s">
        <v>64</v>
      </c>
      <c r="I922" t="s">
        <v>65</v>
      </c>
      <c r="J922" t="s">
        <v>66</v>
      </c>
      <c r="K922" t="s">
        <v>67</v>
      </c>
      <c r="L922" t="s">
        <v>120</v>
      </c>
      <c r="M922" t="s">
        <v>121</v>
      </c>
      <c r="N922" t="s">
        <v>572</v>
      </c>
      <c r="O922" t="s">
        <v>69</v>
      </c>
      <c r="P922" t="str">
        <f>"2170736404                    "</f>
        <v xml:space="preserve">2170736404                    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0</v>
      </c>
      <c r="AM922">
        <v>4.1900000000000004</v>
      </c>
      <c r="AN922">
        <v>0</v>
      </c>
      <c r="AO922">
        <v>0</v>
      </c>
      <c r="AP922">
        <v>0</v>
      </c>
      <c r="AQ922">
        <v>0</v>
      </c>
      <c r="AR922">
        <v>0</v>
      </c>
      <c r="AS922">
        <v>0</v>
      </c>
      <c r="AT922">
        <v>0</v>
      </c>
      <c r="AU922">
        <v>0</v>
      </c>
      <c r="AV922">
        <v>0</v>
      </c>
      <c r="AW922">
        <v>0</v>
      </c>
      <c r="AX922">
        <v>0</v>
      </c>
      <c r="AY922">
        <v>0</v>
      </c>
      <c r="AZ922">
        <v>0</v>
      </c>
      <c r="BA922">
        <v>0</v>
      </c>
      <c r="BB922">
        <v>0</v>
      </c>
      <c r="BG922">
        <v>0</v>
      </c>
      <c r="BH922">
        <v>1</v>
      </c>
      <c r="BI922">
        <v>1</v>
      </c>
      <c r="BJ922">
        <v>0.2</v>
      </c>
      <c r="BK922">
        <v>1</v>
      </c>
      <c r="BL922">
        <v>46.06</v>
      </c>
      <c r="BM922">
        <v>6.91</v>
      </c>
      <c r="BN922">
        <v>52.97</v>
      </c>
      <c r="BO922">
        <v>52.97</v>
      </c>
      <c r="BQ922" t="s">
        <v>78</v>
      </c>
      <c r="BR922" t="s">
        <v>71</v>
      </c>
      <c r="BS922" s="1">
        <v>43950</v>
      </c>
      <c r="BT922" s="2">
        <v>0.45208333333333334</v>
      </c>
      <c r="BU922" t="s">
        <v>573</v>
      </c>
      <c r="BV922" t="s">
        <v>74</v>
      </c>
      <c r="BW922" t="s">
        <v>85</v>
      </c>
      <c r="BX922" t="s">
        <v>339</v>
      </c>
      <c r="BY922">
        <v>1200</v>
      </c>
      <c r="CA922" t="s">
        <v>574</v>
      </c>
      <c r="CC922" t="s">
        <v>121</v>
      </c>
      <c r="CD922">
        <v>4051</v>
      </c>
      <c r="CE922" t="s">
        <v>73</v>
      </c>
      <c r="CF922" s="1">
        <v>43951</v>
      </c>
      <c r="CI922">
        <v>1</v>
      </c>
      <c r="CJ922">
        <v>1</v>
      </c>
      <c r="CK922">
        <v>21</v>
      </c>
      <c r="CL922" t="s">
        <v>74</v>
      </c>
    </row>
    <row r="923" spans="1:90" x14ac:dyDescent="0.25">
      <c r="A923" t="s">
        <v>61</v>
      </c>
      <c r="B923" t="s">
        <v>62</v>
      </c>
      <c r="C923" t="s">
        <v>63</v>
      </c>
      <c r="E923" t="str">
        <f>"FES1162745495"</f>
        <v>FES1162745495</v>
      </c>
      <c r="F923" s="1">
        <v>43949</v>
      </c>
      <c r="G923">
        <v>202010</v>
      </c>
      <c r="H923" t="s">
        <v>64</v>
      </c>
      <c r="I923" t="s">
        <v>65</v>
      </c>
      <c r="J923" t="s">
        <v>66</v>
      </c>
      <c r="K923" t="s">
        <v>67</v>
      </c>
      <c r="L923" t="s">
        <v>120</v>
      </c>
      <c r="M923" t="s">
        <v>121</v>
      </c>
      <c r="N923" t="s">
        <v>572</v>
      </c>
      <c r="O923" t="s">
        <v>69</v>
      </c>
      <c r="P923" t="str">
        <f>"2170736404                    "</f>
        <v xml:space="preserve">2170736404                    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0</v>
      </c>
      <c r="AM923">
        <v>4.1900000000000004</v>
      </c>
      <c r="AN923">
        <v>0</v>
      </c>
      <c r="AO923">
        <v>0</v>
      </c>
      <c r="AP923">
        <v>0</v>
      </c>
      <c r="AQ923">
        <v>0</v>
      </c>
      <c r="AR923">
        <v>0</v>
      </c>
      <c r="AS923">
        <v>0</v>
      </c>
      <c r="AT923">
        <v>0</v>
      </c>
      <c r="AU923">
        <v>0</v>
      </c>
      <c r="AV923">
        <v>0</v>
      </c>
      <c r="AW923">
        <v>0</v>
      </c>
      <c r="AX923">
        <v>0</v>
      </c>
      <c r="AY923">
        <v>0</v>
      </c>
      <c r="AZ923">
        <v>0</v>
      </c>
      <c r="BA923">
        <v>0</v>
      </c>
      <c r="BB923">
        <v>0</v>
      </c>
      <c r="BG923">
        <v>0</v>
      </c>
      <c r="BH923">
        <v>1</v>
      </c>
      <c r="BI923">
        <v>1</v>
      </c>
      <c r="BJ923">
        <v>0.2</v>
      </c>
      <c r="BK923">
        <v>1</v>
      </c>
      <c r="BL923">
        <v>46.06</v>
      </c>
      <c r="BM923">
        <v>6.91</v>
      </c>
      <c r="BN923">
        <v>52.97</v>
      </c>
      <c r="BO923">
        <v>52.97</v>
      </c>
      <c r="BQ923" t="s">
        <v>78</v>
      </c>
      <c r="BR923" t="s">
        <v>71</v>
      </c>
      <c r="BS923" s="1">
        <v>43950</v>
      </c>
      <c r="BT923" s="2">
        <v>0.4513888888888889</v>
      </c>
      <c r="BU923" t="s">
        <v>573</v>
      </c>
      <c r="BV923" t="s">
        <v>74</v>
      </c>
      <c r="BW923" t="s">
        <v>85</v>
      </c>
      <c r="BX923" t="s">
        <v>339</v>
      </c>
      <c r="BY923">
        <v>1200</v>
      </c>
      <c r="CA923" t="s">
        <v>574</v>
      </c>
      <c r="CC923" t="s">
        <v>121</v>
      </c>
      <c r="CD923">
        <v>4051</v>
      </c>
      <c r="CE923" t="s">
        <v>73</v>
      </c>
      <c r="CF923" s="1">
        <v>43951</v>
      </c>
      <c r="CI923">
        <v>1</v>
      </c>
      <c r="CJ923">
        <v>1</v>
      </c>
      <c r="CK923">
        <v>21</v>
      </c>
      <c r="CL923" t="s">
        <v>74</v>
      </c>
    </row>
    <row r="924" spans="1:90" x14ac:dyDescent="0.25">
      <c r="A924" t="s">
        <v>61</v>
      </c>
      <c r="B924" t="s">
        <v>62</v>
      </c>
      <c r="C924" t="s">
        <v>63</v>
      </c>
      <c r="E924" t="str">
        <f>"FES1162745472"</f>
        <v>FES1162745472</v>
      </c>
      <c r="F924" s="1">
        <v>43949</v>
      </c>
      <c r="G924">
        <v>202010</v>
      </c>
      <c r="H924" t="s">
        <v>64</v>
      </c>
      <c r="I924" t="s">
        <v>65</v>
      </c>
      <c r="J924" t="s">
        <v>66</v>
      </c>
      <c r="K924" t="s">
        <v>67</v>
      </c>
      <c r="L924" t="s">
        <v>359</v>
      </c>
      <c r="M924" t="s">
        <v>360</v>
      </c>
      <c r="N924" t="s">
        <v>361</v>
      </c>
      <c r="O924" t="s">
        <v>69</v>
      </c>
      <c r="P924" t="str">
        <f>"2170735798                    "</f>
        <v xml:space="preserve">2170735798                    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0</v>
      </c>
      <c r="AM924">
        <v>4.1900000000000004</v>
      </c>
      <c r="AN924">
        <v>0</v>
      </c>
      <c r="AO924">
        <v>0</v>
      </c>
      <c r="AP924">
        <v>0</v>
      </c>
      <c r="AQ924">
        <v>0</v>
      </c>
      <c r="AR924">
        <v>0</v>
      </c>
      <c r="AS924">
        <v>0</v>
      </c>
      <c r="AT924">
        <v>0</v>
      </c>
      <c r="AU924">
        <v>0</v>
      </c>
      <c r="AV924">
        <v>0</v>
      </c>
      <c r="AW924">
        <v>0</v>
      </c>
      <c r="AX924">
        <v>0</v>
      </c>
      <c r="AY924">
        <v>0</v>
      </c>
      <c r="AZ924">
        <v>0</v>
      </c>
      <c r="BA924">
        <v>0</v>
      </c>
      <c r="BB924">
        <v>0</v>
      </c>
      <c r="BG924">
        <v>0</v>
      </c>
      <c r="BH924">
        <v>1</v>
      </c>
      <c r="BI924">
        <v>1</v>
      </c>
      <c r="BJ924">
        <v>0.2</v>
      </c>
      <c r="BK924">
        <v>1</v>
      </c>
      <c r="BL924">
        <v>46.06</v>
      </c>
      <c r="BM924">
        <v>6.91</v>
      </c>
      <c r="BN924">
        <v>52.97</v>
      </c>
      <c r="BO924">
        <v>52.97</v>
      </c>
      <c r="BQ924" t="s">
        <v>70</v>
      </c>
      <c r="BR924" t="s">
        <v>71</v>
      </c>
      <c r="BS924" s="1">
        <v>43951</v>
      </c>
      <c r="BT924" s="2">
        <v>0.5</v>
      </c>
      <c r="BU924" t="s">
        <v>1057</v>
      </c>
      <c r="BV924" t="s">
        <v>74</v>
      </c>
      <c r="BY924">
        <v>1200</v>
      </c>
      <c r="CC924" t="s">
        <v>360</v>
      </c>
      <c r="CD924">
        <v>3310</v>
      </c>
      <c r="CE924" t="s">
        <v>73</v>
      </c>
      <c r="CI924">
        <v>1</v>
      </c>
      <c r="CJ924">
        <v>2</v>
      </c>
      <c r="CK924">
        <v>21</v>
      </c>
      <c r="CL924" t="s">
        <v>74</v>
      </c>
    </row>
    <row r="925" spans="1:90" x14ac:dyDescent="0.25">
      <c r="A925" t="s">
        <v>61</v>
      </c>
      <c r="B925" t="s">
        <v>62</v>
      </c>
      <c r="C925" t="s">
        <v>63</v>
      </c>
      <c r="E925" t="str">
        <f>"FES1162745739"</f>
        <v>FES1162745739</v>
      </c>
      <c r="F925" s="1">
        <v>43951</v>
      </c>
      <c r="G925">
        <v>202010</v>
      </c>
      <c r="H925" t="s">
        <v>64</v>
      </c>
      <c r="I925" t="s">
        <v>65</v>
      </c>
      <c r="J925" t="s">
        <v>66</v>
      </c>
      <c r="K925" t="s">
        <v>67</v>
      </c>
      <c r="L925" t="s">
        <v>385</v>
      </c>
      <c r="M925" t="s">
        <v>386</v>
      </c>
      <c r="N925" t="s">
        <v>528</v>
      </c>
      <c r="O925" t="s">
        <v>69</v>
      </c>
      <c r="P925" t="str">
        <f>"2170736835                    "</f>
        <v xml:space="preserve">2170736835                    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0</v>
      </c>
      <c r="AM925">
        <v>7.32</v>
      </c>
      <c r="AN925">
        <v>0</v>
      </c>
      <c r="AO925">
        <v>0</v>
      </c>
      <c r="AP925">
        <v>0</v>
      </c>
      <c r="AQ925">
        <v>0</v>
      </c>
      <c r="AR925">
        <v>0</v>
      </c>
      <c r="AS925">
        <v>0</v>
      </c>
      <c r="AT925">
        <v>0</v>
      </c>
      <c r="AU925">
        <v>0</v>
      </c>
      <c r="AV925">
        <v>0</v>
      </c>
      <c r="AW925">
        <v>0</v>
      </c>
      <c r="AX925">
        <v>0</v>
      </c>
      <c r="AY925">
        <v>0</v>
      </c>
      <c r="AZ925">
        <v>0</v>
      </c>
      <c r="BA925">
        <v>0</v>
      </c>
      <c r="BB925">
        <v>0</v>
      </c>
      <c r="BG925">
        <v>0</v>
      </c>
      <c r="BH925">
        <v>1</v>
      </c>
      <c r="BI925">
        <v>2.1</v>
      </c>
      <c r="BJ925">
        <v>1.1000000000000001</v>
      </c>
      <c r="BK925">
        <v>2.5</v>
      </c>
      <c r="BL925">
        <v>80.540000000000006</v>
      </c>
      <c r="BM925">
        <v>12.08</v>
      </c>
      <c r="BN925">
        <v>92.62</v>
      </c>
      <c r="BO925">
        <v>92.62</v>
      </c>
      <c r="BQ925" t="s">
        <v>78</v>
      </c>
      <c r="BR925" t="s">
        <v>71</v>
      </c>
      <c r="BS925" t="s">
        <v>72</v>
      </c>
      <c r="BY925">
        <v>5255.04</v>
      </c>
      <c r="CC925" t="s">
        <v>386</v>
      </c>
      <c r="CD925">
        <v>1939</v>
      </c>
      <c r="CE925" t="s">
        <v>73</v>
      </c>
      <c r="CI925">
        <v>1</v>
      </c>
      <c r="CJ925" t="s">
        <v>72</v>
      </c>
      <c r="CK925">
        <v>24</v>
      </c>
      <c r="CL925" t="s">
        <v>74</v>
      </c>
    </row>
    <row r="926" spans="1:90" x14ac:dyDescent="0.25">
      <c r="A926" t="s">
        <v>61</v>
      </c>
      <c r="B926" t="s">
        <v>62</v>
      </c>
      <c r="C926" t="s">
        <v>63</v>
      </c>
      <c r="E926" t="str">
        <f>"FES1162745741"</f>
        <v>FES1162745741</v>
      </c>
      <c r="F926" s="1">
        <v>43951</v>
      </c>
      <c r="G926">
        <v>202010</v>
      </c>
      <c r="H926" t="s">
        <v>64</v>
      </c>
      <c r="I926" t="s">
        <v>65</v>
      </c>
      <c r="J926" t="s">
        <v>66</v>
      </c>
      <c r="K926" t="s">
        <v>67</v>
      </c>
      <c r="L926" t="s">
        <v>254</v>
      </c>
      <c r="M926" t="s">
        <v>255</v>
      </c>
      <c r="N926" t="s">
        <v>1058</v>
      </c>
      <c r="O926" t="s">
        <v>69</v>
      </c>
      <c r="P926" t="str">
        <f>"2170736793                    "</f>
        <v xml:space="preserve">2170736793                    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0</v>
      </c>
      <c r="AM926">
        <v>4.1900000000000004</v>
      </c>
      <c r="AN926">
        <v>0</v>
      </c>
      <c r="AO926">
        <v>0</v>
      </c>
      <c r="AP926">
        <v>0</v>
      </c>
      <c r="AQ926">
        <v>0</v>
      </c>
      <c r="AR926">
        <v>0</v>
      </c>
      <c r="AS926">
        <v>0</v>
      </c>
      <c r="AT926">
        <v>0</v>
      </c>
      <c r="AU926">
        <v>0</v>
      </c>
      <c r="AV926">
        <v>0</v>
      </c>
      <c r="AW926">
        <v>0</v>
      </c>
      <c r="AX926">
        <v>0</v>
      </c>
      <c r="AY926">
        <v>0</v>
      </c>
      <c r="AZ926">
        <v>0</v>
      </c>
      <c r="BA926">
        <v>0</v>
      </c>
      <c r="BB926">
        <v>0</v>
      </c>
      <c r="BG926">
        <v>0</v>
      </c>
      <c r="BH926">
        <v>1</v>
      </c>
      <c r="BI926">
        <v>1.2</v>
      </c>
      <c r="BJ926">
        <v>0.8</v>
      </c>
      <c r="BK926">
        <v>1.5</v>
      </c>
      <c r="BL926">
        <v>46.06</v>
      </c>
      <c r="BM926">
        <v>6.91</v>
      </c>
      <c r="BN926">
        <v>52.97</v>
      </c>
      <c r="BO926">
        <v>52.97</v>
      </c>
      <c r="BQ926" t="s">
        <v>78</v>
      </c>
      <c r="BR926" t="s">
        <v>71</v>
      </c>
      <c r="BS926" t="s">
        <v>72</v>
      </c>
      <c r="BY926">
        <v>4124.08</v>
      </c>
      <c r="CC926" t="s">
        <v>255</v>
      </c>
      <c r="CD926">
        <v>1</v>
      </c>
      <c r="CE926" t="s">
        <v>91</v>
      </c>
      <c r="CI926">
        <v>1</v>
      </c>
      <c r="CJ926" t="s">
        <v>72</v>
      </c>
      <c r="CK926">
        <v>21</v>
      </c>
      <c r="CL926" t="s">
        <v>74</v>
      </c>
    </row>
    <row r="927" spans="1:90" x14ac:dyDescent="0.25">
      <c r="A927" t="s">
        <v>61</v>
      </c>
      <c r="B927" t="s">
        <v>62</v>
      </c>
      <c r="C927" t="s">
        <v>63</v>
      </c>
      <c r="E927" t="str">
        <f>"FES1162745692"</f>
        <v>FES1162745692</v>
      </c>
      <c r="F927" s="1">
        <v>43950</v>
      </c>
      <c r="G927">
        <v>202010</v>
      </c>
      <c r="H927" t="s">
        <v>64</v>
      </c>
      <c r="I927" t="s">
        <v>65</v>
      </c>
      <c r="J927" t="s">
        <v>66</v>
      </c>
      <c r="K927" t="s">
        <v>67</v>
      </c>
      <c r="L927" t="s">
        <v>262</v>
      </c>
      <c r="M927" t="s">
        <v>262</v>
      </c>
      <c r="N927" t="s">
        <v>545</v>
      </c>
      <c r="O927" t="s">
        <v>69</v>
      </c>
      <c r="P927" t="str">
        <f>"2170736691                    "</f>
        <v xml:space="preserve">2170736691                    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0</v>
      </c>
      <c r="AM927">
        <v>8.11</v>
      </c>
      <c r="AN927">
        <v>0</v>
      </c>
      <c r="AO927">
        <v>0</v>
      </c>
      <c r="AP927">
        <v>0</v>
      </c>
      <c r="AQ927">
        <v>0</v>
      </c>
      <c r="AR927">
        <v>0</v>
      </c>
      <c r="AS927">
        <v>0</v>
      </c>
      <c r="AT927">
        <v>0</v>
      </c>
      <c r="AU927">
        <v>0</v>
      </c>
      <c r="AV927">
        <v>0</v>
      </c>
      <c r="AW927">
        <v>0</v>
      </c>
      <c r="AX927">
        <v>0</v>
      </c>
      <c r="AY927">
        <v>0</v>
      </c>
      <c r="AZ927">
        <v>0</v>
      </c>
      <c r="BA927">
        <v>0</v>
      </c>
      <c r="BB927">
        <v>0</v>
      </c>
      <c r="BG927">
        <v>0</v>
      </c>
      <c r="BH927">
        <v>1</v>
      </c>
      <c r="BI927">
        <v>1</v>
      </c>
      <c r="BJ927">
        <v>0.2</v>
      </c>
      <c r="BK927">
        <v>1</v>
      </c>
      <c r="BL927">
        <v>89.23</v>
      </c>
      <c r="BM927">
        <v>13.38</v>
      </c>
      <c r="BN927">
        <v>102.61</v>
      </c>
      <c r="BO927">
        <v>102.61</v>
      </c>
      <c r="BQ927" t="s">
        <v>70</v>
      </c>
      <c r="BR927" t="s">
        <v>71</v>
      </c>
      <c r="BS927" s="1">
        <v>43951</v>
      </c>
      <c r="BT927" s="2">
        <v>0.51597222222222217</v>
      </c>
      <c r="BU927" t="s">
        <v>1059</v>
      </c>
      <c r="BV927" t="s">
        <v>80</v>
      </c>
      <c r="BY927">
        <v>1200</v>
      </c>
      <c r="CA927" t="s">
        <v>1060</v>
      </c>
      <c r="CC927" t="s">
        <v>262</v>
      </c>
      <c r="CD927">
        <v>7646</v>
      </c>
      <c r="CE927" t="s">
        <v>73</v>
      </c>
      <c r="CI927">
        <v>1</v>
      </c>
      <c r="CJ927">
        <v>1</v>
      </c>
      <c r="CK927">
        <v>23</v>
      </c>
      <c r="CL927" t="s">
        <v>74</v>
      </c>
    </row>
    <row r="928" spans="1:90" x14ac:dyDescent="0.25">
      <c r="A928" t="s">
        <v>61</v>
      </c>
      <c r="B928" t="s">
        <v>62</v>
      </c>
      <c r="C928" t="s">
        <v>63</v>
      </c>
      <c r="E928" t="str">
        <f>"FES1162745090"</f>
        <v>FES1162745090</v>
      </c>
      <c r="F928" s="1">
        <v>43945</v>
      </c>
      <c r="G928">
        <v>202010</v>
      </c>
      <c r="H928" t="s">
        <v>64</v>
      </c>
      <c r="I928" t="s">
        <v>65</v>
      </c>
      <c r="J928" t="s">
        <v>66</v>
      </c>
      <c r="K928" t="s">
        <v>67</v>
      </c>
      <c r="L928" t="s">
        <v>254</v>
      </c>
      <c r="M928" t="s">
        <v>255</v>
      </c>
      <c r="N928" t="s">
        <v>497</v>
      </c>
      <c r="O928" t="s">
        <v>69</v>
      </c>
      <c r="P928" t="str">
        <f>"2170736303                    "</f>
        <v xml:space="preserve">2170736303                    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0</v>
      </c>
      <c r="AM928">
        <v>18.829999999999998</v>
      </c>
      <c r="AN928">
        <v>0</v>
      </c>
      <c r="AO928">
        <v>0</v>
      </c>
      <c r="AP928">
        <v>0</v>
      </c>
      <c r="AQ928">
        <v>0</v>
      </c>
      <c r="AR928">
        <v>0</v>
      </c>
      <c r="AS928">
        <v>0</v>
      </c>
      <c r="AT928">
        <v>0</v>
      </c>
      <c r="AU928">
        <v>0</v>
      </c>
      <c r="AV928">
        <v>0</v>
      </c>
      <c r="AW928">
        <v>0</v>
      </c>
      <c r="AX928">
        <v>0</v>
      </c>
      <c r="AY928">
        <v>0</v>
      </c>
      <c r="AZ928">
        <v>0</v>
      </c>
      <c r="BA928">
        <v>0</v>
      </c>
      <c r="BB928">
        <v>0</v>
      </c>
      <c r="BG928">
        <v>0</v>
      </c>
      <c r="BH928">
        <v>1</v>
      </c>
      <c r="BI928">
        <v>6</v>
      </c>
      <c r="BJ928">
        <v>8.6</v>
      </c>
      <c r="BK928">
        <v>9</v>
      </c>
      <c r="BL928">
        <v>207.14</v>
      </c>
      <c r="BM928">
        <v>31.07</v>
      </c>
      <c r="BN928">
        <v>238.21</v>
      </c>
      <c r="BO928">
        <v>238.21</v>
      </c>
      <c r="BQ928" t="s">
        <v>268</v>
      </c>
      <c r="BR928" t="s">
        <v>71</v>
      </c>
      <c r="BS928" s="1">
        <v>43949</v>
      </c>
      <c r="BT928" s="2">
        <v>0.4236111111111111</v>
      </c>
      <c r="BU928" t="s">
        <v>958</v>
      </c>
      <c r="BV928" t="s">
        <v>80</v>
      </c>
      <c r="BY928">
        <v>42933.8</v>
      </c>
      <c r="BZ928" t="s">
        <v>23</v>
      </c>
      <c r="CC928" t="s">
        <v>255</v>
      </c>
      <c r="CD928">
        <v>200</v>
      </c>
      <c r="CE928" t="s">
        <v>381</v>
      </c>
      <c r="CF928" s="1">
        <v>43950</v>
      </c>
      <c r="CI928">
        <v>1</v>
      </c>
      <c r="CJ928">
        <v>2</v>
      </c>
      <c r="CK928">
        <v>21</v>
      </c>
      <c r="CL928" t="s">
        <v>74</v>
      </c>
    </row>
    <row r="929" spans="1:90" x14ac:dyDescent="0.25">
      <c r="A929" t="s">
        <v>61</v>
      </c>
      <c r="B929" t="s">
        <v>62</v>
      </c>
      <c r="C929" t="s">
        <v>63</v>
      </c>
      <c r="E929" t="str">
        <f>"FES1162744935"</f>
        <v>FES1162744935</v>
      </c>
      <c r="F929" s="1">
        <v>43945</v>
      </c>
      <c r="G929">
        <v>202010</v>
      </c>
      <c r="H929" t="s">
        <v>64</v>
      </c>
      <c r="I929" t="s">
        <v>65</v>
      </c>
      <c r="J929" t="s">
        <v>66</v>
      </c>
      <c r="K929" t="s">
        <v>67</v>
      </c>
      <c r="L929" t="s">
        <v>158</v>
      </c>
      <c r="M929" t="s">
        <v>159</v>
      </c>
      <c r="N929" t="s">
        <v>160</v>
      </c>
      <c r="O929" t="s">
        <v>69</v>
      </c>
      <c r="P929" t="str">
        <f>"2170736178                    "</f>
        <v xml:space="preserve">2170736178                    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4.1900000000000004</v>
      </c>
      <c r="AN929">
        <v>0</v>
      </c>
      <c r="AO929">
        <v>0</v>
      </c>
      <c r="AP929">
        <v>0</v>
      </c>
      <c r="AQ929">
        <v>0</v>
      </c>
      <c r="AR929">
        <v>0</v>
      </c>
      <c r="AS929">
        <v>0</v>
      </c>
      <c r="AT929">
        <v>0</v>
      </c>
      <c r="AU929">
        <v>0</v>
      </c>
      <c r="AV929">
        <v>0</v>
      </c>
      <c r="AW929">
        <v>0</v>
      </c>
      <c r="AX929">
        <v>0</v>
      </c>
      <c r="AY929">
        <v>0</v>
      </c>
      <c r="AZ929">
        <v>0</v>
      </c>
      <c r="BA929">
        <v>0</v>
      </c>
      <c r="BB929">
        <v>0</v>
      </c>
      <c r="BG929">
        <v>0</v>
      </c>
      <c r="BH929">
        <v>1</v>
      </c>
      <c r="BI929">
        <v>1.7</v>
      </c>
      <c r="BJ929">
        <v>0.9</v>
      </c>
      <c r="BK929">
        <v>2</v>
      </c>
      <c r="BL929">
        <v>46.06</v>
      </c>
      <c r="BM929">
        <v>6.91</v>
      </c>
      <c r="BN929">
        <v>52.97</v>
      </c>
      <c r="BO929">
        <v>52.97</v>
      </c>
      <c r="BQ929" t="s">
        <v>70</v>
      </c>
      <c r="BR929" t="s">
        <v>71</v>
      </c>
      <c r="BS929" s="1">
        <v>43946</v>
      </c>
      <c r="BT929" s="2">
        <v>0.41666666666666669</v>
      </c>
      <c r="BU929" t="s">
        <v>161</v>
      </c>
      <c r="BV929" t="s">
        <v>80</v>
      </c>
      <c r="BY929">
        <v>4459.4799999999996</v>
      </c>
      <c r="BZ929" t="s">
        <v>23</v>
      </c>
      <c r="CC929" t="s">
        <v>159</v>
      </c>
      <c r="CD929">
        <v>3290</v>
      </c>
      <c r="CE929" t="s">
        <v>966</v>
      </c>
      <c r="CF929" s="1">
        <v>43949</v>
      </c>
      <c r="CI929">
        <v>1</v>
      </c>
      <c r="CJ929">
        <v>0</v>
      </c>
      <c r="CK929">
        <v>21</v>
      </c>
      <c r="CL929" t="s">
        <v>74</v>
      </c>
    </row>
    <row r="930" spans="1:90" x14ac:dyDescent="0.25">
      <c r="A930" t="s">
        <v>61</v>
      </c>
      <c r="B930" t="s">
        <v>62</v>
      </c>
      <c r="C930" t="s">
        <v>63</v>
      </c>
      <c r="E930" t="str">
        <f>"FES1162745772"</f>
        <v>FES1162745772</v>
      </c>
      <c r="F930" s="1">
        <v>43951</v>
      </c>
      <c r="G930">
        <v>202010</v>
      </c>
      <c r="H930" t="s">
        <v>64</v>
      </c>
      <c r="I930" t="s">
        <v>65</v>
      </c>
      <c r="J930" t="s">
        <v>66</v>
      </c>
      <c r="K930" t="s">
        <v>67</v>
      </c>
      <c r="L930" t="s">
        <v>270</v>
      </c>
      <c r="M930" t="s">
        <v>271</v>
      </c>
      <c r="N930" t="s">
        <v>526</v>
      </c>
      <c r="O930" t="s">
        <v>69</v>
      </c>
      <c r="P930" t="str">
        <f>"2170736773                    "</f>
        <v xml:space="preserve">2170736773                    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0</v>
      </c>
      <c r="AM930">
        <v>3.27</v>
      </c>
      <c r="AN930">
        <v>0</v>
      </c>
      <c r="AO930">
        <v>0</v>
      </c>
      <c r="AP930">
        <v>0</v>
      </c>
      <c r="AQ930">
        <v>0</v>
      </c>
      <c r="AR930">
        <v>0</v>
      </c>
      <c r="AS930">
        <v>0</v>
      </c>
      <c r="AT930">
        <v>0</v>
      </c>
      <c r="AU930">
        <v>0</v>
      </c>
      <c r="AV930">
        <v>0</v>
      </c>
      <c r="AW930">
        <v>0</v>
      </c>
      <c r="AX930">
        <v>0</v>
      </c>
      <c r="AY930">
        <v>0</v>
      </c>
      <c r="AZ930">
        <v>0</v>
      </c>
      <c r="BA930">
        <v>0</v>
      </c>
      <c r="BB930">
        <v>0</v>
      </c>
      <c r="BG930">
        <v>0</v>
      </c>
      <c r="BH930">
        <v>1</v>
      </c>
      <c r="BI930">
        <v>1</v>
      </c>
      <c r="BJ930">
        <v>0.2</v>
      </c>
      <c r="BK930">
        <v>1</v>
      </c>
      <c r="BL930">
        <v>35.979999999999997</v>
      </c>
      <c r="BM930">
        <v>5.4</v>
      </c>
      <c r="BN930">
        <v>41.38</v>
      </c>
      <c r="BO930">
        <v>41.38</v>
      </c>
      <c r="BQ930" t="s">
        <v>268</v>
      </c>
      <c r="BR930" t="s">
        <v>71</v>
      </c>
      <c r="BS930" t="s">
        <v>72</v>
      </c>
      <c r="BY930">
        <v>1200</v>
      </c>
      <c r="CC930" t="s">
        <v>271</v>
      </c>
      <c r="CD930">
        <v>2013</v>
      </c>
      <c r="CE930" t="s">
        <v>73</v>
      </c>
      <c r="CI930">
        <v>1</v>
      </c>
      <c r="CJ930" t="s">
        <v>72</v>
      </c>
      <c r="CK930">
        <v>22</v>
      </c>
      <c r="CL930" t="s">
        <v>74</v>
      </c>
    </row>
    <row r="931" spans="1:90" x14ac:dyDescent="0.25">
      <c r="A931" t="s">
        <v>61</v>
      </c>
      <c r="B931" t="s">
        <v>62</v>
      </c>
      <c r="C931" t="s">
        <v>63</v>
      </c>
      <c r="E931" t="str">
        <f>"FES1162745771"</f>
        <v>FES1162745771</v>
      </c>
      <c r="F931" s="1">
        <v>43951</v>
      </c>
      <c r="G931">
        <v>202010</v>
      </c>
      <c r="H931" t="s">
        <v>64</v>
      </c>
      <c r="I931" t="s">
        <v>65</v>
      </c>
      <c r="J931" t="s">
        <v>66</v>
      </c>
      <c r="K931" t="s">
        <v>67</v>
      </c>
      <c r="L931" t="s">
        <v>270</v>
      </c>
      <c r="M931" t="s">
        <v>271</v>
      </c>
      <c r="N931" t="s">
        <v>526</v>
      </c>
      <c r="O931" t="s">
        <v>69</v>
      </c>
      <c r="P931" t="str">
        <f>"2170736772                    "</f>
        <v xml:space="preserve">2170736772                    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0</v>
      </c>
      <c r="AM931">
        <v>3.27</v>
      </c>
      <c r="AN931">
        <v>0</v>
      </c>
      <c r="AO931">
        <v>0</v>
      </c>
      <c r="AP931">
        <v>0</v>
      </c>
      <c r="AQ931">
        <v>0</v>
      </c>
      <c r="AR931">
        <v>0</v>
      </c>
      <c r="AS931">
        <v>0</v>
      </c>
      <c r="AT931">
        <v>0</v>
      </c>
      <c r="AU931">
        <v>0</v>
      </c>
      <c r="AV931">
        <v>0</v>
      </c>
      <c r="AW931">
        <v>0</v>
      </c>
      <c r="AX931">
        <v>0</v>
      </c>
      <c r="AY931">
        <v>0</v>
      </c>
      <c r="AZ931">
        <v>0</v>
      </c>
      <c r="BA931">
        <v>0</v>
      </c>
      <c r="BB931">
        <v>0</v>
      </c>
      <c r="BG931">
        <v>0</v>
      </c>
      <c r="BH931">
        <v>1</v>
      </c>
      <c r="BI931">
        <v>1</v>
      </c>
      <c r="BJ931">
        <v>0.2</v>
      </c>
      <c r="BK931">
        <v>1</v>
      </c>
      <c r="BL931">
        <v>35.979999999999997</v>
      </c>
      <c r="BM931">
        <v>5.4</v>
      </c>
      <c r="BN931">
        <v>41.38</v>
      </c>
      <c r="BO931">
        <v>41.38</v>
      </c>
      <c r="BQ931" t="s">
        <v>268</v>
      </c>
      <c r="BR931" t="s">
        <v>71</v>
      </c>
      <c r="BS931" t="s">
        <v>72</v>
      </c>
      <c r="BY931">
        <v>1200</v>
      </c>
      <c r="CC931" t="s">
        <v>271</v>
      </c>
      <c r="CD931">
        <v>2013</v>
      </c>
      <c r="CE931" t="s">
        <v>73</v>
      </c>
      <c r="CI931">
        <v>1</v>
      </c>
      <c r="CJ931" t="s">
        <v>72</v>
      </c>
      <c r="CK931">
        <v>22</v>
      </c>
      <c r="CL931" t="s">
        <v>74</v>
      </c>
    </row>
    <row r="932" spans="1:90" x14ac:dyDescent="0.25">
      <c r="A932" t="s">
        <v>61</v>
      </c>
      <c r="B932" t="s">
        <v>62</v>
      </c>
      <c r="C932" t="s">
        <v>63</v>
      </c>
      <c r="E932" t="str">
        <f>"FES1162745567"</f>
        <v>FES1162745567</v>
      </c>
      <c r="F932" s="1">
        <v>43949</v>
      </c>
      <c r="G932">
        <v>202010</v>
      </c>
      <c r="H932" t="s">
        <v>64</v>
      </c>
      <c r="I932" t="s">
        <v>65</v>
      </c>
      <c r="J932" t="s">
        <v>66</v>
      </c>
      <c r="K932" t="s">
        <v>67</v>
      </c>
      <c r="L932" t="s">
        <v>75</v>
      </c>
      <c r="M932" t="s">
        <v>76</v>
      </c>
      <c r="N932" t="s">
        <v>435</v>
      </c>
      <c r="O932" t="s">
        <v>69</v>
      </c>
      <c r="P932" t="str">
        <f>"2170736689                    "</f>
        <v xml:space="preserve">2170736689                    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0</v>
      </c>
      <c r="AM932">
        <v>7.58</v>
      </c>
      <c r="AN932">
        <v>0</v>
      </c>
      <c r="AO932">
        <v>0</v>
      </c>
      <c r="AP932">
        <v>0</v>
      </c>
      <c r="AQ932">
        <v>0</v>
      </c>
      <c r="AR932">
        <v>0</v>
      </c>
      <c r="AS932">
        <v>0</v>
      </c>
      <c r="AT932">
        <v>0</v>
      </c>
      <c r="AU932">
        <v>0</v>
      </c>
      <c r="AV932">
        <v>0</v>
      </c>
      <c r="AW932">
        <v>0</v>
      </c>
      <c r="AX932">
        <v>0</v>
      </c>
      <c r="AY932">
        <v>0</v>
      </c>
      <c r="AZ932">
        <v>0</v>
      </c>
      <c r="BA932">
        <v>0</v>
      </c>
      <c r="BB932">
        <v>0</v>
      </c>
      <c r="BG932">
        <v>0</v>
      </c>
      <c r="BH932">
        <v>1</v>
      </c>
      <c r="BI932">
        <v>7.2</v>
      </c>
      <c r="BJ932">
        <v>3</v>
      </c>
      <c r="BK932">
        <v>7.5</v>
      </c>
      <c r="BL932">
        <v>83.41</v>
      </c>
      <c r="BM932">
        <v>12.51</v>
      </c>
      <c r="BN932">
        <v>95.92</v>
      </c>
      <c r="BO932">
        <v>95.92</v>
      </c>
      <c r="BQ932" t="s">
        <v>70</v>
      </c>
      <c r="BR932" t="s">
        <v>71</v>
      </c>
      <c r="BS932" s="1">
        <v>43950</v>
      </c>
      <c r="BT932" s="2">
        <v>0.37152777777777773</v>
      </c>
      <c r="BU932" t="s">
        <v>436</v>
      </c>
      <c r="BV932" t="s">
        <v>80</v>
      </c>
      <c r="BY932">
        <v>15131.9</v>
      </c>
      <c r="CA932" t="s">
        <v>437</v>
      </c>
      <c r="CC932" t="s">
        <v>76</v>
      </c>
      <c r="CD932">
        <v>1459</v>
      </c>
      <c r="CE932" t="s">
        <v>91</v>
      </c>
      <c r="CF932" s="1">
        <v>43951</v>
      </c>
      <c r="CI932">
        <v>1</v>
      </c>
      <c r="CJ932">
        <v>1</v>
      </c>
      <c r="CK932">
        <v>22</v>
      </c>
      <c r="CL932" t="s">
        <v>74</v>
      </c>
    </row>
    <row r="933" spans="1:90" x14ac:dyDescent="0.25">
      <c r="A933" t="s">
        <v>61</v>
      </c>
      <c r="B933" t="s">
        <v>62</v>
      </c>
      <c r="C933" t="s">
        <v>63</v>
      </c>
      <c r="E933" t="str">
        <f>"FES1162745650"</f>
        <v>FES1162745650</v>
      </c>
      <c r="F933" s="1">
        <v>43950</v>
      </c>
      <c r="G933">
        <v>202010</v>
      </c>
      <c r="H933" t="s">
        <v>64</v>
      </c>
      <c r="I933" t="s">
        <v>65</v>
      </c>
      <c r="J933" t="s">
        <v>66</v>
      </c>
      <c r="K933" t="s">
        <v>67</v>
      </c>
      <c r="L933" t="s">
        <v>92</v>
      </c>
      <c r="M933" t="s">
        <v>93</v>
      </c>
      <c r="N933" t="s">
        <v>94</v>
      </c>
      <c r="O933" t="s">
        <v>69</v>
      </c>
      <c r="P933" t="str">
        <f>"2170736735                    "</f>
        <v xml:space="preserve">2170736735                    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4.1900000000000004</v>
      </c>
      <c r="AN933">
        <v>0</v>
      </c>
      <c r="AO933">
        <v>0</v>
      </c>
      <c r="AP933">
        <v>0</v>
      </c>
      <c r="AQ933">
        <v>0</v>
      </c>
      <c r="AR933">
        <v>0</v>
      </c>
      <c r="AS933">
        <v>0</v>
      </c>
      <c r="AT933">
        <v>0</v>
      </c>
      <c r="AU933">
        <v>0</v>
      </c>
      <c r="AV933">
        <v>0</v>
      </c>
      <c r="AW933">
        <v>0</v>
      </c>
      <c r="AX933">
        <v>0</v>
      </c>
      <c r="AY933">
        <v>0</v>
      </c>
      <c r="AZ933">
        <v>0</v>
      </c>
      <c r="BA933">
        <v>0</v>
      </c>
      <c r="BB933">
        <v>0</v>
      </c>
      <c r="BG933">
        <v>0</v>
      </c>
      <c r="BH933">
        <v>1</v>
      </c>
      <c r="BI933">
        <v>1</v>
      </c>
      <c r="BJ933">
        <v>0.2</v>
      </c>
      <c r="BK933">
        <v>1</v>
      </c>
      <c r="BL933">
        <v>46.06</v>
      </c>
      <c r="BM933">
        <v>6.91</v>
      </c>
      <c r="BN933">
        <v>52.97</v>
      </c>
      <c r="BO933">
        <v>52.97</v>
      </c>
      <c r="BQ933" t="s">
        <v>70</v>
      </c>
      <c r="BR933" t="s">
        <v>71</v>
      </c>
      <c r="BS933" s="1">
        <v>43951</v>
      </c>
      <c r="BT933" s="2">
        <v>0.48680555555555555</v>
      </c>
      <c r="BU933" t="s">
        <v>590</v>
      </c>
      <c r="BV933" t="s">
        <v>74</v>
      </c>
      <c r="BW933" t="s">
        <v>96</v>
      </c>
      <c r="BX933" t="s">
        <v>97</v>
      </c>
      <c r="BY933">
        <v>1200</v>
      </c>
      <c r="CA933" t="s">
        <v>98</v>
      </c>
      <c r="CC933" t="s">
        <v>93</v>
      </c>
      <c r="CD933">
        <v>7441</v>
      </c>
      <c r="CE933" t="s">
        <v>73</v>
      </c>
      <c r="CI933">
        <v>1</v>
      </c>
      <c r="CJ933">
        <v>1</v>
      </c>
      <c r="CK933">
        <v>21</v>
      </c>
      <c r="CL933" t="s">
        <v>74</v>
      </c>
    </row>
    <row r="934" spans="1:90" x14ac:dyDescent="0.25">
      <c r="A934" t="s">
        <v>61</v>
      </c>
      <c r="B934" t="s">
        <v>62</v>
      </c>
      <c r="C934" t="s">
        <v>63</v>
      </c>
      <c r="E934" t="str">
        <f>"FES1162745657"</f>
        <v>FES1162745657</v>
      </c>
      <c r="F934" s="1">
        <v>43950</v>
      </c>
      <c r="G934">
        <v>202010</v>
      </c>
      <c r="H934" t="s">
        <v>64</v>
      </c>
      <c r="I934" t="s">
        <v>65</v>
      </c>
      <c r="J934" t="s">
        <v>66</v>
      </c>
      <c r="K934" t="s">
        <v>67</v>
      </c>
      <c r="L934" t="s">
        <v>212</v>
      </c>
      <c r="M934" t="s">
        <v>213</v>
      </c>
      <c r="N934" t="s">
        <v>935</v>
      </c>
      <c r="O934" t="s">
        <v>69</v>
      </c>
      <c r="P934" t="str">
        <f>"2170736745                    "</f>
        <v xml:space="preserve">2170736745                    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4.1900000000000004</v>
      </c>
      <c r="AN934">
        <v>0</v>
      </c>
      <c r="AO934">
        <v>0</v>
      </c>
      <c r="AP934">
        <v>0</v>
      </c>
      <c r="AQ934">
        <v>0</v>
      </c>
      <c r="AR934">
        <v>0</v>
      </c>
      <c r="AS934">
        <v>0</v>
      </c>
      <c r="AT934">
        <v>0</v>
      </c>
      <c r="AU934">
        <v>0</v>
      </c>
      <c r="AV934">
        <v>0</v>
      </c>
      <c r="AW934">
        <v>0</v>
      </c>
      <c r="AX934">
        <v>0</v>
      </c>
      <c r="AY934">
        <v>0</v>
      </c>
      <c r="AZ934">
        <v>0</v>
      </c>
      <c r="BA934">
        <v>0</v>
      </c>
      <c r="BB934">
        <v>0</v>
      </c>
      <c r="BG934">
        <v>0</v>
      </c>
      <c r="BH934">
        <v>1</v>
      </c>
      <c r="BI934">
        <v>1</v>
      </c>
      <c r="BJ934">
        <v>0.2</v>
      </c>
      <c r="BK934">
        <v>1</v>
      </c>
      <c r="BL934">
        <v>46.06</v>
      </c>
      <c r="BM934">
        <v>6.91</v>
      </c>
      <c r="BN934">
        <v>52.97</v>
      </c>
      <c r="BO934">
        <v>52.97</v>
      </c>
      <c r="BQ934" t="s">
        <v>70</v>
      </c>
      <c r="BR934" t="s">
        <v>71</v>
      </c>
      <c r="BS934" t="s">
        <v>72</v>
      </c>
      <c r="BY934">
        <v>1200</v>
      </c>
      <c r="CC934" t="s">
        <v>213</v>
      </c>
      <c r="CD934">
        <v>3610</v>
      </c>
      <c r="CE934" t="s">
        <v>73</v>
      </c>
      <c r="CI934">
        <v>1</v>
      </c>
      <c r="CJ934" t="s">
        <v>72</v>
      </c>
      <c r="CK934">
        <v>21</v>
      </c>
      <c r="CL934" t="s">
        <v>74</v>
      </c>
    </row>
    <row r="935" spans="1:90" x14ac:dyDescent="0.25">
      <c r="A935" t="s">
        <v>61</v>
      </c>
      <c r="B935" t="s">
        <v>62</v>
      </c>
      <c r="C935" t="s">
        <v>63</v>
      </c>
      <c r="E935" t="str">
        <f>"FES1162745611"</f>
        <v>FES1162745611</v>
      </c>
      <c r="F935" s="1">
        <v>43950</v>
      </c>
      <c r="G935">
        <v>202010</v>
      </c>
      <c r="H935" t="s">
        <v>64</v>
      </c>
      <c r="I935" t="s">
        <v>65</v>
      </c>
      <c r="J935" t="s">
        <v>66</v>
      </c>
      <c r="K935" t="s">
        <v>67</v>
      </c>
      <c r="L935" t="s">
        <v>120</v>
      </c>
      <c r="M935" t="s">
        <v>121</v>
      </c>
      <c r="N935" t="s">
        <v>716</v>
      </c>
      <c r="O935" t="s">
        <v>69</v>
      </c>
      <c r="P935" t="str">
        <f>"2170734433                    "</f>
        <v xml:space="preserve">2170734433                    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4.1900000000000004</v>
      </c>
      <c r="AN935">
        <v>0</v>
      </c>
      <c r="AO935">
        <v>0</v>
      </c>
      <c r="AP935">
        <v>0</v>
      </c>
      <c r="AQ935">
        <v>0</v>
      </c>
      <c r="AR935">
        <v>0</v>
      </c>
      <c r="AS935">
        <v>0</v>
      </c>
      <c r="AT935">
        <v>0</v>
      </c>
      <c r="AU935">
        <v>0</v>
      </c>
      <c r="AV935">
        <v>0</v>
      </c>
      <c r="AW935">
        <v>0</v>
      </c>
      <c r="AX935">
        <v>0</v>
      </c>
      <c r="AY935">
        <v>0</v>
      </c>
      <c r="AZ935">
        <v>0</v>
      </c>
      <c r="BA935">
        <v>0</v>
      </c>
      <c r="BB935">
        <v>0</v>
      </c>
      <c r="BG935">
        <v>0</v>
      </c>
      <c r="BH935">
        <v>1</v>
      </c>
      <c r="BI935">
        <v>1</v>
      </c>
      <c r="BJ935">
        <v>0.2</v>
      </c>
      <c r="BK935">
        <v>1</v>
      </c>
      <c r="BL935">
        <v>46.06</v>
      </c>
      <c r="BM935">
        <v>6.91</v>
      </c>
      <c r="BN935">
        <v>52.97</v>
      </c>
      <c r="BO935">
        <v>52.97</v>
      </c>
      <c r="BQ935" t="s">
        <v>70</v>
      </c>
      <c r="BR935" t="s">
        <v>71</v>
      </c>
      <c r="BS935" t="s">
        <v>72</v>
      </c>
      <c r="BW935" t="s">
        <v>258</v>
      </c>
      <c r="BX935" t="s">
        <v>838</v>
      </c>
      <c r="BY935">
        <v>1200</v>
      </c>
      <c r="CC935" t="s">
        <v>121</v>
      </c>
      <c r="CD935">
        <v>4001</v>
      </c>
      <c r="CE935" t="s">
        <v>73</v>
      </c>
      <c r="CI935">
        <v>1</v>
      </c>
      <c r="CJ935" t="s">
        <v>72</v>
      </c>
      <c r="CK935">
        <v>21</v>
      </c>
      <c r="CL935" t="s">
        <v>74</v>
      </c>
    </row>
    <row r="936" spans="1:90" x14ac:dyDescent="0.25">
      <c r="A936" t="s">
        <v>61</v>
      </c>
      <c r="B936" t="s">
        <v>62</v>
      </c>
      <c r="C936" t="s">
        <v>63</v>
      </c>
      <c r="E936" t="str">
        <f>"FES1162745681"</f>
        <v>FES1162745681</v>
      </c>
      <c r="F936" s="1">
        <v>43950</v>
      </c>
      <c r="G936">
        <v>202010</v>
      </c>
      <c r="H936" t="s">
        <v>64</v>
      </c>
      <c r="I936" t="s">
        <v>65</v>
      </c>
      <c r="J936" t="s">
        <v>66</v>
      </c>
      <c r="K936" t="s">
        <v>67</v>
      </c>
      <c r="L936" t="s">
        <v>270</v>
      </c>
      <c r="M936" t="s">
        <v>271</v>
      </c>
      <c r="N936" t="s">
        <v>495</v>
      </c>
      <c r="O936" t="s">
        <v>69</v>
      </c>
      <c r="P936" t="str">
        <f>"2170736541                    "</f>
        <v xml:space="preserve">2170736541                    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15.03</v>
      </c>
      <c r="AN936">
        <v>0</v>
      </c>
      <c r="AO936">
        <v>0</v>
      </c>
      <c r="AP936">
        <v>0</v>
      </c>
      <c r="AQ936">
        <v>0</v>
      </c>
      <c r="AR936">
        <v>0</v>
      </c>
      <c r="AS936">
        <v>0</v>
      </c>
      <c r="AT936">
        <v>0</v>
      </c>
      <c r="AU936">
        <v>0</v>
      </c>
      <c r="AV936">
        <v>0</v>
      </c>
      <c r="AW936">
        <v>0</v>
      </c>
      <c r="AX936">
        <v>0</v>
      </c>
      <c r="AY936">
        <v>0</v>
      </c>
      <c r="AZ936">
        <v>0</v>
      </c>
      <c r="BA936">
        <v>0</v>
      </c>
      <c r="BB936">
        <v>0</v>
      </c>
      <c r="BG936">
        <v>0</v>
      </c>
      <c r="BH936">
        <v>1</v>
      </c>
      <c r="BI936">
        <v>8</v>
      </c>
      <c r="BJ936">
        <v>16.600000000000001</v>
      </c>
      <c r="BK936">
        <v>17</v>
      </c>
      <c r="BL936">
        <v>165.34</v>
      </c>
      <c r="BM936">
        <v>24.8</v>
      </c>
      <c r="BN936">
        <v>190.14</v>
      </c>
      <c r="BO936">
        <v>190.14</v>
      </c>
      <c r="BQ936" t="s">
        <v>70</v>
      </c>
      <c r="BR936" t="s">
        <v>71</v>
      </c>
      <c r="BS936" s="1">
        <v>43951</v>
      </c>
      <c r="BT936" s="2">
        <v>0.3888888888888889</v>
      </c>
      <c r="BU936" t="s">
        <v>1061</v>
      </c>
      <c r="BV936" t="s">
        <v>80</v>
      </c>
      <c r="BY936">
        <v>83090.7</v>
      </c>
      <c r="CA936" t="s">
        <v>719</v>
      </c>
      <c r="CC936" t="s">
        <v>271</v>
      </c>
      <c r="CD936">
        <v>2013</v>
      </c>
      <c r="CE936" t="s">
        <v>91</v>
      </c>
      <c r="CI936">
        <v>1</v>
      </c>
      <c r="CJ936">
        <v>1</v>
      </c>
      <c r="CK936">
        <v>22</v>
      </c>
      <c r="CL936" t="s">
        <v>74</v>
      </c>
    </row>
    <row r="937" spans="1:90" x14ac:dyDescent="0.25">
      <c r="A937" t="s">
        <v>61</v>
      </c>
      <c r="B937" t="s">
        <v>62</v>
      </c>
      <c r="C937" t="s">
        <v>63</v>
      </c>
      <c r="E937" t="str">
        <f>"FES1162745277"</f>
        <v>FES1162745277</v>
      </c>
      <c r="F937" s="1">
        <v>43950</v>
      </c>
      <c r="G937">
        <v>202010</v>
      </c>
      <c r="H937" t="s">
        <v>64</v>
      </c>
      <c r="I937" t="s">
        <v>65</v>
      </c>
      <c r="J937" t="s">
        <v>66</v>
      </c>
      <c r="K937" t="s">
        <v>67</v>
      </c>
      <c r="L937" t="s">
        <v>406</v>
      </c>
      <c r="M937" t="s">
        <v>407</v>
      </c>
      <c r="N937" t="s">
        <v>708</v>
      </c>
      <c r="O937" t="s">
        <v>69</v>
      </c>
      <c r="P937" t="str">
        <f>"2170735704                    "</f>
        <v xml:space="preserve">2170735704                    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3.27</v>
      </c>
      <c r="AN937">
        <v>0</v>
      </c>
      <c r="AO937">
        <v>0</v>
      </c>
      <c r="AP937">
        <v>0</v>
      </c>
      <c r="AQ937">
        <v>0</v>
      </c>
      <c r="AR937">
        <v>0</v>
      </c>
      <c r="AS937">
        <v>0</v>
      </c>
      <c r="AT937">
        <v>0</v>
      </c>
      <c r="AU937">
        <v>0</v>
      </c>
      <c r="AV937">
        <v>0</v>
      </c>
      <c r="AW937">
        <v>0</v>
      </c>
      <c r="AX937">
        <v>0</v>
      </c>
      <c r="AY937">
        <v>0</v>
      </c>
      <c r="AZ937">
        <v>0</v>
      </c>
      <c r="BA937">
        <v>0</v>
      </c>
      <c r="BB937">
        <v>0</v>
      </c>
      <c r="BG937">
        <v>0</v>
      </c>
      <c r="BH937">
        <v>1</v>
      </c>
      <c r="BI937">
        <v>1</v>
      </c>
      <c r="BJ937">
        <v>0.2</v>
      </c>
      <c r="BK937">
        <v>1</v>
      </c>
      <c r="BL937">
        <v>35.979999999999997</v>
      </c>
      <c r="BM937">
        <v>5.4</v>
      </c>
      <c r="BN937">
        <v>41.38</v>
      </c>
      <c r="BO937">
        <v>41.38</v>
      </c>
      <c r="BQ937" t="s">
        <v>78</v>
      </c>
      <c r="BR937" t="s">
        <v>71</v>
      </c>
      <c r="BS937" t="s">
        <v>72</v>
      </c>
      <c r="BY937">
        <v>1200</v>
      </c>
      <c r="CC937" t="s">
        <v>407</v>
      </c>
      <c r="CD937">
        <v>2163</v>
      </c>
      <c r="CE937" t="s">
        <v>73</v>
      </c>
      <c r="CI937">
        <v>1</v>
      </c>
      <c r="CJ937" t="s">
        <v>72</v>
      </c>
      <c r="CK937">
        <v>22</v>
      </c>
      <c r="CL937" t="s">
        <v>74</v>
      </c>
    </row>
    <row r="938" spans="1:90" x14ac:dyDescent="0.25">
      <c r="A938" t="s">
        <v>61</v>
      </c>
      <c r="B938" t="s">
        <v>62</v>
      </c>
      <c r="C938" t="s">
        <v>63</v>
      </c>
      <c r="E938" t="str">
        <f>"FES1162745652"</f>
        <v>FES1162745652</v>
      </c>
      <c r="F938" s="1">
        <v>43950</v>
      </c>
      <c r="G938">
        <v>202010</v>
      </c>
      <c r="H938" t="s">
        <v>64</v>
      </c>
      <c r="I938" t="s">
        <v>65</v>
      </c>
      <c r="J938" t="s">
        <v>66</v>
      </c>
      <c r="K938" t="s">
        <v>67</v>
      </c>
      <c r="L938" t="s">
        <v>422</v>
      </c>
      <c r="M938" t="s">
        <v>423</v>
      </c>
      <c r="N938" t="s">
        <v>720</v>
      </c>
      <c r="O938" t="s">
        <v>69</v>
      </c>
      <c r="P938" t="str">
        <f>"2170736656                    "</f>
        <v xml:space="preserve">2170736656                    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5.89</v>
      </c>
      <c r="AN938">
        <v>0</v>
      </c>
      <c r="AO938">
        <v>0</v>
      </c>
      <c r="AP938">
        <v>0</v>
      </c>
      <c r="AQ938">
        <v>0</v>
      </c>
      <c r="AR938">
        <v>0</v>
      </c>
      <c r="AS938">
        <v>0</v>
      </c>
      <c r="AT938">
        <v>0</v>
      </c>
      <c r="AU938">
        <v>0</v>
      </c>
      <c r="AV938">
        <v>0</v>
      </c>
      <c r="AW938">
        <v>0</v>
      </c>
      <c r="AX938">
        <v>0</v>
      </c>
      <c r="AY938">
        <v>0</v>
      </c>
      <c r="AZ938">
        <v>0</v>
      </c>
      <c r="BA938">
        <v>0</v>
      </c>
      <c r="BB938">
        <v>0</v>
      </c>
      <c r="BG938">
        <v>0</v>
      </c>
      <c r="BH938">
        <v>1</v>
      </c>
      <c r="BI938">
        <v>1</v>
      </c>
      <c r="BJ938">
        <v>0.2</v>
      </c>
      <c r="BK938">
        <v>1</v>
      </c>
      <c r="BL938">
        <v>64.77</v>
      </c>
      <c r="BM938">
        <v>9.7200000000000006</v>
      </c>
      <c r="BN938">
        <v>74.489999999999995</v>
      </c>
      <c r="BO938">
        <v>74.489999999999995</v>
      </c>
      <c r="BQ938" t="s">
        <v>70</v>
      </c>
      <c r="BR938" t="s">
        <v>71</v>
      </c>
      <c r="BS938" s="1">
        <v>43951</v>
      </c>
      <c r="BT938" s="2">
        <v>0.35972222222222222</v>
      </c>
      <c r="BU938" t="s">
        <v>1062</v>
      </c>
      <c r="BV938" t="s">
        <v>80</v>
      </c>
      <c r="BY938">
        <v>1200</v>
      </c>
      <c r="CC938" t="s">
        <v>423</v>
      </c>
      <c r="CD938">
        <v>1740</v>
      </c>
      <c r="CE938" t="s">
        <v>73</v>
      </c>
      <c r="CI938">
        <v>1</v>
      </c>
      <c r="CJ938">
        <v>1</v>
      </c>
      <c r="CK938">
        <v>24</v>
      </c>
      <c r="CL938" t="s">
        <v>74</v>
      </c>
    </row>
    <row r="939" spans="1:90" x14ac:dyDescent="0.25">
      <c r="A939" t="s">
        <v>61</v>
      </c>
      <c r="B939" t="s">
        <v>62</v>
      </c>
      <c r="C939" t="s">
        <v>63</v>
      </c>
      <c r="E939" t="str">
        <f>"FES1162745594"</f>
        <v>FES1162745594</v>
      </c>
      <c r="F939" s="1">
        <v>43950</v>
      </c>
      <c r="G939">
        <v>202010</v>
      </c>
      <c r="H939" t="s">
        <v>64</v>
      </c>
      <c r="I939" t="s">
        <v>65</v>
      </c>
      <c r="J939" t="s">
        <v>66</v>
      </c>
      <c r="K939" t="s">
        <v>67</v>
      </c>
      <c r="L939" t="s">
        <v>450</v>
      </c>
      <c r="M939" t="s">
        <v>451</v>
      </c>
      <c r="N939" t="s">
        <v>452</v>
      </c>
      <c r="O939" t="s">
        <v>69</v>
      </c>
      <c r="P939" t="str">
        <f>"2170736709                    "</f>
        <v xml:space="preserve">2170736709                    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4.1900000000000004</v>
      </c>
      <c r="AN939">
        <v>0</v>
      </c>
      <c r="AO939">
        <v>0</v>
      </c>
      <c r="AP939">
        <v>0</v>
      </c>
      <c r="AQ939">
        <v>0</v>
      </c>
      <c r="AR939">
        <v>0</v>
      </c>
      <c r="AS939">
        <v>0</v>
      </c>
      <c r="AT939">
        <v>0</v>
      </c>
      <c r="AU939">
        <v>0</v>
      </c>
      <c r="AV939">
        <v>0</v>
      </c>
      <c r="AW939">
        <v>0</v>
      </c>
      <c r="AX939">
        <v>0</v>
      </c>
      <c r="AY939">
        <v>0</v>
      </c>
      <c r="AZ939">
        <v>0</v>
      </c>
      <c r="BA939">
        <v>0</v>
      </c>
      <c r="BB939">
        <v>0</v>
      </c>
      <c r="BG939">
        <v>0</v>
      </c>
      <c r="BH939">
        <v>1</v>
      </c>
      <c r="BI939">
        <v>1</v>
      </c>
      <c r="BJ939">
        <v>0.2</v>
      </c>
      <c r="BK939">
        <v>1</v>
      </c>
      <c r="BL939">
        <v>46.06</v>
      </c>
      <c r="BM939">
        <v>6.91</v>
      </c>
      <c r="BN939">
        <v>52.97</v>
      </c>
      <c r="BO939">
        <v>52.97</v>
      </c>
      <c r="BQ939" t="s">
        <v>78</v>
      </c>
      <c r="BR939" t="s">
        <v>71</v>
      </c>
      <c r="BS939" s="1">
        <v>43951</v>
      </c>
      <c r="BT939" s="2">
        <v>0.46875</v>
      </c>
      <c r="BU939" t="s">
        <v>453</v>
      </c>
      <c r="BV939" t="s">
        <v>74</v>
      </c>
      <c r="BY939">
        <v>1200</v>
      </c>
      <c r="CA939" t="s">
        <v>454</v>
      </c>
      <c r="CC939" t="s">
        <v>451</v>
      </c>
      <c r="CD939">
        <v>1240</v>
      </c>
      <c r="CE939" t="s">
        <v>73</v>
      </c>
      <c r="CI939">
        <v>1</v>
      </c>
      <c r="CJ939">
        <v>1</v>
      </c>
      <c r="CK939">
        <v>21</v>
      </c>
      <c r="CL939" t="s">
        <v>74</v>
      </c>
    </row>
    <row r="940" spans="1:90" x14ac:dyDescent="0.25">
      <c r="A940" t="s">
        <v>61</v>
      </c>
      <c r="B940" t="s">
        <v>62</v>
      </c>
      <c r="C940" t="s">
        <v>63</v>
      </c>
      <c r="E940" t="str">
        <f>"FES1162745646"</f>
        <v>FES1162745646</v>
      </c>
      <c r="F940" s="1">
        <v>43950</v>
      </c>
      <c r="G940">
        <v>202010</v>
      </c>
      <c r="H940" t="s">
        <v>64</v>
      </c>
      <c r="I940" t="s">
        <v>65</v>
      </c>
      <c r="J940" t="s">
        <v>66</v>
      </c>
      <c r="K940" t="s">
        <v>67</v>
      </c>
      <c r="L940" t="s">
        <v>791</v>
      </c>
      <c r="M940" t="s">
        <v>792</v>
      </c>
      <c r="N940" t="s">
        <v>793</v>
      </c>
      <c r="O940" t="s">
        <v>69</v>
      </c>
      <c r="P940" t="str">
        <f>"2170736106                    "</f>
        <v xml:space="preserve">2170736106                    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13.61</v>
      </c>
      <c r="AN940">
        <v>0</v>
      </c>
      <c r="AO940">
        <v>0</v>
      </c>
      <c r="AP940">
        <v>0</v>
      </c>
      <c r="AQ940">
        <v>0</v>
      </c>
      <c r="AR940">
        <v>0</v>
      </c>
      <c r="AS940">
        <v>0</v>
      </c>
      <c r="AT940">
        <v>0</v>
      </c>
      <c r="AU940">
        <v>0</v>
      </c>
      <c r="AV940">
        <v>0</v>
      </c>
      <c r="AW940">
        <v>0</v>
      </c>
      <c r="AX940">
        <v>0</v>
      </c>
      <c r="AY940">
        <v>0</v>
      </c>
      <c r="AZ940">
        <v>0</v>
      </c>
      <c r="BA940">
        <v>0</v>
      </c>
      <c r="BB940">
        <v>0</v>
      </c>
      <c r="BG940">
        <v>0</v>
      </c>
      <c r="BH940">
        <v>1</v>
      </c>
      <c r="BI940">
        <v>3.3</v>
      </c>
      <c r="BJ940">
        <v>1.7</v>
      </c>
      <c r="BK940">
        <v>3.5</v>
      </c>
      <c r="BL940">
        <v>149.69</v>
      </c>
      <c r="BM940">
        <v>22.45</v>
      </c>
      <c r="BN940">
        <v>172.14</v>
      </c>
      <c r="BO940">
        <v>172.14</v>
      </c>
      <c r="BQ940" t="s">
        <v>78</v>
      </c>
      <c r="BR940" t="s">
        <v>71</v>
      </c>
      <c r="BS940" t="s">
        <v>72</v>
      </c>
      <c r="BY940">
        <v>8723.7900000000009</v>
      </c>
      <c r="CC940" t="s">
        <v>792</v>
      </c>
      <c r="CD940">
        <v>7160</v>
      </c>
      <c r="CE940" t="s">
        <v>91</v>
      </c>
      <c r="CI940">
        <v>3</v>
      </c>
      <c r="CJ940" t="s">
        <v>72</v>
      </c>
      <c r="CK940">
        <v>23</v>
      </c>
      <c r="CL940" t="s">
        <v>74</v>
      </c>
    </row>
    <row r="941" spans="1:90" x14ac:dyDescent="0.25">
      <c r="A941" t="s">
        <v>61</v>
      </c>
      <c r="B941" t="s">
        <v>62</v>
      </c>
      <c r="C941" t="s">
        <v>63</v>
      </c>
      <c r="E941" t="str">
        <f>"FES1162745582"</f>
        <v>FES1162745582</v>
      </c>
      <c r="F941" s="1">
        <v>43950</v>
      </c>
      <c r="G941">
        <v>202010</v>
      </c>
      <c r="H941" t="s">
        <v>64</v>
      </c>
      <c r="I941" t="s">
        <v>65</v>
      </c>
      <c r="J941" t="s">
        <v>66</v>
      </c>
      <c r="K941" t="s">
        <v>67</v>
      </c>
      <c r="L941" t="s">
        <v>184</v>
      </c>
      <c r="M941" t="s">
        <v>185</v>
      </c>
      <c r="N941" t="s">
        <v>186</v>
      </c>
      <c r="O941" t="s">
        <v>69</v>
      </c>
      <c r="P941" t="str">
        <f>"2170736066                    "</f>
        <v xml:space="preserve">2170736066                    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26.43</v>
      </c>
      <c r="AN941">
        <v>0</v>
      </c>
      <c r="AO941">
        <v>0</v>
      </c>
      <c r="AP941">
        <v>0</v>
      </c>
      <c r="AQ941">
        <v>0</v>
      </c>
      <c r="AR941">
        <v>0</v>
      </c>
      <c r="AS941">
        <v>0</v>
      </c>
      <c r="AT941">
        <v>0</v>
      </c>
      <c r="AU941">
        <v>0</v>
      </c>
      <c r="AV941">
        <v>0</v>
      </c>
      <c r="AW941">
        <v>0</v>
      </c>
      <c r="AX941">
        <v>0</v>
      </c>
      <c r="AY941">
        <v>0</v>
      </c>
      <c r="AZ941">
        <v>0</v>
      </c>
      <c r="BA941">
        <v>0</v>
      </c>
      <c r="BB941">
        <v>0</v>
      </c>
      <c r="BG941">
        <v>0</v>
      </c>
      <c r="BH941">
        <v>1</v>
      </c>
      <c r="BI941">
        <v>6.8</v>
      </c>
      <c r="BJ941">
        <v>3.4</v>
      </c>
      <c r="BK941">
        <v>7</v>
      </c>
      <c r="BL941">
        <v>290.75</v>
      </c>
      <c r="BM941">
        <v>43.61</v>
      </c>
      <c r="BN941">
        <v>334.36</v>
      </c>
      <c r="BO941">
        <v>334.36</v>
      </c>
      <c r="BQ941" t="s">
        <v>70</v>
      </c>
      <c r="BR941" t="s">
        <v>71</v>
      </c>
      <c r="BS941" s="1">
        <v>43951</v>
      </c>
      <c r="BT941" s="2">
        <v>0.44513888888888892</v>
      </c>
      <c r="BU941" t="s">
        <v>1063</v>
      </c>
      <c r="BV941" t="s">
        <v>80</v>
      </c>
      <c r="BY941">
        <v>16770.16</v>
      </c>
      <c r="CA941" t="s">
        <v>1064</v>
      </c>
      <c r="CC941" t="s">
        <v>185</v>
      </c>
      <c r="CD941">
        <v>7130</v>
      </c>
      <c r="CE941" t="s">
        <v>91</v>
      </c>
      <c r="CI941">
        <v>1</v>
      </c>
      <c r="CJ941">
        <v>1</v>
      </c>
      <c r="CK941">
        <v>23</v>
      </c>
      <c r="CL941" t="s">
        <v>74</v>
      </c>
    </row>
    <row r="942" spans="1:90" x14ac:dyDescent="0.25">
      <c r="A942" t="s">
        <v>61</v>
      </c>
      <c r="B942" t="s">
        <v>62</v>
      </c>
      <c r="C942" t="s">
        <v>63</v>
      </c>
      <c r="E942" t="str">
        <f>"FES1162745595"</f>
        <v>FES1162745595</v>
      </c>
      <c r="F942" s="1">
        <v>43950</v>
      </c>
      <c r="G942">
        <v>202010</v>
      </c>
      <c r="H942" t="s">
        <v>64</v>
      </c>
      <c r="I942" t="s">
        <v>65</v>
      </c>
      <c r="J942" t="s">
        <v>66</v>
      </c>
      <c r="K942" t="s">
        <v>67</v>
      </c>
      <c r="L942" t="s">
        <v>368</v>
      </c>
      <c r="M942" t="s">
        <v>369</v>
      </c>
      <c r="N942" t="s">
        <v>815</v>
      </c>
      <c r="O942" t="s">
        <v>69</v>
      </c>
      <c r="P942" t="str">
        <f>"2170736711                    "</f>
        <v xml:space="preserve">2170736711                    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0</v>
      </c>
      <c r="AM942">
        <v>6.8</v>
      </c>
      <c r="AN942">
        <v>0</v>
      </c>
      <c r="AO942">
        <v>0</v>
      </c>
      <c r="AP942">
        <v>0</v>
      </c>
      <c r="AQ942">
        <v>0</v>
      </c>
      <c r="AR942">
        <v>0</v>
      </c>
      <c r="AS942">
        <v>0</v>
      </c>
      <c r="AT942">
        <v>0</v>
      </c>
      <c r="AU942">
        <v>0</v>
      </c>
      <c r="AV942">
        <v>0</v>
      </c>
      <c r="AW942">
        <v>0</v>
      </c>
      <c r="AX942">
        <v>0</v>
      </c>
      <c r="AY942">
        <v>0</v>
      </c>
      <c r="AZ942">
        <v>0</v>
      </c>
      <c r="BA942">
        <v>0</v>
      </c>
      <c r="BB942">
        <v>0</v>
      </c>
      <c r="BG942">
        <v>0</v>
      </c>
      <c r="BH942">
        <v>1</v>
      </c>
      <c r="BI942">
        <v>4.4000000000000004</v>
      </c>
      <c r="BJ942">
        <v>6.3</v>
      </c>
      <c r="BK942">
        <v>6.5</v>
      </c>
      <c r="BL942">
        <v>74.790000000000006</v>
      </c>
      <c r="BM942">
        <v>11.22</v>
      </c>
      <c r="BN942">
        <v>86.01</v>
      </c>
      <c r="BO942">
        <v>86.01</v>
      </c>
      <c r="BQ942" t="s">
        <v>70</v>
      </c>
      <c r="BR942" t="s">
        <v>71</v>
      </c>
      <c r="BS942" s="1">
        <v>43951</v>
      </c>
      <c r="BT942" s="2">
        <v>0.51388888888888895</v>
      </c>
      <c r="BU942" t="s">
        <v>1036</v>
      </c>
      <c r="BV942" t="s">
        <v>74</v>
      </c>
      <c r="BY942">
        <v>31650.1</v>
      </c>
      <c r="CA942" t="s">
        <v>428</v>
      </c>
      <c r="CC942" t="s">
        <v>369</v>
      </c>
      <c r="CD942">
        <v>1428</v>
      </c>
      <c r="CE942" t="s">
        <v>91</v>
      </c>
      <c r="CI942">
        <v>1</v>
      </c>
      <c r="CJ942">
        <v>1</v>
      </c>
      <c r="CK942">
        <v>22</v>
      </c>
      <c r="CL942" t="s">
        <v>74</v>
      </c>
    </row>
    <row r="943" spans="1:90" x14ac:dyDescent="0.25">
      <c r="A943" t="s">
        <v>61</v>
      </c>
      <c r="B943" t="s">
        <v>62</v>
      </c>
      <c r="C943" t="s">
        <v>63</v>
      </c>
      <c r="E943" t="str">
        <f>"FES1162745667"</f>
        <v>FES1162745667</v>
      </c>
      <c r="F943" s="1">
        <v>43950</v>
      </c>
      <c r="G943">
        <v>202010</v>
      </c>
      <c r="H943" t="s">
        <v>64</v>
      </c>
      <c r="I943" t="s">
        <v>65</v>
      </c>
      <c r="J943" t="s">
        <v>66</v>
      </c>
      <c r="K943" t="s">
        <v>67</v>
      </c>
      <c r="L943" t="s">
        <v>177</v>
      </c>
      <c r="M943" t="s">
        <v>178</v>
      </c>
      <c r="N943" t="s">
        <v>179</v>
      </c>
      <c r="O943" t="s">
        <v>69</v>
      </c>
      <c r="P943" t="str">
        <f>"2170736577                    "</f>
        <v xml:space="preserve">2170736577                    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0</v>
      </c>
      <c r="AM943">
        <v>13.6</v>
      </c>
      <c r="AN943">
        <v>0</v>
      </c>
      <c r="AO943">
        <v>0</v>
      </c>
      <c r="AP943">
        <v>0</v>
      </c>
      <c r="AQ943">
        <v>0</v>
      </c>
      <c r="AR943">
        <v>0</v>
      </c>
      <c r="AS943">
        <v>0</v>
      </c>
      <c r="AT943">
        <v>0</v>
      </c>
      <c r="AU943">
        <v>0</v>
      </c>
      <c r="AV943">
        <v>0</v>
      </c>
      <c r="AW943">
        <v>0</v>
      </c>
      <c r="AX943">
        <v>0</v>
      </c>
      <c r="AY943">
        <v>0</v>
      </c>
      <c r="AZ943">
        <v>0</v>
      </c>
      <c r="BA943">
        <v>0</v>
      </c>
      <c r="BB943">
        <v>0</v>
      </c>
      <c r="BG943">
        <v>0</v>
      </c>
      <c r="BH943">
        <v>1</v>
      </c>
      <c r="BI943">
        <v>4.2</v>
      </c>
      <c r="BJ943">
        <v>6.3</v>
      </c>
      <c r="BK943">
        <v>6.5</v>
      </c>
      <c r="BL943">
        <v>149.61000000000001</v>
      </c>
      <c r="BM943">
        <v>22.44</v>
      </c>
      <c r="BN943">
        <v>172.05</v>
      </c>
      <c r="BO943">
        <v>172.05</v>
      </c>
      <c r="BQ943" t="s">
        <v>70</v>
      </c>
      <c r="BR943" t="s">
        <v>71</v>
      </c>
      <c r="BS943" t="s">
        <v>72</v>
      </c>
      <c r="BY943">
        <v>31631.42</v>
      </c>
      <c r="CC943" t="s">
        <v>178</v>
      </c>
      <c r="CD943">
        <v>4302</v>
      </c>
      <c r="CE943" t="s">
        <v>91</v>
      </c>
      <c r="CI943">
        <v>1</v>
      </c>
      <c r="CJ943" t="s">
        <v>72</v>
      </c>
      <c r="CK943">
        <v>21</v>
      </c>
      <c r="CL943" t="s">
        <v>74</v>
      </c>
    </row>
    <row r="944" spans="1:90" x14ac:dyDescent="0.25">
      <c r="A944" t="s">
        <v>61</v>
      </c>
      <c r="B944" t="s">
        <v>62</v>
      </c>
      <c r="C944" t="s">
        <v>63</v>
      </c>
      <c r="E944" t="str">
        <f>"FES1162745635"</f>
        <v>FES1162745635</v>
      </c>
      <c r="F944" s="1">
        <v>43950</v>
      </c>
      <c r="G944">
        <v>202010</v>
      </c>
      <c r="H944" t="s">
        <v>64</v>
      </c>
      <c r="I944" t="s">
        <v>65</v>
      </c>
      <c r="J944" t="s">
        <v>66</v>
      </c>
      <c r="K944" t="s">
        <v>67</v>
      </c>
      <c r="L944" t="s">
        <v>64</v>
      </c>
      <c r="M944" t="s">
        <v>65</v>
      </c>
      <c r="N944" t="s">
        <v>68</v>
      </c>
      <c r="O944" t="s">
        <v>69</v>
      </c>
      <c r="P944" t="str">
        <f>"2170735740                    "</f>
        <v xml:space="preserve">2170735740                    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4.84</v>
      </c>
      <c r="AN944">
        <v>0</v>
      </c>
      <c r="AO944">
        <v>0</v>
      </c>
      <c r="AP944">
        <v>0</v>
      </c>
      <c r="AQ944">
        <v>0</v>
      </c>
      <c r="AR944">
        <v>0</v>
      </c>
      <c r="AS944">
        <v>0</v>
      </c>
      <c r="AT944">
        <v>0</v>
      </c>
      <c r="AU944">
        <v>0</v>
      </c>
      <c r="AV944">
        <v>0</v>
      </c>
      <c r="AW944">
        <v>0</v>
      </c>
      <c r="AX944">
        <v>0</v>
      </c>
      <c r="AY944">
        <v>0</v>
      </c>
      <c r="AZ944">
        <v>0</v>
      </c>
      <c r="BA944">
        <v>0</v>
      </c>
      <c r="BB944">
        <v>0</v>
      </c>
      <c r="BG944">
        <v>0</v>
      </c>
      <c r="BH944">
        <v>1</v>
      </c>
      <c r="BI944">
        <v>2.4</v>
      </c>
      <c r="BJ944">
        <v>3.6</v>
      </c>
      <c r="BK944">
        <v>4</v>
      </c>
      <c r="BL944">
        <v>53.23</v>
      </c>
      <c r="BM944">
        <v>7.98</v>
      </c>
      <c r="BN944">
        <v>61.21</v>
      </c>
      <c r="BO944">
        <v>61.21</v>
      </c>
      <c r="BQ944" t="s">
        <v>70</v>
      </c>
      <c r="BR944" t="s">
        <v>71</v>
      </c>
      <c r="BS944" t="s">
        <v>72</v>
      </c>
      <c r="BY944">
        <v>18185.310000000001</v>
      </c>
      <c r="CC944" t="s">
        <v>65</v>
      </c>
      <c r="CD944">
        <v>1645</v>
      </c>
      <c r="CE944" t="s">
        <v>91</v>
      </c>
      <c r="CI944">
        <v>1</v>
      </c>
      <c r="CJ944" t="s">
        <v>72</v>
      </c>
      <c r="CK944">
        <v>22</v>
      </c>
      <c r="CL944" t="s">
        <v>74</v>
      </c>
    </row>
    <row r="945" spans="1:90" x14ac:dyDescent="0.25">
      <c r="A945" t="s">
        <v>61</v>
      </c>
      <c r="B945" t="s">
        <v>62</v>
      </c>
      <c r="C945" t="s">
        <v>63</v>
      </c>
      <c r="E945" t="str">
        <f>"FES1162745675"</f>
        <v>FES1162745675</v>
      </c>
      <c r="F945" s="1">
        <v>43950</v>
      </c>
      <c r="G945">
        <v>202010</v>
      </c>
      <c r="H945" t="s">
        <v>64</v>
      </c>
      <c r="I945" t="s">
        <v>65</v>
      </c>
      <c r="J945" t="s">
        <v>66</v>
      </c>
      <c r="K945" t="s">
        <v>67</v>
      </c>
      <c r="L945" t="s">
        <v>92</v>
      </c>
      <c r="M945" t="s">
        <v>93</v>
      </c>
      <c r="N945" t="s">
        <v>204</v>
      </c>
      <c r="O945" t="s">
        <v>69</v>
      </c>
      <c r="P945" t="str">
        <f>"2170736507                    "</f>
        <v xml:space="preserve">2170736507                    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8.3699999999999992</v>
      </c>
      <c r="AN945">
        <v>0</v>
      </c>
      <c r="AO945">
        <v>0</v>
      </c>
      <c r="AP945">
        <v>0</v>
      </c>
      <c r="AQ945">
        <v>0</v>
      </c>
      <c r="AR945">
        <v>0</v>
      </c>
      <c r="AS945">
        <v>0</v>
      </c>
      <c r="AT945">
        <v>0</v>
      </c>
      <c r="AU945">
        <v>0</v>
      </c>
      <c r="AV945">
        <v>0</v>
      </c>
      <c r="AW945">
        <v>0</v>
      </c>
      <c r="AX945">
        <v>0</v>
      </c>
      <c r="AY945">
        <v>0</v>
      </c>
      <c r="AZ945">
        <v>0</v>
      </c>
      <c r="BA945">
        <v>0</v>
      </c>
      <c r="BB945">
        <v>0</v>
      </c>
      <c r="BG945">
        <v>0</v>
      </c>
      <c r="BH945">
        <v>1</v>
      </c>
      <c r="BI945">
        <v>1.6</v>
      </c>
      <c r="BJ945">
        <v>3.8</v>
      </c>
      <c r="BK945">
        <v>4</v>
      </c>
      <c r="BL945">
        <v>92.08</v>
      </c>
      <c r="BM945">
        <v>13.81</v>
      </c>
      <c r="BN945">
        <v>105.89</v>
      </c>
      <c r="BO945">
        <v>105.89</v>
      </c>
      <c r="BQ945" t="s">
        <v>78</v>
      </c>
      <c r="BR945" t="s">
        <v>71</v>
      </c>
      <c r="BS945" s="1">
        <v>43951</v>
      </c>
      <c r="BT945" s="2">
        <v>0.35416666666666669</v>
      </c>
      <c r="BU945" t="s">
        <v>1065</v>
      </c>
      <c r="BV945" t="s">
        <v>80</v>
      </c>
      <c r="BY945">
        <v>19032.330000000002</v>
      </c>
      <c r="CA945" t="s">
        <v>167</v>
      </c>
      <c r="CC945" t="s">
        <v>93</v>
      </c>
      <c r="CD945">
        <v>7530</v>
      </c>
      <c r="CE945" t="s">
        <v>91</v>
      </c>
      <c r="CI945">
        <v>1</v>
      </c>
      <c r="CJ945">
        <v>1</v>
      </c>
      <c r="CK945">
        <v>21</v>
      </c>
      <c r="CL945" t="s">
        <v>74</v>
      </c>
    </row>
    <row r="946" spans="1:90" x14ac:dyDescent="0.25">
      <c r="A946" t="s">
        <v>61</v>
      </c>
      <c r="B946" t="s">
        <v>62</v>
      </c>
      <c r="C946" t="s">
        <v>63</v>
      </c>
      <c r="E946" t="str">
        <f>"FES1162745663"</f>
        <v>FES1162745663</v>
      </c>
      <c r="F946" s="1">
        <v>43950</v>
      </c>
      <c r="G946">
        <v>202010</v>
      </c>
      <c r="H946" t="s">
        <v>64</v>
      </c>
      <c r="I946" t="s">
        <v>65</v>
      </c>
      <c r="J946" t="s">
        <v>66</v>
      </c>
      <c r="K946" t="s">
        <v>67</v>
      </c>
      <c r="L946" t="s">
        <v>92</v>
      </c>
      <c r="M946" t="s">
        <v>93</v>
      </c>
      <c r="N946" t="s">
        <v>165</v>
      </c>
      <c r="O946" t="s">
        <v>69</v>
      </c>
      <c r="P946" t="str">
        <f>"2170736751                    "</f>
        <v xml:space="preserve">2170736751                    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27.2</v>
      </c>
      <c r="AN946">
        <v>0</v>
      </c>
      <c r="AO946">
        <v>0</v>
      </c>
      <c r="AP946">
        <v>0</v>
      </c>
      <c r="AQ946">
        <v>0</v>
      </c>
      <c r="AR946">
        <v>0</v>
      </c>
      <c r="AS946">
        <v>0</v>
      </c>
      <c r="AT946">
        <v>0</v>
      </c>
      <c r="AU946">
        <v>0</v>
      </c>
      <c r="AV946">
        <v>0</v>
      </c>
      <c r="AW946">
        <v>0</v>
      </c>
      <c r="AX946">
        <v>0</v>
      </c>
      <c r="AY946">
        <v>0</v>
      </c>
      <c r="AZ946">
        <v>0</v>
      </c>
      <c r="BA946">
        <v>0</v>
      </c>
      <c r="BB946">
        <v>0</v>
      </c>
      <c r="BG946">
        <v>0</v>
      </c>
      <c r="BH946">
        <v>1</v>
      </c>
      <c r="BI946">
        <v>13</v>
      </c>
      <c r="BJ946">
        <v>8.1999999999999993</v>
      </c>
      <c r="BK946">
        <v>13</v>
      </c>
      <c r="BL946">
        <v>299.19</v>
      </c>
      <c r="BM946">
        <v>44.88</v>
      </c>
      <c r="BN946">
        <v>344.07</v>
      </c>
      <c r="BO946">
        <v>344.07</v>
      </c>
      <c r="BQ946" t="s">
        <v>70</v>
      </c>
      <c r="BR946" t="s">
        <v>71</v>
      </c>
      <c r="BS946" s="1">
        <v>43951</v>
      </c>
      <c r="BT946" s="2">
        <v>0.3833333333333333</v>
      </c>
      <c r="BU946" t="s">
        <v>1066</v>
      </c>
      <c r="BV946" t="s">
        <v>80</v>
      </c>
      <c r="BY946">
        <v>41085.599999999999</v>
      </c>
      <c r="CA946" t="s">
        <v>167</v>
      </c>
      <c r="CC946" t="s">
        <v>93</v>
      </c>
      <c r="CD946">
        <v>7530</v>
      </c>
      <c r="CE946" t="s">
        <v>91</v>
      </c>
      <c r="CI946">
        <v>1</v>
      </c>
      <c r="CJ946">
        <v>1</v>
      </c>
      <c r="CK946">
        <v>21</v>
      </c>
      <c r="CL946" t="s">
        <v>74</v>
      </c>
    </row>
    <row r="947" spans="1:90" x14ac:dyDescent="0.25">
      <c r="A947" t="s">
        <v>61</v>
      </c>
      <c r="B947" t="s">
        <v>62</v>
      </c>
      <c r="C947" t="s">
        <v>63</v>
      </c>
      <c r="E947" t="str">
        <f>"FES1162745671"</f>
        <v>FES1162745671</v>
      </c>
      <c r="F947" s="1">
        <v>43950</v>
      </c>
      <c r="G947">
        <v>202010</v>
      </c>
      <c r="H947" t="s">
        <v>64</v>
      </c>
      <c r="I947" t="s">
        <v>65</v>
      </c>
      <c r="J947" t="s">
        <v>66</v>
      </c>
      <c r="K947" t="s">
        <v>67</v>
      </c>
      <c r="L947" t="s">
        <v>92</v>
      </c>
      <c r="M947" t="s">
        <v>93</v>
      </c>
      <c r="N947" t="s">
        <v>1067</v>
      </c>
      <c r="O947" t="s">
        <v>69</v>
      </c>
      <c r="P947" t="str">
        <f>"2170736755                    "</f>
        <v xml:space="preserve">2170736755                    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0</v>
      </c>
      <c r="AM947">
        <v>38.71</v>
      </c>
      <c r="AN947">
        <v>0</v>
      </c>
      <c r="AO947">
        <v>0</v>
      </c>
      <c r="AP947">
        <v>0</v>
      </c>
      <c r="AQ947">
        <v>0</v>
      </c>
      <c r="AR947">
        <v>0</v>
      </c>
      <c r="AS947">
        <v>0</v>
      </c>
      <c r="AT947">
        <v>0</v>
      </c>
      <c r="AU947">
        <v>0</v>
      </c>
      <c r="AV947">
        <v>0</v>
      </c>
      <c r="AW947">
        <v>0</v>
      </c>
      <c r="AX947">
        <v>0</v>
      </c>
      <c r="AY947">
        <v>0</v>
      </c>
      <c r="AZ947">
        <v>0</v>
      </c>
      <c r="BA947">
        <v>0</v>
      </c>
      <c r="BB947">
        <v>0</v>
      </c>
      <c r="BG947">
        <v>0</v>
      </c>
      <c r="BH947">
        <v>1</v>
      </c>
      <c r="BI947">
        <v>8</v>
      </c>
      <c r="BJ947">
        <v>18.100000000000001</v>
      </c>
      <c r="BK947">
        <v>18.5</v>
      </c>
      <c r="BL947">
        <v>425.76</v>
      </c>
      <c r="BM947">
        <v>63.86</v>
      </c>
      <c r="BN947">
        <v>489.62</v>
      </c>
      <c r="BO947">
        <v>489.62</v>
      </c>
      <c r="BQ947" t="s">
        <v>78</v>
      </c>
      <c r="BR947" t="s">
        <v>71</v>
      </c>
      <c r="BS947" t="s">
        <v>72</v>
      </c>
      <c r="BY947">
        <v>90630.8</v>
      </c>
      <c r="CC947" t="s">
        <v>93</v>
      </c>
      <c r="CD947">
        <v>7460</v>
      </c>
      <c r="CE947" t="s">
        <v>91</v>
      </c>
      <c r="CI947">
        <v>1</v>
      </c>
      <c r="CJ947" t="s">
        <v>72</v>
      </c>
      <c r="CK947">
        <v>21</v>
      </c>
      <c r="CL947" t="s">
        <v>74</v>
      </c>
    </row>
    <row r="948" spans="1:90" x14ac:dyDescent="0.25">
      <c r="A948" t="s">
        <v>61</v>
      </c>
      <c r="B948" t="s">
        <v>62</v>
      </c>
      <c r="C948" t="s">
        <v>63</v>
      </c>
      <c r="E948" t="str">
        <f>"FES1162745659"</f>
        <v>FES1162745659</v>
      </c>
      <c r="F948" s="1">
        <v>43950</v>
      </c>
      <c r="G948">
        <v>202010</v>
      </c>
      <c r="H948" t="s">
        <v>64</v>
      </c>
      <c r="I948" t="s">
        <v>65</v>
      </c>
      <c r="J948" t="s">
        <v>66</v>
      </c>
      <c r="K948" t="s">
        <v>67</v>
      </c>
      <c r="L948" t="s">
        <v>92</v>
      </c>
      <c r="M948" t="s">
        <v>93</v>
      </c>
      <c r="N948" t="s">
        <v>365</v>
      </c>
      <c r="O948" t="s">
        <v>69</v>
      </c>
      <c r="P948" t="str">
        <f>"2170736747                    "</f>
        <v xml:space="preserve">2170736747                    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6.28</v>
      </c>
      <c r="AN948">
        <v>0</v>
      </c>
      <c r="AO948">
        <v>0</v>
      </c>
      <c r="AP948">
        <v>0</v>
      </c>
      <c r="AQ948">
        <v>0</v>
      </c>
      <c r="AR948">
        <v>0</v>
      </c>
      <c r="AS948">
        <v>0</v>
      </c>
      <c r="AT948">
        <v>0</v>
      </c>
      <c r="AU948">
        <v>0</v>
      </c>
      <c r="AV948">
        <v>0</v>
      </c>
      <c r="AW948">
        <v>0</v>
      </c>
      <c r="AX948">
        <v>0</v>
      </c>
      <c r="AY948">
        <v>0</v>
      </c>
      <c r="AZ948">
        <v>0</v>
      </c>
      <c r="BA948">
        <v>0</v>
      </c>
      <c r="BB948">
        <v>0</v>
      </c>
      <c r="BG948">
        <v>0</v>
      </c>
      <c r="BH948">
        <v>1</v>
      </c>
      <c r="BI948">
        <v>2.7</v>
      </c>
      <c r="BJ948">
        <v>1.7</v>
      </c>
      <c r="BK948">
        <v>3</v>
      </c>
      <c r="BL948">
        <v>69.069999999999993</v>
      </c>
      <c r="BM948">
        <v>10.36</v>
      </c>
      <c r="BN948">
        <v>79.430000000000007</v>
      </c>
      <c r="BO948">
        <v>79.430000000000007</v>
      </c>
      <c r="BQ948" t="s">
        <v>78</v>
      </c>
      <c r="BR948" t="s">
        <v>71</v>
      </c>
      <c r="BS948" s="1">
        <v>43951</v>
      </c>
      <c r="BT948" s="2">
        <v>0.38263888888888892</v>
      </c>
      <c r="BU948" t="s">
        <v>1068</v>
      </c>
      <c r="BV948" t="s">
        <v>80</v>
      </c>
      <c r="BY948">
        <v>8411.98</v>
      </c>
      <c r="CA948" t="s">
        <v>98</v>
      </c>
      <c r="CC948" t="s">
        <v>93</v>
      </c>
      <c r="CD948">
        <v>7460</v>
      </c>
      <c r="CE948" t="s">
        <v>91</v>
      </c>
      <c r="CI948">
        <v>1</v>
      </c>
      <c r="CJ948">
        <v>1</v>
      </c>
      <c r="CK948">
        <v>21</v>
      </c>
      <c r="CL948" t="s">
        <v>74</v>
      </c>
    </row>
    <row r="949" spans="1:90" x14ac:dyDescent="0.25">
      <c r="A949" t="s">
        <v>61</v>
      </c>
      <c r="B949" t="s">
        <v>62</v>
      </c>
      <c r="C949" t="s">
        <v>63</v>
      </c>
      <c r="E949" t="str">
        <f>"FES1162745662"</f>
        <v>FES1162745662</v>
      </c>
      <c r="F949" s="1">
        <v>43950</v>
      </c>
      <c r="G949">
        <v>202010</v>
      </c>
      <c r="H949" t="s">
        <v>64</v>
      </c>
      <c r="I949" t="s">
        <v>65</v>
      </c>
      <c r="J949" t="s">
        <v>66</v>
      </c>
      <c r="K949" t="s">
        <v>67</v>
      </c>
      <c r="L949" t="s">
        <v>92</v>
      </c>
      <c r="M949" t="s">
        <v>93</v>
      </c>
      <c r="N949" t="s">
        <v>365</v>
      </c>
      <c r="O949" t="s">
        <v>69</v>
      </c>
      <c r="P949" t="str">
        <f>"2170736748                    "</f>
        <v xml:space="preserve">2170736748                    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10.46</v>
      </c>
      <c r="AN949">
        <v>0</v>
      </c>
      <c r="AO949">
        <v>0</v>
      </c>
      <c r="AP949">
        <v>0</v>
      </c>
      <c r="AQ949">
        <v>0</v>
      </c>
      <c r="AR949">
        <v>0</v>
      </c>
      <c r="AS949">
        <v>0</v>
      </c>
      <c r="AT949">
        <v>0</v>
      </c>
      <c r="AU949">
        <v>0</v>
      </c>
      <c r="AV949">
        <v>0</v>
      </c>
      <c r="AW949">
        <v>0</v>
      </c>
      <c r="AX949">
        <v>0</v>
      </c>
      <c r="AY949">
        <v>0</v>
      </c>
      <c r="AZ949">
        <v>0</v>
      </c>
      <c r="BA949">
        <v>0</v>
      </c>
      <c r="BB949">
        <v>0</v>
      </c>
      <c r="BG949">
        <v>0</v>
      </c>
      <c r="BH949">
        <v>1</v>
      </c>
      <c r="BI949">
        <v>4.7</v>
      </c>
      <c r="BJ949">
        <v>1.4</v>
      </c>
      <c r="BK949">
        <v>5</v>
      </c>
      <c r="BL949">
        <v>115.09</v>
      </c>
      <c r="BM949">
        <v>17.260000000000002</v>
      </c>
      <c r="BN949">
        <v>132.35</v>
      </c>
      <c r="BO949">
        <v>132.35</v>
      </c>
      <c r="BQ949" t="s">
        <v>78</v>
      </c>
      <c r="BR949" t="s">
        <v>71</v>
      </c>
      <c r="BS949" s="1">
        <v>43951</v>
      </c>
      <c r="BT949" s="2">
        <v>0.38263888888888892</v>
      </c>
      <c r="BU949" t="s">
        <v>1068</v>
      </c>
      <c r="BV949" t="s">
        <v>80</v>
      </c>
      <c r="BY949">
        <v>6993.73</v>
      </c>
      <c r="CA949" t="s">
        <v>98</v>
      </c>
      <c r="CC949" t="s">
        <v>93</v>
      </c>
      <c r="CD949">
        <v>7460</v>
      </c>
      <c r="CE949" t="s">
        <v>91</v>
      </c>
      <c r="CI949">
        <v>1</v>
      </c>
      <c r="CJ949">
        <v>1</v>
      </c>
      <c r="CK949">
        <v>21</v>
      </c>
      <c r="CL949" t="s">
        <v>74</v>
      </c>
    </row>
    <row r="950" spans="1:90" x14ac:dyDescent="0.25">
      <c r="A950" t="s">
        <v>61</v>
      </c>
      <c r="B950" t="s">
        <v>62</v>
      </c>
      <c r="C950" t="s">
        <v>63</v>
      </c>
      <c r="E950" t="str">
        <f>"FES1162745651"</f>
        <v>FES1162745651</v>
      </c>
      <c r="F950" s="1">
        <v>43950</v>
      </c>
      <c r="G950">
        <v>202010</v>
      </c>
      <c r="H950" t="s">
        <v>64</v>
      </c>
      <c r="I950" t="s">
        <v>65</v>
      </c>
      <c r="J950" t="s">
        <v>66</v>
      </c>
      <c r="K950" t="s">
        <v>67</v>
      </c>
      <c r="L950" t="s">
        <v>212</v>
      </c>
      <c r="M950" t="s">
        <v>213</v>
      </c>
      <c r="N950" t="s">
        <v>1069</v>
      </c>
      <c r="O950" t="s">
        <v>69</v>
      </c>
      <c r="P950" t="str">
        <f>"2170736736                    "</f>
        <v xml:space="preserve">2170736736                    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0</v>
      </c>
      <c r="AM950">
        <v>4.1900000000000004</v>
      </c>
      <c r="AN950">
        <v>0</v>
      </c>
      <c r="AO950">
        <v>0</v>
      </c>
      <c r="AP950">
        <v>0</v>
      </c>
      <c r="AQ950">
        <v>0</v>
      </c>
      <c r="AR950">
        <v>0</v>
      </c>
      <c r="AS950">
        <v>0</v>
      </c>
      <c r="AT950">
        <v>0</v>
      </c>
      <c r="AU950">
        <v>0</v>
      </c>
      <c r="AV950">
        <v>0</v>
      </c>
      <c r="AW950">
        <v>0</v>
      </c>
      <c r="AX950">
        <v>0</v>
      </c>
      <c r="AY950">
        <v>0</v>
      </c>
      <c r="AZ950">
        <v>0</v>
      </c>
      <c r="BA950">
        <v>0</v>
      </c>
      <c r="BB950">
        <v>0</v>
      </c>
      <c r="BG950">
        <v>0</v>
      </c>
      <c r="BH950">
        <v>1</v>
      </c>
      <c r="BI950">
        <v>0.5</v>
      </c>
      <c r="BJ950">
        <v>1.7</v>
      </c>
      <c r="BK950">
        <v>2</v>
      </c>
      <c r="BL950">
        <v>46.06</v>
      </c>
      <c r="BM950">
        <v>6.91</v>
      </c>
      <c r="BN950">
        <v>52.97</v>
      </c>
      <c r="BO950">
        <v>52.97</v>
      </c>
      <c r="BQ950" t="s">
        <v>268</v>
      </c>
      <c r="BR950" t="s">
        <v>71</v>
      </c>
      <c r="BS950" t="s">
        <v>72</v>
      </c>
      <c r="BY950">
        <v>8729.6</v>
      </c>
      <c r="CC950" t="s">
        <v>213</v>
      </c>
      <c r="CD950">
        <v>3610</v>
      </c>
      <c r="CE950" t="s">
        <v>91</v>
      </c>
      <c r="CI950">
        <v>1</v>
      </c>
      <c r="CJ950" t="s">
        <v>72</v>
      </c>
      <c r="CK950">
        <v>21</v>
      </c>
      <c r="CL950" t="s">
        <v>74</v>
      </c>
    </row>
    <row r="951" spans="1:90" x14ac:dyDescent="0.25">
      <c r="A951" t="s">
        <v>61</v>
      </c>
      <c r="B951" t="s">
        <v>62</v>
      </c>
      <c r="C951" t="s">
        <v>63</v>
      </c>
      <c r="E951" t="str">
        <f>"FES1162745632"</f>
        <v>FES1162745632</v>
      </c>
      <c r="F951" s="1">
        <v>43950</v>
      </c>
      <c r="G951">
        <v>202010</v>
      </c>
      <c r="H951" t="s">
        <v>64</v>
      </c>
      <c r="I951" t="s">
        <v>65</v>
      </c>
      <c r="J951" t="s">
        <v>66</v>
      </c>
      <c r="K951" t="s">
        <v>67</v>
      </c>
      <c r="L951" t="s">
        <v>120</v>
      </c>
      <c r="M951" t="s">
        <v>121</v>
      </c>
      <c r="N951" t="s">
        <v>278</v>
      </c>
      <c r="O951" t="s">
        <v>69</v>
      </c>
      <c r="P951" t="str">
        <f>"2170735685                    "</f>
        <v xml:space="preserve">2170735685                    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4.1900000000000004</v>
      </c>
      <c r="AN951">
        <v>0</v>
      </c>
      <c r="AO951">
        <v>0</v>
      </c>
      <c r="AP951">
        <v>0</v>
      </c>
      <c r="AQ951">
        <v>0</v>
      </c>
      <c r="AR951">
        <v>0</v>
      </c>
      <c r="AS951">
        <v>0</v>
      </c>
      <c r="AT951">
        <v>0</v>
      </c>
      <c r="AU951">
        <v>0</v>
      </c>
      <c r="AV951">
        <v>0</v>
      </c>
      <c r="AW951">
        <v>0</v>
      </c>
      <c r="AX951">
        <v>0</v>
      </c>
      <c r="AY951">
        <v>0</v>
      </c>
      <c r="AZ951">
        <v>0</v>
      </c>
      <c r="BA951">
        <v>0</v>
      </c>
      <c r="BB951">
        <v>0</v>
      </c>
      <c r="BG951">
        <v>0</v>
      </c>
      <c r="BH951">
        <v>1</v>
      </c>
      <c r="BI951">
        <v>0.8</v>
      </c>
      <c r="BJ951">
        <v>1</v>
      </c>
      <c r="BK951">
        <v>1</v>
      </c>
      <c r="BL951">
        <v>46.06</v>
      </c>
      <c r="BM951">
        <v>6.91</v>
      </c>
      <c r="BN951">
        <v>52.97</v>
      </c>
      <c r="BO951">
        <v>52.97</v>
      </c>
      <c r="BQ951" t="s">
        <v>70</v>
      </c>
      <c r="BR951" t="s">
        <v>71</v>
      </c>
      <c r="BS951" s="1">
        <v>43951</v>
      </c>
      <c r="BT951" s="2">
        <v>0.55347222222222225</v>
      </c>
      <c r="BU951" t="s">
        <v>626</v>
      </c>
      <c r="BV951" t="s">
        <v>74</v>
      </c>
      <c r="BY951">
        <v>5111.93</v>
      </c>
      <c r="CA951" t="s">
        <v>627</v>
      </c>
      <c r="CC951" t="s">
        <v>121</v>
      </c>
      <c r="CD951">
        <v>4001</v>
      </c>
      <c r="CE951" t="s">
        <v>91</v>
      </c>
      <c r="CI951">
        <v>1</v>
      </c>
      <c r="CJ951">
        <v>1</v>
      </c>
      <c r="CK951">
        <v>21</v>
      </c>
      <c r="CL951" t="s">
        <v>74</v>
      </c>
    </row>
    <row r="952" spans="1:90" x14ac:dyDescent="0.25">
      <c r="A952" t="s">
        <v>61</v>
      </c>
      <c r="B952" t="s">
        <v>62</v>
      </c>
      <c r="C952" t="s">
        <v>63</v>
      </c>
      <c r="E952" t="str">
        <f>"FES1162745639"</f>
        <v>FES1162745639</v>
      </c>
      <c r="F952" s="1">
        <v>43950</v>
      </c>
      <c r="G952">
        <v>202010</v>
      </c>
      <c r="H952" t="s">
        <v>64</v>
      </c>
      <c r="I952" t="s">
        <v>65</v>
      </c>
      <c r="J952" t="s">
        <v>66</v>
      </c>
      <c r="K952" t="s">
        <v>67</v>
      </c>
      <c r="L952" t="s">
        <v>120</v>
      </c>
      <c r="M952" t="s">
        <v>121</v>
      </c>
      <c r="N952" t="s">
        <v>278</v>
      </c>
      <c r="O952" t="s">
        <v>69</v>
      </c>
      <c r="P952" t="str">
        <f>"2170735831                    "</f>
        <v xml:space="preserve">2170735831                    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4.1900000000000004</v>
      </c>
      <c r="AN952">
        <v>0</v>
      </c>
      <c r="AO952">
        <v>0</v>
      </c>
      <c r="AP952">
        <v>0</v>
      </c>
      <c r="AQ952">
        <v>0</v>
      </c>
      <c r="AR952">
        <v>0</v>
      </c>
      <c r="AS952">
        <v>0</v>
      </c>
      <c r="AT952">
        <v>0</v>
      </c>
      <c r="AU952">
        <v>0</v>
      </c>
      <c r="AV952">
        <v>0</v>
      </c>
      <c r="AW952">
        <v>0</v>
      </c>
      <c r="AX952">
        <v>0</v>
      </c>
      <c r="AY952">
        <v>0</v>
      </c>
      <c r="AZ952">
        <v>0</v>
      </c>
      <c r="BA952">
        <v>0</v>
      </c>
      <c r="BB952">
        <v>0</v>
      </c>
      <c r="BG952">
        <v>0</v>
      </c>
      <c r="BH952">
        <v>1</v>
      </c>
      <c r="BI952">
        <v>1.6</v>
      </c>
      <c r="BJ952">
        <v>1.7</v>
      </c>
      <c r="BK952">
        <v>2</v>
      </c>
      <c r="BL952">
        <v>46.06</v>
      </c>
      <c r="BM952">
        <v>6.91</v>
      </c>
      <c r="BN952">
        <v>52.97</v>
      </c>
      <c r="BO952">
        <v>52.97</v>
      </c>
      <c r="BQ952" t="s">
        <v>70</v>
      </c>
      <c r="BR952" t="s">
        <v>71</v>
      </c>
      <c r="BS952" s="1">
        <v>43951</v>
      </c>
      <c r="BT952" s="2">
        <v>0.55347222222222225</v>
      </c>
      <c r="BU952" t="s">
        <v>626</v>
      </c>
      <c r="BV952" t="s">
        <v>74</v>
      </c>
      <c r="BY952">
        <v>8655.36</v>
      </c>
      <c r="CA952" t="s">
        <v>627</v>
      </c>
      <c r="CC952" t="s">
        <v>121</v>
      </c>
      <c r="CD952">
        <v>4001</v>
      </c>
      <c r="CE952" t="s">
        <v>91</v>
      </c>
      <c r="CI952">
        <v>1</v>
      </c>
      <c r="CJ952">
        <v>1</v>
      </c>
      <c r="CK952">
        <v>21</v>
      </c>
      <c r="CL952" t="s">
        <v>74</v>
      </c>
    </row>
    <row r="953" spans="1:90" x14ac:dyDescent="0.25">
      <c r="A953" t="s">
        <v>61</v>
      </c>
      <c r="B953" t="s">
        <v>62</v>
      </c>
      <c r="C953" t="s">
        <v>63</v>
      </c>
      <c r="E953" t="str">
        <f>"FES1162745590"</f>
        <v>FES1162745590</v>
      </c>
      <c r="F953" s="1">
        <v>43950</v>
      </c>
      <c r="G953">
        <v>202010</v>
      </c>
      <c r="H953" t="s">
        <v>64</v>
      </c>
      <c r="I953" t="s">
        <v>65</v>
      </c>
      <c r="J953" t="s">
        <v>66</v>
      </c>
      <c r="K953" t="s">
        <v>67</v>
      </c>
      <c r="L953" t="s">
        <v>92</v>
      </c>
      <c r="M953" t="s">
        <v>93</v>
      </c>
      <c r="N953" t="s">
        <v>94</v>
      </c>
      <c r="O953" t="s">
        <v>69</v>
      </c>
      <c r="P953" t="str">
        <f>"2170736700                    "</f>
        <v xml:space="preserve">2170736700                    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0</v>
      </c>
      <c r="AM953">
        <v>8.3699999999999992</v>
      </c>
      <c r="AN953">
        <v>0</v>
      </c>
      <c r="AO953">
        <v>0</v>
      </c>
      <c r="AP953">
        <v>0</v>
      </c>
      <c r="AQ953">
        <v>0</v>
      </c>
      <c r="AR953">
        <v>0</v>
      </c>
      <c r="AS953">
        <v>0</v>
      </c>
      <c r="AT953">
        <v>0</v>
      </c>
      <c r="AU953">
        <v>0</v>
      </c>
      <c r="AV953">
        <v>0</v>
      </c>
      <c r="AW953">
        <v>0</v>
      </c>
      <c r="AX953">
        <v>0</v>
      </c>
      <c r="AY953">
        <v>0</v>
      </c>
      <c r="AZ953">
        <v>0</v>
      </c>
      <c r="BA953">
        <v>0</v>
      </c>
      <c r="BB953">
        <v>0</v>
      </c>
      <c r="BG953">
        <v>0</v>
      </c>
      <c r="BH953">
        <v>1</v>
      </c>
      <c r="BI953">
        <v>4</v>
      </c>
      <c r="BJ953">
        <v>1.2</v>
      </c>
      <c r="BK953">
        <v>4</v>
      </c>
      <c r="BL953">
        <v>92.08</v>
      </c>
      <c r="BM953">
        <v>13.81</v>
      </c>
      <c r="BN953">
        <v>105.89</v>
      </c>
      <c r="BO953">
        <v>105.89</v>
      </c>
      <c r="BQ953" t="s">
        <v>70</v>
      </c>
      <c r="BR953" t="s">
        <v>71</v>
      </c>
      <c r="BS953" s="1">
        <v>43951</v>
      </c>
      <c r="BT953" s="2">
        <v>0.48680555555555555</v>
      </c>
      <c r="BU953" t="s">
        <v>590</v>
      </c>
      <c r="BV953" t="s">
        <v>74</v>
      </c>
      <c r="BW953" t="s">
        <v>96</v>
      </c>
      <c r="BX953" t="s">
        <v>97</v>
      </c>
      <c r="BY953">
        <v>5921.71</v>
      </c>
      <c r="CA953" t="s">
        <v>98</v>
      </c>
      <c r="CC953" t="s">
        <v>93</v>
      </c>
      <c r="CD953">
        <v>7441</v>
      </c>
      <c r="CE953" t="s">
        <v>91</v>
      </c>
      <c r="CI953">
        <v>1</v>
      </c>
      <c r="CJ953">
        <v>1</v>
      </c>
      <c r="CK953">
        <v>21</v>
      </c>
      <c r="CL953" t="s">
        <v>74</v>
      </c>
    </row>
    <row r="954" spans="1:90" x14ac:dyDescent="0.25">
      <c r="A954" t="s">
        <v>61</v>
      </c>
      <c r="B954" t="s">
        <v>62</v>
      </c>
      <c r="C954" t="s">
        <v>63</v>
      </c>
      <c r="E954" t="str">
        <f>"FES1162745621"</f>
        <v>FES1162745621</v>
      </c>
      <c r="F954" s="1">
        <v>43950</v>
      </c>
      <c r="G954">
        <v>202010</v>
      </c>
      <c r="H954" t="s">
        <v>64</v>
      </c>
      <c r="I954" t="s">
        <v>65</v>
      </c>
      <c r="J954" t="s">
        <v>66</v>
      </c>
      <c r="K954" t="s">
        <v>67</v>
      </c>
      <c r="L954" t="s">
        <v>177</v>
      </c>
      <c r="M954" t="s">
        <v>178</v>
      </c>
      <c r="N954" t="s">
        <v>179</v>
      </c>
      <c r="O954" t="s">
        <v>69</v>
      </c>
      <c r="P954" t="str">
        <f>"2170735408                    "</f>
        <v xml:space="preserve">2170735408                    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0</v>
      </c>
      <c r="AM954">
        <v>5.23</v>
      </c>
      <c r="AN954">
        <v>0</v>
      </c>
      <c r="AO954">
        <v>0</v>
      </c>
      <c r="AP954">
        <v>0</v>
      </c>
      <c r="AQ954">
        <v>0</v>
      </c>
      <c r="AR954">
        <v>0</v>
      </c>
      <c r="AS954">
        <v>0</v>
      </c>
      <c r="AT954">
        <v>0</v>
      </c>
      <c r="AU954">
        <v>0</v>
      </c>
      <c r="AV954">
        <v>0</v>
      </c>
      <c r="AW954">
        <v>0</v>
      </c>
      <c r="AX954">
        <v>0</v>
      </c>
      <c r="AY954">
        <v>0</v>
      </c>
      <c r="AZ954">
        <v>0</v>
      </c>
      <c r="BA954">
        <v>0</v>
      </c>
      <c r="BB954">
        <v>0</v>
      </c>
      <c r="BG954">
        <v>0</v>
      </c>
      <c r="BH954">
        <v>1</v>
      </c>
      <c r="BI954">
        <v>2.5</v>
      </c>
      <c r="BJ954">
        <v>0.8</v>
      </c>
      <c r="BK954">
        <v>2.5</v>
      </c>
      <c r="BL954">
        <v>57.56</v>
      </c>
      <c r="BM954">
        <v>8.6300000000000008</v>
      </c>
      <c r="BN954">
        <v>66.19</v>
      </c>
      <c r="BO954">
        <v>66.19</v>
      </c>
      <c r="BQ954" t="s">
        <v>70</v>
      </c>
      <c r="BR954" t="s">
        <v>71</v>
      </c>
      <c r="BS954" s="1">
        <v>43951</v>
      </c>
      <c r="BT954" s="2">
        <v>0.52847222222222223</v>
      </c>
      <c r="BU954" t="s">
        <v>1037</v>
      </c>
      <c r="BV954" t="s">
        <v>80</v>
      </c>
      <c r="BY954">
        <v>3887.16</v>
      </c>
      <c r="CA954" t="s">
        <v>741</v>
      </c>
      <c r="CC954" t="s">
        <v>178</v>
      </c>
      <c r="CD954">
        <v>4302</v>
      </c>
      <c r="CE954" t="s">
        <v>91</v>
      </c>
      <c r="CI954">
        <v>1</v>
      </c>
      <c r="CJ954">
        <v>1</v>
      </c>
      <c r="CK954">
        <v>21</v>
      </c>
      <c r="CL954" t="s">
        <v>74</v>
      </c>
    </row>
    <row r="955" spans="1:90" x14ac:dyDescent="0.25">
      <c r="A955" t="s">
        <v>61</v>
      </c>
      <c r="B955" t="s">
        <v>62</v>
      </c>
      <c r="C955" t="s">
        <v>63</v>
      </c>
      <c r="E955" t="str">
        <f>"FES1162745664"</f>
        <v>FES1162745664</v>
      </c>
      <c r="F955" s="1">
        <v>43950</v>
      </c>
      <c r="G955">
        <v>202010</v>
      </c>
      <c r="H955" t="s">
        <v>64</v>
      </c>
      <c r="I955" t="s">
        <v>65</v>
      </c>
      <c r="J955" t="s">
        <v>66</v>
      </c>
      <c r="K955" t="s">
        <v>67</v>
      </c>
      <c r="L955" t="s">
        <v>151</v>
      </c>
      <c r="M955" t="s">
        <v>152</v>
      </c>
      <c r="N955" t="s">
        <v>1070</v>
      </c>
      <c r="O955" t="s">
        <v>69</v>
      </c>
      <c r="P955" t="str">
        <f>"2170736749                    "</f>
        <v xml:space="preserve">2170736749                    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5.23</v>
      </c>
      <c r="AN955">
        <v>0</v>
      </c>
      <c r="AO955">
        <v>0</v>
      </c>
      <c r="AP955">
        <v>0</v>
      </c>
      <c r="AQ955">
        <v>0</v>
      </c>
      <c r="AR955">
        <v>0</v>
      </c>
      <c r="AS955">
        <v>0</v>
      </c>
      <c r="AT955">
        <v>0</v>
      </c>
      <c r="AU955">
        <v>0</v>
      </c>
      <c r="AV955">
        <v>0</v>
      </c>
      <c r="AW955">
        <v>0</v>
      </c>
      <c r="AX955">
        <v>0</v>
      </c>
      <c r="AY955">
        <v>0</v>
      </c>
      <c r="AZ955">
        <v>0</v>
      </c>
      <c r="BA955">
        <v>0</v>
      </c>
      <c r="BB955">
        <v>0</v>
      </c>
      <c r="BG955">
        <v>0</v>
      </c>
      <c r="BH955">
        <v>1</v>
      </c>
      <c r="BI955">
        <v>2.1</v>
      </c>
      <c r="BJ955">
        <v>1.2</v>
      </c>
      <c r="BK955">
        <v>2.5</v>
      </c>
      <c r="BL955">
        <v>57.56</v>
      </c>
      <c r="BM955">
        <v>8.6300000000000008</v>
      </c>
      <c r="BN955">
        <v>66.19</v>
      </c>
      <c r="BO955">
        <v>66.19</v>
      </c>
      <c r="BQ955" t="s">
        <v>676</v>
      </c>
      <c r="BR955" t="s">
        <v>71</v>
      </c>
      <c r="BS955" s="1">
        <v>43951</v>
      </c>
      <c r="BT955" s="2">
        <v>0.5</v>
      </c>
      <c r="BU955" t="s">
        <v>1071</v>
      </c>
      <c r="BV955" t="s">
        <v>74</v>
      </c>
      <c r="BY955">
        <v>6073.08</v>
      </c>
      <c r="CC955" t="s">
        <v>152</v>
      </c>
      <c r="CD955">
        <v>3201</v>
      </c>
      <c r="CE955" t="s">
        <v>91</v>
      </c>
      <c r="CI955">
        <v>1</v>
      </c>
      <c r="CJ955">
        <v>1</v>
      </c>
      <c r="CK955">
        <v>21</v>
      </c>
      <c r="CL955" t="s">
        <v>74</v>
      </c>
    </row>
    <row r="956" spans="1:90" x14ac:dyDescent="0.25">
      <c r="A956" t="s">
        <v>61</v>
      </c>
      <c r="B956" t="s">
        <v>62</v>
      </c>
      <c r="C956" t="s">
        <v>63</v>
      </c>
      <c r="E956" t="str">
        <f>"FES1162745607"</f>
        <v>FES1162745607</v>
      </c>
      <c r="F956" s="1">
        <v>43950</v>
      </c>
      <c r="G956">
        <v>202010</v>
      </c>
      <c r="H956" t="s">
        <v>64</v>
      </c>
      <c r="I956" t="s">
        <v>65</v>
      </c>
      <c r="J956" t="s">
        <v>66</v>
      </c>
      <c r="K956" t="s">
        <v>67</v>
      </c>
      <c r="L956" t="s">
        <v>212</v>
      </c>
      <c r="M956" t="s">
        <v>213</v>
      </c>
      <c r="N956" t="s">
        <v>1072</v>
      </c>
      <c r="O956" t="s">
        <v>69</v>
      </c>
      <c r="P956" t="str">
        <f>"2170733421                    "</f>
        <v xml:space="preserve">2170733421                    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4.1900000000000004</v>
      </c>
      <c r="AN956">
        <v>0</v>
      </c>
      <c r="AO956">
        <v>0</v>
      </c>
      <c r="AP956">
        <v>0</v>
      </c>
      <c r="AQ956">
        <v>0</v>
      </c>
      <c r="AR956">
        <v>0</v>
      </c>
      <c r="AS956">
        <v>0</v>
      </c>
      <c r="AT956">
        <v>0</v>
      </c>
      <c r="AU956">
        <v>0</v>
      </c>
      <c r="AV956">
        <v>0</v>
      </c>
      <c r="AW956">
        <v>0</v>
      </c>
      <c r="AX956">
        <v>0</v>
      </c>
      <c r="AY956">
        <v>0</v>
      </c>
      <c r="AZ956">
        <v>0</v>
      </c>
      <c r="BA956">
        <v>0</v>
      </c>
      <c r="BB956">
        <v>0</v>
      </c>
      <c r="BG956">
        <v>0</v>
      </c>
      <c r="BH956">
        <v>1</v>
      </c>
      <c r="BI956">
        <v>0.9</v>
      </c>
      <c r="BJ956">
        <v>1.2</v>
      </c>
      <c r="BK956">
        <v>1.5</v>
      </c>
      <c r="BL956">
        <v>46.06</v>
      </c>
      <c r="BM956">
        <v>6.91</v>
      </c>
      <c r="BN956">
        <v>52.97</v>
      </c>
      <c r="BO956">
        <v>52.97</v>
      </c>
      <c r="BQ956" t="s">
        <v>78</v>
      </c>
      <c r="BR956" t="s">
        <v>71</v>
      </c>
      <c r="BS956" t="s">
        <v>72</v>
      </c>
      <c r="BY956">
        <v>6002.57</v>
      </c>
      <c r="CC956" t="s">
        <v>213</v>
      </c>
      <c r="CD956">
        <v>3610</v>
      </c>
      <c r="CE956" t="s">
        <v>91</v>
      </c>
      <c r="CI956">
        <v>1</v>
      </c>
      <c r="CJ956" t="s">
        <v>72</v>
      </c>
      <c r="CK956">
        <v>21</v>
      </c>
      <c r="CL956" t="s">
        <v>74</v>
      </c>
    </row>
    <row r="957" spans="1:90" x14ac:dyDescent="0.25">
      <c r="A957" t="s">
        <v>61</v>
      </c>
      <c r="B957" t="s">
        <v>62</v>
      </c>
      <c r="C957" t="s">
        <v>63</v>
      </c>
      <c r="E957" t="str">
        <f>"FES1162745656"</f>
        <v>FES1162745656</v>
      </c>
      <c r="F957" s="1">
        <v>43950</v>
      </c>
      <c r="G957">
        <v>202010</v>
      </c>
      <c r="H957" t="s">
        <v>64</v>
      </c>
      <c r="I957" t="s">
        <v>65</v>
      </c>
      <c r="J957" t="s">
        <v>66</v>
      </c>
      <c r="K957" t="s">
        <v>67</v>
      </c>
      <c r="L957" t="s">
        <v>120</v>
      </c>
      <c r="M957" t="s">
        <v>121</v>
      </c>
      <c r="N957" t="s">
        <v>1073</v>
      </c>
      <c r="O957" t="s">
        <v>69</v>
      </c>
      <c r="P957" t="str">
        <f>"2170736743                    "</f>
        <v xml:space="preserve">2170736743                    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0</v>
      </c>
      <c r="AM957">
        <v>4.1900000000000004</v>
      </c>
      <c r="AN957">
        <v>0</v>
      </c>
      <c r="AO957">
        <v>0</v>
      </c>
      <c r="AP957">
        <v>0</v>
      </c>
      <c r="AQ957">
        <v>0</v>
      </c>
      <c r="AR957">
        <v>0</v>
      </c>
      <c r="AS957">
        <v>0</v>
      </c>
      <c r="AT957">
        <v>0</v>
      </c>
      <c r="AU957">
        <v>0</v>
      </c>
      <c r="AV957">
        <v>0</v>
      </c>
      <c r="AW957">
        <v>0</v>
      </c>
      <c r="AX957">
        <v>0</v>
      </c>
      <c r="AY957">
        <v>0</v>
      </c>
      <c r="AZ957">
        <v>0</v>
      </c>
      <c r="BA957">
        <v>0</v>
      </c>
      <c r="BB957">
        <v>0</v>
      </c>
      <c r="BG957">
        <v>0</v>
      </c>
      <c r="BH957">
        <v>1</v>
      </c>
      <c r="BI957">
        <v>1</v>
      </c>
      <c r="BJ957">
        <v>0.2</v>
      </c>
      <c r="BK957">
        <v>1</v>
      </c>
      <c r="BL957">
        <v>46.06</v>
      </c>
      <c r="BM957">
        <v>6.91</v>
      </c>
      <c r="BN957">
        <v>52.97</v>
      </c>
      <c r="BO957">
        <v>52.97</v>
      </c>
      <c r="BQ957" t="s">
        <v>78</v>
      </c>
      <c r="BR957" t="s">
        <v>71</v>
      </c>
      <c r="BS957" t="s">
        <v>72</v>
      </c>
      <c r="BY957">
        <v>1200</v>
      </c>
      <c r="CC957" t="s">
        <v>121</v>
      </c>
      <c r="CD957">
        <v>4001</v>
      </c>
      <c r="CE957" t="s">
        <v>73</v>
      </c>
      <c r="CI957">
        <v>1</v>
      </c>
      <c r="CJ957" t="s">
        <v>72</v>
      </c>
      <c r="CK957">
        <v>21</v>
      </c>
      <c r="CL957" t="s">
        <v>74</v>
      </c>
    </row>
    <row r="958" spans="1:90" x14ac:dyDescent="0.25">
      <c r="A958" t="s">
        <v>61</v>
      </c>
      <c r="B958" t="s">
        <v>62</v>
      </c>
      <c r="C958" t="s">
        <v>63</v>
      </c>
      <c r="E958" t="str">
        <f>"FES1162745642"</f>
        <v>FES1162745642</v>
      </c>
      <c r="F958" s="1">
        <v>43950</v>
      </c>
      <c r="G958">
        <v>202010</v>
      </c>
      <c r="H958" t="s">
        <v>64</v>
      </c>
      <c r="I958" t="s">
        <v>65</v>
      </c>
      <c r="J958" t="s">
        <v>66</v>
      </c>
      <c r="K958" t="s">
        <v>67</v>
      </c>
      <c r="L958" t="s">
        <v>92</v>
      </c>
      <c r="M958" t="s">
        <v>93</v>
      </c>
      <c r="N958" t="s">
        <v>482</v>
      </c>
      <c r="O958" t="s">
        <v>69</v>
      </c>
      <c r="P958" t="str">
        <f>"2170735893                    "</f>
        <v xml:space="preserve">2170735893                    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4.1900000000000004</v>
      </c>
      <c r="AN958">
        <v>0</v>
      </c>
      <c r="AO958">
        <v>0</v>
      </c>
      <c r="AP958">
        <v>0</v>
      </c>
      <c r="AQ958">
        <v>0</v>
      </c>
      <c r="AR958">
        <v>0</v>
      </c>
      <c r="AS958">
        <v>0</v>
      </c>
      <c r="AT958">
        <v>0</v>
      </c>
      <c r="AU958">
        <v>0</v>
      </c>
      <c r="AV958">
        <v>0</v>
      </c>
      <c r="AW958">
        <v>0</v>
      </c>
      <c r="AX958">
        <v>0</v>
      </c>
      <c r="AY958">
        <v>0</v>
      </c>
      <c r="AZ958">
        <v>0</v>
      </c>
      <c r="BA958">
        <v>0</v>
      </c>
      <c r="BB958">
        <v>0</v>
      </c>
      <c r="BG958">
        <v>0</v>
      </c>
      <c r="BH958">
        <v>1</v>
      </c>
      <c r="BI958">
        <v>1</v>
      </c>
      <c r="BJ958">
        <v>0.2</v>
      </c>
      <c r="BK958">
        <v>1</v>
      </c>
      <c r="BL958">
        <v>46.06</v>
      </c>
      <c r="BM958">
        <v>6.91</v>
      </c>
      <c r="BN958">
        <v>52.97</v>
      </c>
      <c r="BO958">
        <v>52.97</v>
      </c>
      <c r="BQ958" t="s">
        <v>78</v>
      </c>
      <c r="BR958" t="s">
        <v>71</v>
      </c>
      <c r="BS958" s="1">
        <v>43951</v>
      </c>
      <c r="BT958" s="2">
        <v>0.7416666666666667</v>
      </c>
      <c r="BU958" t="s">
        <v>900</v>
      </c>
      <c r="BV958" t="s">
        <v>74</v>
      </c>
      <c r="BW958" t="s">
        <v>96</v>
      </c>
      <c r="BX958" t="s">
        <v>97</v>
      </c>
      <c r="BY958">
        <v>1200</v>
      </c>
      <c r="CA958" t="s">
        <v>331</v>
      </c>
      <c r="CC958" t="s">
        <v>93</v>
      </c>
      <c r="CD958">
        <v>7441</v>
      </c>
      <c r="CE958" t="s">
        <v>73</v>
      </c>
      <c r="CI958">
        <v>1</v>
      </c>
      <c r="CJ958">
        <v>1</v>
      </c>
      <c r="CK958">
        <v>21</v>
      </c>
      <c r="CL958" t="s">
        <v>74</v>
      </c>
    </row>
    <row r="959" spans="1:90" x14ac:dyDescent="0.25">
      <c r="A959" t="s">
        <v>61</v>
      </c>
      <c r="B959" t="s">
        <v>62</v>
      </c>
      <c r="C959" t="s">
        <v>63</v>
      </c>
      <c r="E959" t="str">
        <f>"FES1162745584"</f>
        <v>FES1162745584</v>
      </c>
      <c r="F959" s="1">
        <v>43950</v>
      </c>
      <c r="G959">
        <v>202010</v>
      </c>
      <c r="H959" t="s">
        <v>64</v>
      </c>
      <c r="I959" t="s">
        <v>65</v>
      </c>
      <c r="J959" t="s">
        <v>66</v>
      </c>
      <c r="K959" t="s">
        <v>67</v>
      </c>
      <c r="L959" t="s">
        <v>92</v>
      </c>
      <c r="M959" t="s">
        <v>93</v>
      </c>
      <c r="N959" t="s">
        <v>311</v>
      </c>
      <c r="O959" t="s">
        <v>69</v>
      </c>
      <c r="P959" t="str">
        <f>"2170736354                    "</f>
        <v xml:space="preserve">2170736354                    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4.1900000000000004</v>
      </c>
      <c r="AN959">
        <v>0</v>
      </c>
      <c r="AO959">
        <v>0</v>
      </c>
      <c r="AP959">
        <v>0</v>
      </c>
      <c r="AQ959">
        <v>0</v>
      </c>
      <c r="AR959">
        <v>0</v>
      </c>
      <c r="AS959">
        <v>0</v>
      </c>
      <c r="AT959">
        <v>0</v>
      </c>
      <c r="AU959">
        <v>0</v>
      </c>
      <c r="AV959">
        <v>0</v>
      </c>
      <c r="AW959">
        <v>0</v>
      </c>
      <c r="AX959">
        <v>0</v>
      </c>
      <c r="AY959">
        <v>0</v>
      </c>
      <c r="AZ959">
        <v>0</v>
      </c>
      <c r="BA959">
        <v>0</v>
      </c>
      <c r="BB959">
        <v>0</v>
      </c>
      <c r="BG959">
        <v>0</v>
      </c>
      <c r="BH959">
        <v>1</v>
      </c>
      <c r="BI959">
        <v>1</v>
      </c>
      <c r="BJ959">
        <v>0.2</v>
      </c>
      <c r="BK959">
        <v>1</v>
      </c>
      <c r="BL959">
        <v>46.06</v>
      </c>
      <c r="BM959">
        <v>6.91</v>
      </c>
      <c r="BN959">
        <v>52.97</v>
      </c>
      <c r="BO959">
        <v>52.97</v>
      </c>
      <c r="BQ959" t="s">
        <v>70</v>
      </c>
      <c r="BR959" t="s">
        <v>71</v>
      </c>
      <c r="BS959" s="1">
        <v>43951</v>
      </c>
      <c r="BT959" s="2">
        <v>0.51527777777777783</v>
      </c>
      <c r="BU959" t="s">
        <v>1074</v>
      </c>
      <c r="BV959" t="s">
        <v>74</v>
      </c>
      <c r="BW959" t="s">
        <v>96</v>
      </c>
      <c r="BX959" t="s">
        <v>97</v>
      </c>
      <c r="BY959">
        <v>1200</v>
      </c>
      <c r="CA959" t="s">
        <v>98</v>
      </c>
      <c r="CC959" t="s">
        <v>93</v>
      </c>
      <c r="CD959">
        <v>7441</v>
      </c>
      <c r="CE959" t="s">
        <v>73</v>
      </c>
      <c r="CI959">
        <v>1</v>
      </c>
      <c r="CJ959">
        <v>1</v>
      </c>
      <c r="CK959">
        <v>21</v>
      </c>
      <c r="CL959" t="s">
        <v>74</v>
      </c>
    </row>
    <row r="960" spans="1:90" x14ac:dyDescent="0.25">
      <c r="A960" t="s">
        <v>61</v>
      </c>
      <c r="B960" t="s">
        <v>62</v>
      </c>
      <c r="C960" t="s">
        <v>63</v>
      </c>
      <c r="E960" t="str">
        <f>"FES1162745645"</f>
        <v>FES1162745645</v>
      </c>
      <c r="F960" s="1">
        <v>43950</v>
      </c>
      <c r="G960">
        <v>202010</v>
      </c>
      <c r="H960" t="s">
        <v>64</v>
      </c>
      <c r="I960" t="s">
        <v>65</v>
      </c>
      <c r="J960" t="s">
        <v>66</v>
      </c>
      <c r="K960" t="s">
        <v>67</v>
      </c>
      <c r="L960" t="s">
        <v>99</v>
      </c>
      <c r="M960" t="s">
        <v>100</v>
      </c>
      <c r="N960" t="s">
        <v>512</v>
      </c>
      <c r="O960" t="s">
        <v>69</v>
      </c>
      <c r="P960" t="str">
        <f>"2170736100                    "</f>
        <v xml:space="preserve">2170736100                    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8.11</v>
      </c>
      <c r="AN960">
        <v>0</v>
      </c>
      <c r="AO960">
        <v>0</v>
      </c>
      <c r="AP960">
        <v>0</v>
      </c>
      <c r="AQ960">
        <v>0</v>
      </c>
      <c r="AR960">
        <v>0</v>
      </c>
      <c r="AS960">
        <v>0</v>
      </c>
      <c r="AT960">
        <v>0</v>
      </c>
      <c r="AU960">
        <v>0</v>
      </c>
      <c r="AV960">
        <v>0</v>
      </c>
      <c r="AW960">
        <v>0</v>
      </c>
      <c r="AX960">
        <v>0</v>
      </c>
      <c r="AY960">
        <v>0</v>
      </c>
      <c r="AZ960">
        <v>0</v>
      </c>
      <c r="BA960">
        <v>0</v>
      </c>
      <c r="BB960">
        <v>0</v>
      </c>
      <c r="BG960">
        <v>0</v>
      </c>
      <c r="BH960">
        <v>1</v>
      </c>
      <c r="BI960">
        <v>1</v>
      </c>
      <c r="BJ960">
        <v>0.2</v>
      </c>
      <c r="BK960">
        <v>1</v>
      </c>
      <c r="BL960">
        <v>89.23</v>
      </c>
      <c r="BM960">
        <v>13.38</v>
      </c>
      <c r="BN960">
        <v>102.61</v>
      </c>
      <c r="BO960">
        <v>102.61</v>
      </c>
      <c r="BQ960" t="s">
        <v>268</v>
      </c>
      <c r="BR960" t="s">
        <v>71</v>
      </c>
      <c r="BS960" t="s">
        <v>72</v>
      </c>
      <c r="BY960">
        <v>1200</v>
      </c>
      <c r="CC960" t="s">
        <v>100</v>
      </c>
      <c r="CD960">
        <v>6850</v>
      </c>
      <c r="CE960" t="s">
        <v>73</v>
      </c>
      <c r="CI960">
        <v>3</v>
      </c>
      <c r="CJ960" t="s">
        <v>72</v>
      </c>
      <c r="CK960">
        <v>23</v>
      </c>
      <c r="CL960" t="s">
        <v>74</v>
      </c>
    </row>
    <row r="961" spans="1:90" x14ac:dyDescent="0.25">
      <c r="A961" t="s">
        <v>61</v>
      </c>
      <c r="B961" t="s">
        <v>62</v>
      </c>
      <c r="C961" t="s">
        <v>63</v>
      </c>
      <c r="E961" t="str">
        <f>"FES1162745610"</f>
        <v>FES1162745610</v>
      </c>
      <c r="F961" s="1">
        <v>43950</v>
      </c>
      <c r="G961">
        <v>202010</v>
      </c>
      <c r="H961" t="s">
        <v>64</v>
      </c>
      <c r="I961" t="s">
        <v>65</v>
      </c>
      <c r="J961" t="s">
        <v>66</v>
      </c>
      <c r="K961" t="s">
        <v>67</v>
      </c>
      <c r="L961" t="s">
        <v>92</v>
      </c>
      <c r="M961" t="s">
        <v>93</v>
      </c>
      <c r="N961" t="s">
        <v>94</v>
      </c>
      <c r="O961" t="s">
        <v>69</v>
      </c>
      <c r="P961" t="str">
        <f>"2170734175                    "</f>
        <v xml:space="preserve">2170734175                    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0</v>
      </c>
      <c r="AM961">
        <v>4.1900000000000004</v>
      </c>
      <c r="AN961">
        <v>0</v>
      </c>
      <c r="AO961">
        <v>0</v>
      </c>
      <c r="AP961">
        <v>0</v>
      </c>
      <c r="AQ961">
        <v>0</v>
      </c>
      <c r="AR961">
        <v>0</v>
      </c>
      <c r="AS961">
        <v>0</v>
      </c>
      <c r="AT961">
        <v>0</v>
      </c>
      <c r="AU961">
        <v>0</v>
      </c>
      <c r="AV961">
        <v>0</v>
      </c>
      <c r="AW961">
        <v>0</v>
      </c>
      <c r="AX961">
        <v>0</v>
      </c>
      <c r="AY961">
        <v>0</v>
      </c>
      <c r="AZ961">
        <v>0</v>
      </c>
      <c r="BA961">
        <v>0</v>
      </c>
      <c r="BB961">
        <v>0</v>
      </c>
      <c r="BG961">
        <v>0</v>
      </c>
      <c r="BH961">
        <v>1</v>
      </c>
      <c r="BI961">
        <v>1</v>
      </c>
      <c r="BJ961">
        <v>0.2</v>
      </c>
      <c r="BK961">
        <v>1</v>
      </c>
      <c r="BL961">
        <v>46.06</v>
      </c>
      <c r="BM961">
        <v>6.91</v>
      </c>
      <c r="BN961">
        <v>52.97</v>
      </c>
      <c r="BO961">
        <v>52.97</v>
      </c>
      <c r="BQ961" t="s">
        <v>70</v>
      </c>
      <c r="BR961" t="s">
        <v>71</v>
      </c>
      <c r="BS961" s="1">
        <v>43951</v>
      </c>
      <c r="BT961" s="2">
        <v>0.48680555555555555</v>
      </c>
      <c r="BU961" t="s">
        <v>590</v>
      </c>
      <c r="BV961" t="s">
        <v>74</v>
      </c>
      <c r="BW961" t="s">
        <v>96</v>
      </c>
      <c r="BX961" t="s">
        <v>97</v>
      </c>
      <c r="BY961">
        <v>1200</v>
      </c>
      <c r="CA961" t="s">
        <v>98</v>
      </c>
      <c r="CC961" t="s">
        <v>93</v>
      </c>
      <c r="CD961">
        <v>7441</v>
      </c>
      <c r="CE961" t="s">
        <v>73</v>
      </c>
      <c r="CI961">
        <v>1</v>
      </c>
      <c r="CJ961">
        <v>1</v>
      </c>
      <c r="CK961">
        <v>21</v>
      </c>
      <c r="CL961" t="s">
        <v>74</v>
      </c>
    </row>
    <row r="962" spans="1:90" x14ac:dyDescent="0.25">
      <c r="A962" t="s">
        <v>61</v>
      </c>
      <c r="B962" t="s">
        <v>62</v>
      </c>
      <c r="C962" t="s">
        <v>63</v>
      </c>
      <c r="E962" t="str">
        <f>"FES1162745618"</f>
        <v>FES1162745618</v>
      </c>
      <c r="F962" s="1">
        <v>43950</v>
      </c>
      <c r="G962">
        <v>202010</v>
      </c>
      <c r="H962" t="s">
        <v>64</v>
      </c>
      <c r="I962" t="s">
        <v>65</v>
      </c>
      <c r="J962" t="s">
        <v>66</v>
      </c>
      <c r="K962" t="s">
        <v>67</v>
      </c>
      <c r="L962" t="s">
        <v>92</v>
      </c>
      <c r="M962" t="s">
        <v>93</v>
      </c>
      <c r="N962" t="s">
        <v>94</v>
      </c>
      <c r="O962" t="s">
        <v>69</v>
      </c>
      <c r="P962" t="str">
        <f>"2170735254                    "</f>
        <v xml:space="preserve">2170735254                    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0</v>
      </c>
      <c r="AM962">
        <v>4.1900000000000004</v>
      </c>
      <c r="AN962">
        <v>0</v>
      </c>
      <c r="AO962">
        <v>0</v>
      </c>
      <c r="AP962">
        <v>0</v>
      </c>
      <c r="AQ962">
        <v>0</v>
      </c>
      <c r="AR962">
        <v>0</v>
      </c>
      <c r="AS962">
        <v>0</v>
      </c>
      <c r="AT962">
        <v>0</v>
      </c>
      <c r="AU962">
        <v>0</v>
      </c>
      <c r="AV962">
        <v>0</v>
      </c>
      <c r="AW962">
        <v>0</v>
      </c>
      <c r="AX962">
        <v>0</v>
      </c>
      <c r="AY962">
        <v>0</v>
      </c>
      <c r="AZ962">
        <v>0</v>
      </c>
      <c r="BA962">
        <v>0</v>
      </c>
      <c r="BB962">
        <v>0</v>
      </c>
      <c r="BG962">
        <v>0</v>
      </c>
      <c r="BH962">
        <v>1</v>
      </c>
      <c r="BI962">
        <v>1</v>
      </c>
      <c r="BJ962">
        <v>0.2</v>
      </c>
      <c r="BK962">
        <v>1</v>
      </c>
      <c r="BL962">
        <v>46.06</v>
      </c>
      <c r="BM962">
        <v>6.91</v>
      </c>
      <c r="BN962">
        <v>52.97</v>
      </c>
      <c r="BO962">
        <v>52.97</v>
      </c>
      <c r="BQ962" t="s">
        <v>70</v>
      </c>
      <c r="BR962" t="s">
        <v>71</v>
      </c>
      <c r="BS962" s="1">
        <v>43951</v>
      </c>
      <c r="BT962" s="2">
        <v>0.48680555555555555</v>
      </c>
      <c r="BU962" t="s">
        <v>590</v>
      </c>
      <c r="BV962" t="s">
        <v>74</v>
      </c>
      <c r="BW962" t="s">
        <v>96</v>
      </c>
      <c r="BX962" t="s">
        <v>97</v>
      </c>
      <c r="BY962">
        <v>1200</v>
      </c>
      <c r="CA962" t="s">
        <v>98</v>
      </c>
      <c r="CC962" t="s">
        <v>93</v>
      </c>
      <c r="CD962">
        <v>7441</v>
      </c>
      <c r="CE962" t="s">
        <v>73</v>
      </c>
      <c r="CI962">
        <v>1</v>
      </c>
      <c r="CJ962">
        <v>1</v>
      </c>
      <c r="CK962">
        <v>21</v>
      </c>
      <c r="CL962" t="s">
        <v>74</v>
      </c>
    </row>
    <row r="963" spans="1:90" x14ac:dyDescent="0.25">
      <c r="A963" t="s">
        <v>61</v>
      </c>
      <c r="B963" t="s">
        <v>62</v>
      </c>
      <c r="C963" t="s">
        <v>63</v>
      </c>
      <c r="E963" t="str">
        <f>"FES1162745583"</f>
        <v>FES1162745583</v>
      </c>
      <c r="F963" s="1">
        <v>43950</v>
      </c>
      <c r="G963">
        <v>202010</v>
      </c>
      <c r="H963" t="s">
        <v>64</v>
      </c>
      <c r="I963" t="s">
        <v>65</v>
      </c>
      <c r="J963" t="s">
        <v>66</v>
      </c>
      <c r="K963" t="s">
        <v>67</v>
      </c>
      <c r="L963" t="s">
        <v>422</v>
      </c>
      <c r="M963" t="s">
        <v>423</v>
      </c>
      <c r="N963" t="s">
        <v>720</v>
      </c>
      <c r="O963" t="s">
        <v>69</v>
      </c>
      <c r="P963" t="str">
        <f>"2170736190                    "</f>
        <v xml:space="preserve">2170736190                    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0</v>
      </c>
      <c r="AM963">
        <v>5.89</v>
      </c>
      <c r="AN963">
        <v>0</v>
      </c>
      <c r="AO963">
        <v>0</v>
      </c>
      <c r="AP963">
        <v>0</v>
      </c>
      <c r="AQ963">
        <v>0</v>
      </c>
      <c r="AR963">
        <v>0</v>
      </c>
      <c r="AS963">
        <v>0</v>
      </c>
      <c r="AT963">
        <v>0</v>
      </c>
      <c r="AU963">
        <v>0</v>
      </c>
      <c r="AV963">
        <v>0</v>
      </c>
      <c r="AW963">
        <v>0</v>
      </c>
      <c r="AX963">
        <v>0</v>
      </c>
      <c r="AY963">
        <v>0</v>
      </c>
      <c r="AZ963">
        <v>0</v>
      </c>
      <c r="BA963">
        <v>0</v>
      </c>
      <c r="BB963">
        <v>0</v>
      </c>
      <c r="BG963">
        <v>0</v>
      </c>
      <c r="BH963">
        <v>1</v>
      </c>
      <c r="BI963">
        <v>1</v>
      </c>
      <c r="BJ963">
        <v>0.2</v>
      </c>
      <c r="BK963">
        <v>1</v>
      </c>
      <c r="BL963">
        <v>64.77</v>
      </c>
      <c r="BM963">
        <v>9.7200000000000006</v>
      </c>
      <c r="BN963">
        <v>74.489999999999995</v>
      </c>
      <c r="BO963">
        <v>74.489999999999995</v>
      </c>
      <c r="BQ963" t="s">
        <v>70</v>
      </c>
      <c r="BR963" t="s">
        <v>71</v>
      </c>
      <c r="BS963" s="1">
        <v>43951</v>
      </c>
      <c r="BT963" s="2">
        <v>0.35972222222222222</v>
      </c>
      <c r="BU963" t="s">
        <v>1062</v>
      </c>
      <c r="BV963" t="s">
        <v>80</v>
      </c>
      <c r="BY963">
        <v>1200</v>
      </c>
      <c r="CC963" t="s">
        <v>423</v>
      </c>
      <c r="CD963">
        <v>1740</v>
      </c>
      <c r="CE963" t="s">
        <v>73</v>
      </c>
      <c r="CI963">
        <v>1</v>
      </c>
      <c r="CJ963">
        <v>1</v>
      </c>
      <c r="CK963">
        <v>24</v>
      </c>
      <c r="CL963" t="s">
        <v>74</v>
      </c>
    </row>
    <row r="964" spans="1:90" x14ac:dyDescent="0.25">
      <c r="A964" t="s">
        <v>61</v>
      </c>
      <c r="B964" t="s">
        <v>62</v>
      </c>
      <c r="C964" t="s">
        <v>63</v>
      </c>
      <c r="E964" t="str">
        <f>"FES1162745723"</f>
        <v>FES1162745723</v>
      </c>
      <c r="F964" s="1">
        <v>43951</v>
      </c>
      <c r="G964">
        <v>202010</v>
      </c>
      <c r="H964" t="s">
        <v>64</v>
      </c>
      <c r="I964" t="s">
        <v>65</v>
      </c>
      <c r="J964" t="s">
        <v>66</v>
      </c>
      <c r="K964" t="s">
        <v>67</v>
      </c>
      <c r="L964" t="s">
        <v>262</v>
      </c>
      <c r="M964" t="s">
        <v>262</v>
      </c>
      <c r="N964" t="s">
        <v>551</v>
      </c>
      <c r="O964" t="s">
        <v>69</v>
      </c>
      <c r="P964" t="str">
        <f>"2170736814                    "</f>
        <v xml:space="preserve">2170736814                    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0</v>
      </c>
      <c r="AM964">
        <v>8.11</v>
      </c>
      <c r="AN964">
        <v>0</v>
      </c>
      <c r="AO964">
        <v>0</v>
      </c>
      <c r="AP964">
        <v>0</v>
      </c>
      <c r="AQ964">
        <v>0</v>
      </c>
      <c r="AR964">
        <v>0</v>
      </c>
      <c r="AS964">
        <v>0</v>
      </c>
      <c r="AT964">
        <v>0</v>
      </c>
      <c r="AU964">
        <v>0</v>
      </c>
      <c r="AV964">
        <v>0</v>
      </c>
      <c r="AW964">
        <v>0</v>
      </c>
      <c r="AX964">
        <v>0</v>
      </c>
      <c r="AY964">
        <v>0</v>
      </c>
      <c r="AZ964">
        <v>0</v>
      </c>
      <c r="BA964">
        <v>0</v>
      </c>
      <c r="BB964">
        <v>0</v>
      </c>
      <c r="BG964">
        <v>0</v>
      </c>
      <c r="BH964">
        <v>1</v>
      </c>
      <c r="BI964">
        <v>1</v>
      </c>
      <c r="BJ964">
        <v>0.2</v>
      </c>
      <c r="BK964">
        <v>1</v>
      </c>
      <c r="BL964">
        <v>89.23</v>
      </c>
      <c r="BM964">
        <v>13.38</v>
      </c>
      <c r="BN964">
        <v>102.61</v>
      </c>
      <c r="BO964">
        <v>102.61</v>
      </c>
      <c r="BQ964" t="s">
        <v>78</v>
      </c>
      <c r="BR964" t="s">
        <v>71</v>
      </c>
      <c r="BS964" t="s">
        <v>72</v>
      </c>
      <c r="BY964">
        <v>1200</v>
      </c>
      <c r="CC964" t="s">
        <v>262</v>
      </c>
      <c r="CD964">
        <v>7655</v>
      </c>
      <c r="CE964" t="s">
        <v>73</v>
      </c>
      <c r="CI964">
        <v>1</v>
      </c>
      <c r="CJ964" t="s">
        <v>72</v>
      </c>
      <c r="CK964">
        <v>23</v>
      </c>
      <c r="CL964" t="s">
        <v>74</v>
      </c>
    </row>
    <row r="965" spans="1:90" x14ac:dyDescent="0.25">
      <c r="A965" t="s">
        <v>61</v>
      </c>
      <c r="B965" t="s">
        <v>62</v>
      </c>
      <c r="C965" t="s">
        <v>63</v>
      </c>
      <c r="E965" t="str">
        <f>"FES1162745433"</f>
        <v>FES1162745433</v>
      </c>
      <c r="F965" s="1">
        <v>43945</v>
      </c>
      <c r="G965">
        <v>202010</v>
      </c>
      <c r="H965" t="s">
        <v>64</v>
      </c>
      <c r="I965" t="s">
        <v>65</v>
      </c>
      <c r="J965" t="s">
        <v>66</v>
      </c>
      <c r="K965" t="s">
        <v>67</v>
      </c>
      <c r="L965" t="s">
        <v>64</v>
      </c>
      <c r="M965" t="s">
        <v>65</v>
      </c>
      <c r="N965" t="s">
        <v>812</v>
      </c>
      <c r="O965" t="s">
        <v>69</v>
      </c>
      <c r="P965" t="str">
        <f>"2170735901                    "</f>
        <v xml:space="preserve">2170735901                    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3.27</v>
      </c>
      <c r="AN965">
        <v>0</v>
      </c>
      <c r="AO965">
        <v>0</v>
      </c>
      <c r="AP965">
        <v>0</v>
      </c>
      <c r="AQ965">
        <v>0</v>
      </c>
      <c r="AR965">
        <v>0</v>
      </c>
      <c r="AS965">
        <v>0</v>
      </c>
      <c r="AT965">
        <v>0</v>
      </c>
      <c r="AU965">
        <v>0</v>
      </c>
      <c r="AV965">
        <v>0</v>
      </c>
      <c r="AW965">
        <v>0</v>
      </c>
      <c r="AX965">
        <v>0</v>
      </c>
      <c r="AY965">
        <v>0</v>
      </c>
      <c r="AZ965">
        <v>0</v>
      </c>
      <c r="BA965">
        <v>0</v>
      </c>
      <c r="BB965">
        <v>0</v>
      </c>
      <c r="BG965">
        <v>0</v>
      </c>
      <c r="BH965">
        <v>1</v>
      </c>
      <c r="BI965">
        <v>1</v>
      </c>
      <c r="BJ965">
        <v>1.7</v>
      </c>
      <c r="BK965">
        <v>2</v>
      </c>
      <c r="BL965">
        <v>35.979999999999997</v>
      </c>
      <c r="BM965">
        <v>5.4</v>
      </c>
      <c r="BN965">
        <v>41.38</v>
      </c>
      <c r="BO965">
        <v>41.38</v>
      </c>
      <c r="BQ965" t="s">
        <v>70</v>
      </c>
      <c r="BR965" t="s">
        <v>71</v>
      </c>
      <c r="BS965" s="1">
        <v>43949</v>
      </c>
      <c r="BT965" s="2">
        <v>0.34375</v>
      </c>
      <c r="BU965" t="s">
        <v>869</v>
      </c>
      <c r="BV965" t="s">
        <v>80</v>
      </c>
      <c r="BY965">
        <v>8266.9</v>
      </c>
      <c r="BZ965" t="s">
        <v>23</v>
      </c>
      <c r="CA965" t="s">
        <v>392</v>
      </c>
      <c r="CC965" t="s">
        <v>65</v>
      </c>
      <c r="CD965">
        <v>1609</v>
      </c>
      <c r="CE965" t="s">
        <v>966</v>
      </c>
      <c r="CF965" s="1">
        <v>43950</v>
      </c>
      <c r="CI965">
        <v>1</v>
      </c>
      <c r="CJ965">
        <v>2</v>
      </c>
      <c r="CK965">
        <v>22</v>
      </c>
      <c r="CL965" t="s">
        <v>74</v>
      </c>
    </row>
    <row r="966" spans="1:90" x14ac:dyDescent="0.25">
      <c r="A966" t="s">
        <v>61</v>
      </c>
      <c r="B966" t="s">
        <v>62</v>
      </c>
      <c r="C966" t="s">
        <v>63</v>
      </c>
      <c r="E966" t="str">
        <f>"FES1162745487"</f>
        <v>FES1162745487</v>
      </c>
      <c r="F966" s="1">
        <v>43949</v>
      </c>
      <c r="G966">
        <v>202010</v>
      </c>
      <c r="H966" t="s">
        <v>64</v>
      </c>
      <c r="I966" t="s">
        <v>65</v>
      </c>
      <c r="J966" t="s">
        <v>66</v>
      </c>
      <c r="K966" t="s">
        <v>67</v>
      </c>
      <c r="L966" t="s">
        <v>104</v>
      </c>
      <c r="M966" t="s">
        <v>105</v>
      </c>
      <c r="N966" t="s">
        <v>744</v>
      </c>
      <c r="O966" t="s">
        <v>69</v>
      </c>
      <c r="P966" t="str">
        <f>"2170736614                    "</f>
        <v xml:space="preserve">2170736614                    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33.130000000000003</v>
      </c>
      <c r="AN966">
        <v>0</v>
      </c>
      <c r="AO966">
        <v>0</v>
      </c>
      <c r="AP966">
        <v>0</v>
      </c>
      <c r="AQ966">
        <v>0</v>
      </c>
      <c r="AR966">
        <v>0</v>
      </c>
      <c r="AS966">
        <v>0</v>
      </c>
      <c r="AT966">
        <v>0</v>
      </c>
      <c r="AU966">
        <v>0</v>
      </c>
      <c r="AV966">
        <v>0</v>
      </c>
      <c r="AW966">
        <v>0</v>
      </c>
      <c r="AX966">
        <v>0</v>
      </c>
      <c r="AY966">
        <v>0</v>
      </c>
      <c r="AZ966">
        <v>0</v>
      </c>
      <c r="BA966">
        <v>0</v>
      </c>
      <c r="BB966">
        <v>0</v>
      </c>
      <c r="BG966">
        <v>0</v>
      </c>
      <c r="BH966">
        <v>1</v>
      </c>
      <c r="BI966">
        <v>11.1</v>
      </c>
      <c r="BJ966">
        <v>4.0999999999999996</v>
      </c>
      <c r="BK966">
        <v>11.5</v>
      </c>
      <c r="BL966">
        <v>364.47</v>
      </c>
      <c r="BM966">
        <v>54.67</v>
      </c>
      <c r="BN966">
        <v>419.14</v>
      </c>
      <c r="BO966">
        <v>419.14</v>
      </c>
      <c r="BQ966" t="s">
        <v>78</v>
      </c>
      <c r="BR966" t="s">
        <v>71</v>
      </c>
      <c r="BS966" s="1">
        <v>43950</v>
      </c>
      <c r="BT966" s="2">
        <v>0.42708333333333331</v>
      </c>
      <c r="BU966" t="s">
        <v>1075</v>
      </c>
      <c r="BV966" t="s">
        <v>80</v>
      </c>
      <c r="BY966">
        <v>20526.43</v>
      </c>
      <c r="BZ966" t="s">
        <v>23</v>
      </c>
      <c r="CC966" t="s">
        <v>105</v>
      </c>
      <c r="CD966">
        <v>1759</v>
      </c>
      <c r="CE966" t="s">
        <v>381</v>
      </c>
      <c r="CF966" s="1">
        <v>43951</v>
      </c>
      <c r="CI966">
        <v>1</v>
      </c>
      <c r="CJ966">
        <v>1</v>
      </c>
      <c r="CK966">
        <v>24</v>
      </c>
      <c r="CL966" t="s">
        <v>74</v>
      </c>
    </row>
    <row r="967" spans="1:90" x14ac:dyDescent="0.25">
      <c r="A967" t="s">
        <v>61</v>
      </c>
      <c r="B967" t="s">
        <v>62</v>
      </c>
      <c r="C967" t="s">
        <v>63</v>
      </c>
      <c r="E967" t="str">
        <f>"FES1162745152"</f>
        <v>FES1162745152</v>
      </c>
      <c r="F967" s="1">
        <v>43945</v>
      </c>
      <c r="G967">
        <v>202010</v>
      </c>
      <c r="H967" t="s">
        <v>64</v>
      </c>
      <c r="I967" t="s">
        <v>65</v>
      </c>
      <c r="J967" t="s">
        <v>66</v>
      </c>
      <c r="K967" t="s">
        <v>67</v>
      </c>
      <c r="L967" t="s">
        <v>64</v>
      </c>
      <c r="M967" t="s">
        <v>65</v>
      </c>
      <c r="N967" t="s">
        <v>322</v>
      </c>
      <c r="O967" t="s">
        <v>69</v>
      </c>
      <c r="P967" t="str">
        <f>"2170736081                    "</f>
        <v xml:space="preserve">2170736081                    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3.27</v>
      </c>
      <c r="AN967">
        <v>0</v>
      </c>
      <c r="AO967">
        <v>0</v>
      </c>
      <c r="AP967">
        <v>0</v>
      </c>
      <c r="AQ967">
        <v>0</v>
      </c>
      <c r="AR967">
        <v>0</v>
      </c>
      <c r="AS967">
        <v>0</v>
      </c>
      <c r="AT967">
        <v>0</v>
      </c>
      <c r="AU967">
        <v>0</v>
      </c>
      <c r="AV967">
        <v>0</v>
      </c>
      <c r="AW967">
        <v>0</v>
      </c>
      <c r="AX967">
        <v>0</v>
      </c>
      <c r="AY967">
        <v>0</v>
      </c>
      <c r="AZ967">
        <v>0</v>
      </c>
      <c r="BA967">
        <v>0</v>
      </c>
      <c r="BB967">
        <v>0</v>
      </c>
      <c r="BG967">
        <v>0</v>
      </c>
      <c r="BH967">
        <v>1</v>
      </c>
      <c r="BI967">
        <v>1</v>
      </c>
      <c r="BJ967">
        <v>1.8</v>
      </c>
      <c r="BK967">
        <v>2</v>
      </c>
      <c r="BL967">
        <v>35.979999999999997</v>
      </c>
      <c r="BM967">
        <v>5.4</v>
      </c>
      <c r="BN967">
        <v>41.38</v>
      </c>
      <c r="BO967">
        <v>41.38</v>
      </c>
      <c r="BQ967" t="s">
        <v>78</v>
      </c>
      <c r="BR967" t="s">
        <v>71</v>
      </c>
      <c r="BS967" s="1">
        <v>43949</v>
      </c>
      <c r="BT967" s="2">
        <v>0.2986111111111111</v>
      </c>
      <c r="BU967" t="s">
        <v>1076</v>
      </c>
      <c r="BV967" t="s">
        <v>80</v>
      </c>
      <c r="BY967">
        <v>9230.76</v>
      </c>
      <c r="BZ967" t="s">
        <v>23</v>
      </c>
      <c r="CC967" t="s">
        <v>65</v>
      </c>
      <c r="CD967">
        <v>1600</v>
      </c>
      <c r="CE967" t="s">
        <v>966</v>
      </c>
      <c r="CF967" s="1">
        <v>43950</v>
      </c>
      <c r="CI967">
        <v>1</v>
      </c>
      <c r="CJ967">
        <v>2</v>
      </c>
      <c r="CK967">
        <v>22</v>
      </c>
      <c r="CL967" t="s">
        <v>74</v>
      </c>
    </row>
    <row r="968" spans="1:90" x14ac:dyDescent="0.25">
      <c r="A968" t="s">
        <v>61</v>
      </c>
      <c r="B968" t="s">
        <v>62</v>
      </c>
      <c r="C968" t="s">
        <v>63</v>
      </c>
      <c r="E968" t="str">
        <f>"FES1162745305"</f>
        <v>FES1162745305</v>
      </c>
      <c r="F968" s="1">
        <v>43945</v>
      </c>
      <c r="G968">
        <v>202010</v>
      </c>
      <c r="H968" t="s">
        <v>64</v>
      </c>
      <c r="I968" t="s">
        <v>65</v>
      </c>
      <c r="J968" t="s">
        <v>66</v>
      </c>
      <c r="K968" t="s">
        <v>67</v>
      </c>
      <c r="L968" t="s">
        <v>199</v>
      </c>
      <c r="M968" t="s">
        <v>200</v>
      </c>
      <c r="N968" t="s">
        <v>980</v>
      </c>
      <c r="O968" t="s">
        <v>69</v>
      </c>
      <c r="P968" t="str">
        <f>"2170735986                    "</f>
        <v xml:space="preserve">2170735986                    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3.27</v>
      </c>
      <c r="AN968">
        <v>0</v>
      </c>
      <c r="AO968">
        <v>0</v>
      </c>
      <c r="AP968">
        <v>0</v>
      </c>
      <c r="AQ968">
        <v>0</v>
      </c>
      <c r="AR968">
        <v>0</v>
      </c>
      <c r="AS968">
        <v>0</v>
      </c>
      <c r="AT968">
        <v>0</v>
      </c>
      <c r="AU968">
        <v>0</v>
      </c>
      <c r="AV968">
        <v>0</v>
      </c>
      <c r="AW968">
        <v>0</v>
      </c>
      <c r="AX968">
        <v>0</v>
      </c>
      <c r="AY968">
        <v>0</v>
      </c>
      <c r="AZ968">
        <v>0</v>
      </c>
      <c r="BA968">
        <v>0</v>
      </c>
      <c r="BB968">
        <v>0</v>
      </c>
      <c r="BG968">
        <v>0</v>
      </c>
      <c r="BH968">
        <v>1</v>
      </c>
      <c r="BI968">
        <v>1</v>
      </c>
      <c r="BJ968">
        <v>1.1000000000000001</v>
      </c>
      <c r="BK968">
        <v>1.5</v>
      </c>
      <c r="BL968">
        <v>35.979999999999997</v>
      </c>
      <c r="BM968">
        <v>5.4</v>
      </c>
      <c r="BN968">
        <v>41.38</v>
      </c>
      <c r="BO968">
        <v>41.38</v>
      </c>
      <c r="BQ968" t="s">
        <v>268</v>
      </c>
      <c r="BR968" t="s">
        <v>71</v>
      </c>
      <c r="BS968" s="1">
        <v>43949</v>
      </c>
      <c r="BT968" s="2">
        <v>0.46875</v>
      </c>
      <c r="BU968" t="s">
        <v>981</v>
      </c>
      <c r="BV968" t="s">
        <v>80</v>
      </c>
      <c r="BY968">
        <v>5551.22</v>
      </c>
      <c r="BZ968" t="s">
        <v>23</v>
      </c>
      <c r="CA968" t="s">
        <v>437</v>
      </c>
      <c r="CC968" t="s">
        <v>200</v>
      </c>
      <c r="CD968">
        <v>1559</v>
      </c>
      <c r="CE968" t="s">
        <v>966</v>
      </c>
      <c r="CF968" s="1">
        <v>43950</v>
      </c>
      <c r="CI968">
        <v>1</v>
      </c>
      <c r="CJ968">
        <v>2</v>
      </c>
      <c r="CK968">
        <v>22</v>
      </c>
      <c r="CL968" t="s">
        <v>74</v>
      </c>
    </row>
    <row r="969" spans="1:90" x14ac:dyDescent="0.25">
      <c r="A969" t="s">
        <v>61</v>
      </c>
      <c r="B969" t="s">
        <v>62</v>
      </c>
      <c r="C969" t="s">
        <v>63</v>
      </c>
      <c r="E969" t="str">
        <f>"FES1162745359"</f>
        <v>FES1162745359</v>
      </c>
      <c r="F969" s="1">
        <v>43945</v>
      </c>
      <c r="G969">
        <v>202010</v>
      </c>
      <c r="H969" t="s">
        <v>64</v>
      </c>
      <c r="I969" t="s">
        <v>65</v>
      </c>
      <c r="J969" t="s">
        <v>66</v>
      </c>
      <c r="K969" t="s">
        <v>67</v>
      </c>
      <c r="L969" t="s">
        <v>368</v>
      </c>
      <c r="M969" t="s">
        <v>369</v>
      </c>
      <c r="N969" t="s">
        <v>599</v>
      </c>
      <c r="O969" t="s">
        <v>69</v>
      </c>
      <c r="P969" t="str">
        <f>"2170736254                    "</f>
        <v xml:space="preserve">2170736254                    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3.27</v>
      </c>
      <c r="AN969">
        <v>0</v>
      </c>
      <c r="AO969">
        <v>0</v>
      </c>
      <c r="AP969">
        <v>0</v>
      </c>
      <c r="AQ969">
        <v>0</v>
      </c>
      <c r="AR969">
        <v>0</v>
      </c>
      <c r="AS969">
        <v>0</v>
      </c>
      <c r="AT969">
        <v>0</v>
      </c>
      <c r="AU969">
        <v>0</v>
      </c>
      <c r="AV969">
        <v>0</v>
      </c>
      <c r="AW969">
        <v>0</v>
      </c>
      <c r="AX969">
        <v>0</v>
      </c>
      <c r="AY969">
        <v>0</v>
      </c>
      <c r="AZ969">
        <v>0</v>
      </c>
      <c r="BA969">
        <v>0</v>
      </c>
      <c r="BB969">
        <v>0</v>
      </c>
      <c r="BG969">
        <v>0</v>
      </c>
      <c r="BH969">
        <v>1</v>
      </c>
      <c r="BI969">
        <v>1</v>
      </c>
      <c r="BJ969">
        <v>1</v>
      </c>
      <c r="BK969">
        <v>1</v>
      </c>
      <c r="BL969">
        <v>35.979999999999997</v>
      </c>
      <c r="BM969">
        <v>5.4</v>
      </c>
      <c r="BN969">
        <v>41.38</v>
      </c>
      <c r="BO969">
        <v>41.38</v>
      </c>
      <c r="BQ969" t="s">
        <v>78</v>
      </c>
      <c r="BR969" t="s">
        <v>71</v>
      </c>
      <c r="BS969" s="1">
        <v>43949</v>
      </c>
      <c r="BT969" s="2">
        <v>0.45</v>
      </c>
      <c r="BU969" t="s">
        <v>1077</v>
      </c>
      <c r="BV969" t="s">
        <v>74</v>
      </c>
      <c r="BW969" t="s">
        <v>85</v>
      </c>
      <c r="BX969" t="s">
        <v>606</v>
      </c>
      <c r="BY969">
        <v>5000.92</v>
      </c>
      <c r="BZ969" t="s">
        <v>23</v>
      </c>
      <c r="CA969" t="s">
        <v>428</v>
      </c>
      <c r="CC969" t="s">
        <v>369</v>
      </c>
      <c r="CD969">
        <v>1422</v>
      </c>
      <c r="CE969" t="s">
        <v>966</v>
      </c>
      <c r="CF969" s="1">
        <v>43950</v>
      </c>
      <c r="CI969">
        <v>1</v>
      </c>
      <c r="CJ969">
        <v>2</v>
      </c>
      <c r="CK969">
        <v>22</v>
      </c>
      <c r="CL969" t="s">
        <v>74</v>
      </c>
    </row>
    <row r="970" spans="1:90" x14ac:dyDescent="0.25">
      <c r="A970" t="s">
        <v>61</v>
      </c>
      <c r="B970" t="s">
        <v>62</v>
      </c>
      <c r="C970" t="s">
        <v>63</v>
      </c>
      <c r="E970" t="str">
        <f>"FES1162745091"</f>
        <v>FES1162745091</v>
      </c>
      <c r="F970" s="1">
        <v>43945</v>
      </c>
      <c r="G970">
        <v>202010</v>
      </c>
      <c r="H970" t="s">
        <v>64</v>
      </c>
      <c r="I970" t="s">
        <v>65</v>
      </c>
      <c r="J970" t="s">
        <v>66</v>
      </c>
      <c r="K970" t="s">
        <v>67</v>
      </c>
      <c r="L970" t="s">
        <v>120</v>
      </c>
      <c r="M970" t="s">
        <v>121</v>
      </c>
      <c r="N970" t="s">
        <v>206</v>
      </c>
      <c r="O970" t="s">
        <v>69</v>
      </c>
      <c r="P970" t="str">
        <f>"2170736304                    "</f>
        <v xml:space="preserve">2170736304                    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4.1900000000000004</v>
      </c>
      <c r="AN970">
        <v>0</v>
      </c>
      <c r="AO970">
        <v>0</v>
      </c>
      <c r="AP970">
        <v>0</v>
      </c>
      <c r="AQ970">
        <v>0</v>
      </c>
      <c r="AR970">
        <v>0</v>
      </c>
      <c r="AS970">
        <v>0</v>
      </c>
      <c r="AT970">
        <v>0</v>
      </c>
      <c r="AU970">
        <v>0</v>
      </c>
      <c r="AV970">
        <v>0</v>
      </c>
      <c r="AW970">
        <v>0</v>
      </c>
      <c r="AX970">
        <v>0</v>
      </c>
      <c r="AY970">
        <v>0</v>
      </c>
      <c r="AZ970">
        <v>0</v>
      </c>
      <c r="BA970">
        <v>0</v>
      </c>
      <c r="BB970">
        <v>0</v>
      </c>
      <c r="BG970">
        <v>0</v>
      </c>
      <c r="BH970">
        <v>1</v>
      </c>
      <c r="BI970">
        <v>1.1000000000000001</v>
      </c>
      <c r="BJ970">
        <v>1.8</v>
      </c>
      <c r="BK970">
        <v>2</v>
      </c>
      <c r="BL970">
        <v>46.06</v>
      </c>
      <c r="BM970">
        <v>6.91</v>
      </c>
      <c r="BN970">
        <v>52.97</v>
      </c>
      <c r="BO970">
        <v>52.97</v>
      </c>
      <c r="BQ970" t="s">
        <v>78</v>
      </c>
      <c r="BR970" t="s">
        <v>71</v>
      </c>
      <c r="BS970" s="1">
        <v>43949</v>
      </c>
      <c r="BT970" s="2">
        <v>0.4597222222222222</v>
      </c>
      <c r="BU970" t="s">
        <v>995</v>
      </c>
      <c r="BV970" t="s">
        <v>74</v>
      </c>
      <c r="BY970">
        <v>9112.82</v>
      </c>
      <c r="BZ970" t="s">
        <v>23</v>
      </c>
      <c r="CA970" t="s">
        <v>627</v>
      </c>
      <c r="CC970" t="s">
        <v>121</v>
      </c>
      <c r="CD970">
        <v>4094</v>
      </c>
      <c r="CE970" t="s">
        <v>966</v>
      </c>
      <c r="CF970" s="1">
        <v>43950</v>
      </c>
      <c r="CI970">
        <v>1</v>
      </c>
      <c r="CJ970">
        <v>2</v>
      </c>
      <c r="CK970">
        <v>21</v>
      </c>
      <c r="CL970" t="s">
        <v>74</v>
      </c>
    </row>
    <row r="971" spans="1:90" x14ac:dyDescent="0.25">
      <c r="A971" t="s">
        <v>61</v>
      </c>
      <c r="B971" t="s">
        <v>62</v>
      </c>
      <c r="C971" t="s">
        <v>63</v>
      </c>
      <c r="E971" t="str">
        <f>"FES1162745479"</f>
        <v>FES1162745479</v>
      </c>
      <c r="F971" s="1">
        <v>43949</v>
      </c>
      <c r="G971">
        <v>202010</v>
      </c>
      <c r="H971" t="s">
        <v>64</v>
      </c>
      <c r="I971" t="s">
        <v>65</v>
      </c>
      <c r="J971" t="s">
        <v>66</v>
      </c>
      <c r="K971" t="s">
        <v>67</v>
      </c>
      <c r="L971" t="s">
        <v>64</v>
      </c>
      <c r="M971" t="s">
        <v>65</v>
      </c>
      <c r="N971" t="s">
        <v>313</v>
      </c>
      <c r="O971" t="s">
        <v>69</v>
      </c>
      <c r="P971" t="str">
        <f>"2170736275                    "</f>
        <v xml:space="preserve">2170736275                    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6.41</v>
      </c>
      <c r="AN971">
        <v>0</v>
      </c>
      <c r="AO971">
        <v>0</v>
      </c>
      <c r="AP971">
        <v>0</v>
      </c>
      <c r="AQ971">
        <v>0</v>
      </c>
      <c r="AR971">
        <v>0</v>
      </c>
      <c r="AS971">
        <v>0</v>
      </c>
      <c r="AT971">
        <v>0</v>
      </c>
      <c r="AU971">
        <v>0</v>
      </c>
      <c r="AV971">
        <v>0</v>
      </c>
      <c r="AW971">
        <v>0</v>
      </c>
      <c r="AX971">
        <v>0</v>
      </c>
      <c r="AY971">
        <v>0</v>
      </c>
      <c r="AZ971">
        <v>0</v>
      </c>
      <c r="BA971">
        <v>0</v>
      </c>
      <c r="BB971">
        <v>0</v>
      </c>
      <c r="BG971">
        <v>0</v>
      </c>
      <c r="BH971">
        <v>1</v>
      </c>
      <c r="BI971">
        <v>6</v>
      </c>
      <c r="BJ971">
        <v>1.6</v>
      </c>
      <c r="BK971">
        <v>6</v>
      </c>
      <c r="BL971">
        <v>70.48</v>
      </c>
      <c r="BM971">
        <v>10.57</v>
      </c>
      <c r="BN971">
        <v>81.05</v>
      </c>
      <c r="BO971">
        <v>81.05</v>
      </c>
      <c r="BQ971" t="s">
        <v>78</v>
      </c>
      <c r="BR971" t="s">
        <v>71</v>
      </c>
      <c r="BS971" s="1">
        <v>43950</v>
      </c>
      <c r="BT971" s="2">
        <v>0.3611111111111111</v>
      </c>
      <c r="BU971" t="s">
        <v>1078</v>
      </c>
      <c r="BV971" t="s">
        <v>80</v>
      </c>
      <c r="BY971">
        <v>7799.76</v>
      </c>
      <c r="BZ971" t="s">
        <v>23</v>
      </c>
      <c r="CC971" t="s">
        <v>65</v>
      </c>
      <c r="CD971">
        <v>1624</v>
      </c>
      <c r="CE971" t="s">
        <v>381</v>
      </c>
      <c r="CF971" s="1">
        <v>43951</v>
      </c>
      <c r="CI971">
        <v>1</v>
      </c>
      <c r="CJ971">
        <v>1</v>
      </c>
      <c r="CK971">
        <v>22</v>
      </c>
      <c r="CL971" t="s">
        <v>74</v>
      </c>
    </row>
    <row r="972" spans="1:90" x14ac:dyDescent="0.25">
      <c r="A972" t="s">
        <v>61</v>
      </c>
      <c r="B972" t="s">
        <v>62</v>
      </c>
      <c r="C972" t="s">
        <v>63</v>
      </c>
      <c r="E972" t="str">
        <f>"FES1162745420"</f>
        <v>FES1162745420</v>
      </c>
      <c r="F972" s="1">
        <v>43945</v>
      </c>
      <c r="G972">
        <v>202010</v>
      </c>
      <c r="H972" t="s">
        <v>64</v>
      </c>
      <c r="I972" t="s">
        <v>65</v>
      </c>
      <c r="J972" t="s">
        <v>66</v>
      </c>
      <c r="K972" t="s">
        <v>67</v>
      </c>
      <c r="L972" t="s">
        <v>120</v>
      </c>
      <c r="M972" t="s">
        <v>121</v>
      </c>
      <c r="N972" t="s">
        <v>126</v>
      </c>
      <c r="O972" t="s">
        <v>69</v>
      </c>
      <c r="P972" t="str">
        <f>"2170736558                    "</f>
        <v xml:space="preserve">2170736558                    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4.1900000000000004</v>
      </c>
      <c r="AN972">
        <v>0</v>
      </c>
      <c r="AO972">
        <v>0</v>
      </c>
      <c r="AP972">
        <v>0</v>
      </c>
      <c r="AQ972">
        <v>0</v>
      </c>
      <c r="AR972">
        <v>0</v>
      </c>
      <c r="AS972">
        <v>0</v>
      </c>
      <c r="AT972">
        <v>0</v>
      </c>
      <c r="AU972">
        <v>0</v>
      </c>
      <c r="AV972">
        <v>0</v>
      </c>
      <c r="AW972">
        <v>0</v>
      </c>
      <c r="AX972">
        <v>0</v>
      </c>
      <c r="AY972">
        <v>0</v>
      </c>
      <c r="AZ972">
        <v>0</v>
      </c>
      <c r="BA972">
        <v>0</v>
      </c>
      <c r="BB972">
        <v>0</v>
      </c>
      <c r="BG972">
        <v>0</v>
      </c>
      <c r="BH972">
        <v>1</v>
      </c>
      <c r="BI972">
        <v>1</v>
      </c>
      <c r="BJ972">
        <v>1.1000000000000001</v>
      </c>
      <c r="BK972">
        <v>1.5</v>
      </c>
      <c r="BL972">
        <v>46.06</v>
      </c>
      <c r="BM972">
        <v>6.91</v>
      </c>
      <c r="BN972">
        <v>52.97</v>
      </c>
      <c r="BO972">
        <v>52.97</v>
      </c>
      <c r="BQ972" t="s">
        <v>1079</v>
      </c>
      <c r="BR972" t="s">
        <v>71</v>
      </c>
      <c r="BS972" s="1">
        <v>43949</v>
      </c>
      <c r="BT972" s="2">
        <v>0.59444444444444444</v>
      </c>
      <c r="BU972" t="s">
        <v>1080</v>
      </c>
      <c r="BV972" t="s">
        <v>74</v>
      </c>
      <c r="BW972" t="s">
        <v>85</v>
      </c>
      <c r="BX972" t="s">
        <v>128</v>
      </c>
      <c r="BY972">
        <v>5507.63</v>
      </c>
      <c r="BZ972" t="s">
        <v>23</v>
      </c>
      <c r="CA972" t="s">
        <v>811</v>
      </c>
      <c r="CC972" t="s">
        <v>121</v>
      </c>
      <c r="CD972">
        <v>4001</v>
      </c>
      <c r="CE972" t="s">
        <v>966</v>
      </c>
      <c r="CF972" s="1">
        <v>43950</v>
      </c>
      <c r="CI972">
        <v>1</v>
      </c>
      <c r="CJ972">
        <v>2</v>
      </c>
      <c r="CK972">
        <v>21</v>
      </c>
      <c r="CL972" t="s">
        <v>74</v>
      </c>
    </row>
    <row r="973" spans="1:90" x14ac:dyDescent="0.25">
      <c r="A973" t="s">
        <v>61</v>
      </c>
      <c r="B973" t="s">
        <v>62</v>
      </c>
      <c r="C973" t="s">
        <v>63</v>
      </c>
      <c r="E973" t="str">
        <f>"FES1162745339"</f>
        <v>FES1162745339</v>
      </c>
      <c r="F973" s="1">
        <v>43945</v>
      </c>
      <c r="G973">
        <v>202010</v>
      </c>
      <c r="H973" t="s">
        <v>64</v>
      </c>
      <c r="I973" t="s">
        <v>65</v>
      </c>
      <c r="J973" t="s">
        <v>66</v>
      </c>
      <c r="K973" t="s">
        <v>67</v>
      </c>
      <c r="L973" t="s">
        <v>75</v>
      </c>
      <c r="M973" t="s">
        <v>76</v>
      </c>
      <c r="N973" t="s">
        <v>155</v>
      </c>
      <c r="O973" t="s">
        <v>69</v>
      </c>
      <c r="P973" t="str">
        <f>"2170735504                    "</f>
        <v xml:space="preserve">2170735504                    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4.0599999999999996</v>
      </c>
      <c r="AN973">
        <v>0</v>
      </c>
      <c r="AO973">
        <v>0</v>
      </c>
      <c r="AP973">
        <v>0</v>
      </c>
      <c r="AQ973">
        <v>0</v>
      </c>
      <c r="AR973">
        <v>0</v>
      </c>
      <c r="AS973">
        <v>0</v>
      </c>
      <c r="AT973">
        <v>0</v>
      </c>
      <c r="AU973">
        <v>0</v>
      </c>
      <c r="AV973">
        <v>0</v>
      </c>
      <c r="AW973">
        <v>0</v>
      </c>
      <c r="AX973">
        <v>0</v>
      </c>
      <c r="AY973">
        <v>0</v>
      </c>
      <c r="AZ973">
        <v>0</v>
      </c>
      <c r="BA973">
        <v>0</v>
      </c>
      <c r="BB973">
        <v>0</v>
      </c>
      <c r="BG973">
        <v>0</v>
      </c>
      <c r="BH973">
        <v>1</v>
      </c>
      <c r="BI973">
        <v>1</v>
      </c>
      <c r="BJ973">
        <v>2.6</v>
      </c>
      <c r="BK973">
        <v>3</v>
      </c>
      <c r="BL973">
        <v>44.61</v>
      </c>
      <c r="BM973">
        <v>6.69</v>
      </c>
      <c r="BN973">
        <v>51.3</v>
      </c>
      <c r="BO973">
        <v>51.3</v>
      </c>
      <c r="BQ973" t="s">
        <v>78</v>
      </c>
      <c r="BR973" t="s">
        <v>71</v>
      </c>
      <c r="BS973" t="s">
        <v>72</v>
      </c>
      <c r="BY973">
        <v>12881</v>
      </c>
      <c r="BZ973" t="s">
        <v>23</v>
      </c>
      <c r="CC973" t="s">
        <v>76</v>
      </c>
      <c r="CD973">
        <v>1459</v>
      </c>
      <c r="CE973" t="s">
        <v>966</v>
      </c>
      <c r="CI973">
        <v>1</v>
      </c>
      <c r="CJ973" t="s">
        <v>72</v>
      </c>
      <c r="CK973">
        <v>22</v>
      </c>
      <c r="CL973" t="s">
        <v>74</v>
      </c>
    </row>
    <row r="974" spans="1:90" x14ac:dyDescent="0.25">
      <c r="A974" t="s">
        <v>61</v>
      </c>
      <c r="B974" t="s">
        <v>62</v>
      </c>
      <c r="C974" t="s">
        <v>63</v>
      </c>
      <c r="E974" t="str">
        <f>"FES1162745350"</f>
        <v>FES1162745350</v>
      </c>
      <c r="F974" s="1">
        <v>43945</v>
      </c>
      <c r="G974">
        <v>202010</v>
      </c>
      <c r="H974" t="s">
        <v>64</v>
      </c>
      <c r="I974" t="s">
        <v>65</v>
      </c>
      <c r="J974" t="s">
        <v>66</v>
      </c>
      <c r="K974" t="s">
        <v>67</v>
      </c>
      <c r="L974" t="s">
        <v>64</v>
      </c>
      <c r="M974" t="s">
        <v>65</v>
      </c>
      <c r="N974" t="s">
        <v>879</v>
      </c>
      <c r="O974" t="s">
        <v>69</v>
      </c>
      <c r="P974" t="str">
        <f>"2170735583                    "</f>
        <v xml:space="preserve">2170735583                    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3.66</v>
      </c>
      <c r="AN974">
        <v>0</v>
      </c>
      <c r="AO974">
        <v>0</v>
      </c>
      <c r="AP974">
        <v>0</v>
      </c>
      <c r="AQ974">
        <v>0</v>
      </c>
      <c r="AR974">
        <v>0</v>
      </c>
      <c r="AS974">
        <v>0</v>
      </c>
      <c r="AT974">
        <v>0</v>
      </c>
      <c r="AU974">
        <v>0</v>
      </c>
      <c r="AV974">
        <v>0</v>
      </c>
      <c r="AW974">
        <v>0</v>
      </c>
      <c r="AX974">
        <v>0</v>
      </c>
      <c r="AY974">
        <v>0</v>
      </c>
      <c r="AZ974">
        <v>0</v>
      </c>
      <c r="BA974">
        <v>0</v>
      </c>
      <c r="BB974">
        <v>0</v>
      </c>
      <c r="BG974">
        <v>0</v>
      </c>
      <c r="BH974">
        <v>1</v>
      </c>
      <c r="BI974">
        <v>1</v>
      </c>
      <c r="BJ974">
        <v>2.1</v>
      </c>
      <c r="BK974">
        <v>2.5</v>
      </c>
      <c r="BL974">
        <v>40.29</v>
      </c>
      <c r="BM974">
        <v>6.04</v>
      </c>
      <c r="BN974">
        <v>46.33</v>
      </c>
      <c r="BO974">
        <v>46.33</v>
      </c>
      <c r="BQ974" t="s">
        <v>70</v>
      </c>
      <c r="BR974" t="s">
        <v>71</v>
      </c>
      <c r="BS974" s="1">
        <v>43949</v>
      </c>
      <c r="BT974" s="2">
        <v>0.33263888888888887</v>
      </c>
      <c r="BU974" t="s">
        <v>1081</v>
      </c>
      <c r="BV974" t="s">
        <v>80</v>
      </c>
      <c r="BY974">
        <v>10317.42</v>
      </c>
      <c r="BZ974" t="s">
        <v>23</v>
      </c>
      <c r="CC974" t="s">
        <v>65</v>
      </c>
      <c r="CD974">
        <v>1665</v>
      </c>
      <c r="CE974" t="s">
        <v>966</v>
      </c>
      <c r="CF974" s="1">
        <v>43950</v>
      </c>
      <c r="CI974">
        <v>1</v>
      </c>
      <c r="CJ974">
        <v>2</v>
      </c>
      <c r="CK974">
        <v>22</v>
      </c>
      <c r="CL974" t="s">
        <v>74</v>
      </c>
    </row>
    <row r="975" spans="1:90" x14ac:dyDescent="0.25">
      <c r="A975" t="s">
        <v>61</v>
      </c>
      <c r="B975" t="s">
        <v>62</v>
      </c>
      <c r="C975" t="s">
        <v>63</v>
      </c>
      <c r="E975" t="str">
        <f>"FES1162745308"</f>
        <v>FES1162745308</v>
      </c>
      <c r="F975" s="1">
        <v>43945</v>
      </c>
      <c r="G975">
        <v>202010</v>
      </c>
      <c r="H975" t="s">
        <v>64</v>
      </c>
      <c r="I975" t="s">
        <v>65</v>
      </c>
      <c r="J975" t="s">
        <v>66</v>
      </c>
      <c r="K975" t="s">
        <v>67</v>
      </c>
      <c r="L975" t="s">
        <v>64</v>
      </c>
      <c r="M975" t="s">
        <v>65</v>
      </c>
      <c r="N975" t="s">
        <v>322</v>
      </c>
      <c r="O975" t="s">
        <v>69</v>
      </c>
      <c r="P975" t="str">
        <f>"2170734138                    "</f>
        <v xml:space="preserve">2170734138                    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3.27</v>
      </c>
      <c r="AN975">
        <v>0</v>
      </c>
      <c r="AO975">
        <v>0</v>
      </c>
      <c r="AP975">
        <v>0</v>
      </c>
      <c r="AQ975">
        <v>0</v>
      </c>
      <c r="AR975">
        <v>0</v>
      </c>
      <c r="AS975">
        <v>0</v>
      </c>
      <c r="AT975">
        <v>0</v>
      </c>
      <c r="AU975">
        <v>0</v>
      </c>
      <c r="AV975">
        <v>0</v>
      </c>
      <c r="AW975">
        <v>0</v>
      </c>
      <c r="AX975">
        <v>0</v>
      </c>
      <c r="AY975">
        <v>0</v>
      </c>
      <c r="AZ975">
        <v>0</v>
      </c>
      <c r="BA975">
        <v>0</v>
      </c>
      <c r="BB975">
        <v>0</v>
      </c>
      <c r="BG975">
        <v>0</v>
      </c>
      <c r="BH975">
        <v>1</v>
      </c>
      <c r="BI975">
        <v>1</v>
      </c>
      <c r="BJ975">
        <v>1.2</v>
      </c>
      <c r="BK975">
        <v>1.5</v>
      </c>
      <c r="BL975">
        <v>35.979999999999997</v>
      </c>
      <c r="BM975">
        <v>5.4</v>
      </c>
      <c r="BN975">
        <v>41.38</v>
      </c>
      <c r="BO975">
        <v>41.38</v>
      </c>
      <c r="BQ975" t="s">
        <v>78</v>
      </c>
      <c r="BR975" t="s">
        <v>71</v>
      </c>
      <c r="BS975" s="1">
        <v>43949</v>
      </c>
      <c r="BT975" s="2">
        <v>0.2986111111111111</v>
      </c>
      <c r="BU975" t="s">
        <v>1076</v>
      </c>
      <c r="BV975" t="s">
        <v>80</v>
      </c>
      <c r="BY975">
        <v>5772.31</v>
      </c>
      <c r="BZ975" t="s">
        <v>23</v>
      </c>
      <c r="CC975" t="s">
        <v>65</v>
      </c>
      <c r="CD975">
        <v>1600</v>
      </c>
      <c r="CE975" t="s">
        <v>966</v>
      </c>
      <c r="CF975" s="1">
        <v>43950</v>
      </c>
      <c r="CI975">
        <v>1</v>
      </c>
      <c r="CJ975">
        <v>2</v>
      </c>
      <c r="CK975">
        <v>22</v>
      </c>
      <c r="CL975" t="s">
        <v>74</v>
      </c>
    </row>
    <row r="976" spans="1:90" x14ac:dyDescent="0.25">
      <c r="A976" t="s">
        <v>61</v>
      </c>
      <c r="B976" t="s">
        <v>62</v>
      </c>
      <c r="C976" t="s">
        <v>63</v>
      </c>
      <c r="E976" t="str">
        <f>"FES1162745446"</f>
        <v>FES1162745446</v>
      </c>
      <c r="F976" s="1">
        <v>43945</v>
      </c>
      <c r="G976">
        <v>202010</v>
      </c>
      <c r="H976" t="s">
        <v>64</v>
      </c>
      <c r="I976" t="s">
        <v>65</v>
      </c>
      <c r="J976" t="s">
        <v>66</v>
      </c>
      <c r="K976" t="s">
        <v>67</v>
      </c>
      <c r="L976" t="s">
        <v>120</v>
      </c>
      <c r="M976" t="s">
        <v>121</v>
      </c>
      <c r="N976" t="s">
        <v>873</v>
      </c>
      <c r="O976" t="s">
        <v>69</v>
      </c>
      <c r="P976" t="str">
        <f>"2170736540                    "</f>
        <v xml:space="preserve">2170736540                    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4.1900000000000004</v>
      </c>
      <c r="AN976">
        <v>0</v>
      </c>
      <c r="AO976">
        <v>0</v>
      </c>
      <c r="AP976">
        <v>0</v>
      </c>
      <c r="AQ976">
        <v>0</v>
      </c>
      <c r="AR976">
        <v>0</v>
      </c>
      <c r="AS976">
        <v>0</v>
      </c>
      <c r="AT976">
        <v>0</v>
      </c>
      <c r="AU976">
        <v>0</v>
      </c>
      <c r="AV976">
        <v>0</v>
      </c>
      <c r="AW976">
        <v>0</v>
      </c>
      <c r="AX976">
        <v>0</v>
      </c>
      <c r="AY976">
        <v>0</v>
      </c>
      <c r="AZ976">
        <v>0</v>
      </c>
      <c r="BA976">
        <v>0</v>
      </c>
      <c r="BB976">
        <v>0</v>
      </c>
      <c r="BG976">
        <v>0</v>
      </c>
      <c r="BH976">
        <v>1</v>
      </c>
      <c r="BI976">
        <v>2</v>
      </c>
      <c r="BJ976">
        <v>1.1000000000000001</v>
      </c>
      <c r="BK976">
        <v>2</v>
      </c>
      <c r="BL976">
        <v>46.06</v>
      </c>
      <c r="BM976">
        <v>6.91</v>
      </c>
      <c r="BN976">
        <v>52.97</v>
      </c>
      <c r="BO976">
        <v>52.97</v>
      </c>
      <c r="BQ976" t="s">
        <v>1082</v>
      </c>
      <c r="BR976" t="s">
        <v>71</v>
      </c>
      <c r="BS976" s="1">
        <v>43949</v>
      </c>
      <c r="BT976" s="2">
        <v>0.59722222222222221</v>
      </c>
      <c r="BU976" t="s">
        <v>876</v>
      </c>
      <c r="BV976" t="s">
        <v>74</v>
      </c>
      <c r="BW976" t="s">
        <v>85</v>
      </c>
      <c r="BX976" t="s">
        <v>128</v>
      </c>
      <c r="BY976">
        <v>5365.2</v>
      </c>
      <c r="BZ976" t="s">
        <v>23</v>
      </c>
      <c r="CA976" t="s">
        <v>574</v>
      </c>
      <c r="CC976" t="s">
        <v>121</v>
      </c>
      <c r="CD976">
        <v>4000</v>
      </c>
      <c r="CE976" t="s">
        <v>381</v>
      </c>
      <c r="CF976" s="1">
        <v>43950</v>
      </c>
      <c r="CI976">
        <v>1</v>
      </c>
      <c r="CJ976">
        <v>2</v>
      </c>
      <c r="CK976">
        <v>21</v>
      </c>
      <c r="CL976" t="s">
        <v>74</v>
      </c>
    </row>
    <row r="977" spans="1:90" x14ac:dyDescent="0.25">
      <c r="A977" t="s">
        <v>61</v>
      </c>
      <c r="B977" t="s">
        <v>62</v>
      </c>
      <c r="C977" t="s">
        <v>63</v>
      </c>
      <c r="E977" t="str">
        <f>"FES1162745023"</f>
        <v>FES1162745023</v>
      </c>
      <c r="F977" s="1">
        <v>43945</v>
      </c>
      <c r="G977">
        <v>202010</v>
      </c>
      <c r="H977" t="s">
        <v>64</v>
      </c>
      <c r="I977" t="s">
        <v>65</v>
      </c>
      <c r="J977" t="s">
        <v>66</v>
      </c>
      <c r="K977" t="s">
        <v>67</v>
      </c>
      <c r="L977" t="s">
        <v>262</v>
      </c>
      <c r="M977" t="s">
        <v>262</v>
      </c>
      <c r="N977" t="s">
        <v>263</v>
      </c>
      <c r="O977" t="s">
        <v>69</v>
      </c>
      <c r="P977" t="str">
        <f>"2170734846                    "</f>
        <v xml:space="preserve">2170734846                    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24.6</v>
      </c>
      <c r="AN977">
        <v>0</v>
      </c>
      <c r="AO977">
        <v>0</v>
      </c>
      <c r="AP977">
        <v>0</v>
      </c>
      <c r="AQ977">
        <v>0</v>
      </c>
      <c r="AR977">
        <v>0</v>
      </c>
      <c r="AS977">
        <v>0</v>
      </c>
      <c r="AT977">
        <v>0</v>
      </c>
      <c r="AU977">
        <v>0</v>
      </c>
      <c r="AV977">
        <v>0</v>
      </c>
      <c r="AW977">
        <v>0</v>
      </c>
      <c r="AX977">
        <v>0</v>
      </c>
      <c r="AY977">
        <v>0</v>
      </c>
      <c r="AZ977">
        <v>0</v>
      </c>
      <c r="BA977">
        <v>0</v>
      </c>
      <c r="BB977">
        <v>0</v>
      </c>
      <c r="BG977">
        <v>0</v>
      </c>
      <c r="BH977">
        <v>1</v>
      </c>
      <c r="BI977">
        <v>6.1</v>
      </c>
      <c r="BJ977">
        <v>3.1</v>
      </c>
      <c r="BK977">
        <v>6.5</v>
      </c>
      <c r="BL977">
        <v>270.60000000000002</v>
      </c>
      <c r="BM977">
        <v>40.590000000000003</v>
      </c>
      <c r="BN977">
        <v>311.19</v>
      </c>
      <c r="BO977">
        <v>311.19</v>
      </c>
      <c r="BQ977" t="s">
        <v>78</v>
      </c>
      <c r="BR977" t="s">
        <v>71</v>
      </c>
      <c r="BS977" s="1">
        <v>43949</v>
      </c>
      <c r="BT977" s="2">
        <v>0.44722222222222219</v>
      </c>
      <c r="BU977" t="s">
        <v>1083</v>
      </c>
      <c r="BV977" t="s">
        <v>80</v>
      </c>
      <c r="BY977">
        <v>15586.34</v>
      </c>
      <c r="BZ977" t="s">
        <v>23</v>
      </c>
      <c r="CA977" t="s">
        <v>266</v>
      </c>
      <c r="CC977" t="s">
        <v>262</v>
      </c>
      <c r="CD977">
        <v>7646</v>
      </c>
      <c r="CE977" t="s">
        <v>381</v>
      </c>
      <c r="CF977" s="1">
        <v>43950</v>
      </c>
      <c r="CI977">
        <v>1</v>
      </c>
      <c r="CJ977">
        <v>2</v>
      </c>
      <c r="CK977">
        <v>23</v>
      </c>
      <c r="CL977" t="s">
        <v>74</v>
      </c>
    </row>
    <row r="978" spans="1:90" x14ac:dyDescent="0.25">
      <c r="A978" t="s">
        <v>61</v>
      </c>
      <c r="B978" t="s">
        <v>62</v>
      </c>
      <c r="C978" t="s">
        <v>63</v>
      </c>
      <c r="E978" t="str">
        <f>"FES1162745443"</f>
        <v>FES1162745443</v>
      </c>
      <c r="F978" s="1">
        <v>43945</v>
      </c>
      <c r="G978">
        <v>202010</v>
      </c>
      <c r="H978" t="s">
        <v>64</v>
      </c>
      <c r="I978" t="s">
        <v>65</v>
      </c>
      <c r="J978" t="s">
        <v>66</v>
      </c>
      <c r="K978" t="s">
        <v>67</v>
      </c>
      <c r="L978" t="s">
        <v>120</v>
      </c>
      <c r="M978" t="s">
        <v>121</v>
      </c>
      <c r="N978" t="s">
        <v>247</v>
      </c>
      <c r="O978" t="s">
        <v>69</v>
      </c>
      <c r="P978" t="str">
        <f>"2170736485                    "</f>
        <v xml:space="preserve">2170736485                    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6.28</v>
      </c>
      <c r="AN978">
        <v>0</v>
      </c>
      <c r="AO978">
        <v>0</v>
      </c>
      <c r="AP978">
        <v>0</v>
      </c>
      <c r="AQ978">
        <v>0</v>
      </c>
      <c r="AR978">
        <v>0</v>
      </c>
      <c r="AS978">
        <v>0</v>
      </c>
      <c r="AT978">
        <v>0</v>
      </c>
      <c r="AU978">
        <v>0</v>
      </c>
      <c r="AV978">
        <v>0</v>
      </c>
      <c r="AW978">
        <v>0</v>
      </c>
      <c r="AX978">
        <v>0</v>
      </c>
      <c r="AY978">
        <v>0</v>
      </c>
      <c r="AZ978">
        <v>0</v>
      </c>
      <c r="BA978">
        <v>0</v>
      </c>
      <c r="BB978">
        <v>0</v>
      </c>
      <c r="BG978">
        <v>0</v>
      </c>
      <c r="BH978">
        <v>1</v>
      </c>
      <c r="BI978">
        <v>3</v>
      </c>
      <c r="BJ978">
        <v>1.1000000000000001</v>
      </c>
      <c r="BK978">
        <v>3</v>
      </c>
      <c r="BL978">
        <v>69.069999999999993</v>
      </c>
      <c r="BM978">
        <v>10.36</v>
      </c>
      <c r="BN978">
        <v>79.430000000000007</v>
      </c>
      <c r="BO978">
        <v>79.430000000000007</v>
      </c>
      <c r="BQ978" t="s">
        <v>248</v>
      </c>
      <c r="BR978" t="s">
        <v>71</v>
      </c>
      <c r="BS978" t="s">
        <v>72</v>
      </c>
      <c r="BY978">
        <v>5465.36</v>
      </c>
      <c r="BZ978" t="s">
        <v>23</v>
      </c>
      <c r="CC978" t="s">
        <v>121</v>
      </c>
      <c r="CD978">
        <v>4001</v>
      </c>
      <c r="CE978" t="s">
        <v>381</v>
      </c>
      <c r="CI978">
        <v>1</v>
      </c>
      <c r="CJ978" t="s">
        <v>72</v>
      </c>
      <c r="CK978">
        <v>21</v>
      </c>
      <c r="CL978" t="s">
        <v>74</v>
      </c>
    </row>
    <row r="979" spans="1:90" x14ac:dyDescent="0.25">
      <c r="A979" t="s">
        <v>61</v>
      </c>
      <c r="B979" t="s">
        <v>62</v>
      </c>
      <c r="C979" t="s">
        <v>63</v>
      </c>
      <c r="E979" t="str">
        <f>"FES1162745456"</f>
        <v>FES1162745456</v>
      </c>
      <c r="F979" s="1">
        <v>43945</v>
      </c>
      <c r="G979">
        <v>202010</v>
      </c>
      <c r="H979" t="s">
        <v>64</v>
      </c>
      <c r="I979" t="s">
        <v>65</v>
      </c>
      <c r="J979" t="s">
        <v>66</v>
      </c>
      <c r="K979" t="s">
        <v>67</v>
      </c>
      <c r="L979" t="s">
        <v>901</v>
      </c>
      <c r="M979" t="s">
        <v>902</v>
      </c>
      <c r="N979" t="s">
        <v>1084</v>
      </c>
      <c r="O979" t="s">
        <v>69</v>
      </c>
      <c r="P979" t="str">
        <f>"2170736608                    "</f>
        <v xml:space="preserve">2170736608                    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24.6</v>
      </c>
      <c r="AN979">
        <v>0</v>
      </c>
      <c r="AO979">
        <v>0</v>
      </c>
      <c r="AP979">
        <v>0</v>
      </c>
      <c r="AQ979">
        <v>0</v>
      </c>
      <c r="AR979">
        <v>0</v>
      </c>
      <c r="AS979">
        <v>0</v>
      </c>
      <c r="AT979">
        <v>0</v>
      </c>
      <c r="AU979">
        <v>0</v>
      </c>
      <c r="AV979">
        <v>0</v>
      </c>
      <c r="AW979">
        <v>0</v>
      </c>
      <c r="AX979">
        <v>0</v>
      </c>
      <c r="AY979">
        <v>0</v>
      </c>
      <c r="AZ979">
        <v>0</v>
      </c>
      <c r="BA979">
        <v>0</v>
      </c>
      <c r="BB979">
        <v>0</v>
      </c>
      <c r="BG979">
        <v>0</v>
      </c>
      <c r="BH979">
        <v>1</v>
      </c>
      <c r="BI979">
        <v>3.4</v>
      </c>
      <c r="BJ979">
        <v>6.3</v>
      </c>
      <c r="BK979">
        <v>6.5</v>
      </c>
      <c r="BL979">
        <v>270.60000000000002</v>
      </c>
      <c r="BM979">
        <v>40.590000000000003</v>
      </c>
      <c r="BN979">
        <v>311.19</v>
      </c>
      <c r="BO979">
        <v>311.19</v>
      </c>
      <c r="BQ979" t="s">
        <v>78</v>
      </c>
      <c r="BR979" t="s">
        <v>71</v>
      </c>
      <c r="BS979" s="1">
        <v>43949</v>
      </c>
      <c r="BT979" s="2">
        <v>0.41666666666666669</v>
      </c>
      <c r="BU979" t="s">
        <v>1085</v>
      </c>
      <c r="BV979" t="s">
        <v>80</v>
      </c>
      <c r="BY979">
        <v>31687.84</v>
      </c>
      <c r="BZ979" t="s">
        <v>23</v>
      </c>
      <c r="CC979" t="s">
        <v>902</v>
      </c>
      <c r="CD979">
        <v>6500</v>
      </c>
      <c r="CE979" t="s">
        <v>381</v>
      </c>
      <c r="CF979" s="1">
        <v>43951</v>
      </c>
      <c r="CI979">
        <v>1</v>
      </c>
      <c r="CJ979">
        <v>2</v>
      </c>
      <c r="CK979">
        <v>23</v>
      </c>
      <c r="CL979" t="s">
        <v>74</v>
      </c>
    </row>
    <row r="980" spans="1:90" x14ac:dyDescent="0.25">
      <c r="A980" t="s">
        <v>61</v>
      </c>
      <c r="B980" t="s">
        <v>62</v>
      </c>
      <c r="C980" t="s">
        <v>63</v>
      </c>
      <c r="E980" t="str">
        <f>"FES1162745093"</f>
        <v>FES1162745093</v>
      </c>
      <c r="F980" s="1">
        <v>43945</v>
      </c>
      <c r="G980">
        <v>202010</v>
      </c>
      <c r="H980" t="s">
        <v>64</v>
      </c>
      <c r="I980" t="s">
        <v>65</v>
      </c>
      <c r="J980" t="s">
        <v>66</v>
      </c>
      <c r="K980" t="s">
        <v>67</v>
      </c>
      <c r="L980" t="s">
        <v>120</v>
      </c>
      <c r="M980" t="s">
        <v>121</v>
      </c>
      <c r="N980" t="s">
        <v>206</v>
      </c>
      <c r="O980" t="s">
        <v>69</v>
      </c>
      <c r="P980" t="str">
        <f>"2170736306                    "</f>
        <v xml:space="preserve">2170736306                    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4.1900000000000004</v>
      </c>
      <c r="AN980">
        <v>0</v>
      </c>
      <c r="AO980">
        <v>0</v>
      </c>
      <c r="AP980">
        <v>0</v>
      </c>
      <c r="AQ980">
        <v>0</v>
      </c>
      <c r="AR980">
        <v>0</v>
      </c>
      <c r="AS980">
        <v>0</v>
      </c>
      <c r="AT980">
        <v>0</v>
      </c>
      <c r="AU980">
        <v>0</v>
      </c>
      <c r="AV980">
        <v>0</v>
      </c>
      <c r="AW980">
        <v>0</v>
      </c>
      <c r="AX980">
        <v>0</v>
      </c>
      <c r="AY980">
        <v>0</v>
      </c>
      <c r="AZ980">
        <v>0</v>
      </c>
      <c r="BA980">
        <v>0</v>
      </c>
      <c r="BB980">
        <v>0</v>
      </c>
      <c r="BG980">
        <v>0</v>
      </c>
      <c r="BH980">
        <v>1</v>
      </c>
      <c r="BI980">
        <v>2</v>
      </c>
      <c r="BJ980">
        <v>1</v>
      </c>
      <c r="BK980">
        <v>2</v>
      </c>
      <c r="BL980">
        <v>46.06</v>
      </c>
      <c r="BM980">
        <v>6.91</v>
      </c>
      <c r="BN980">
        <v>52.97</v>
      </c>
      <c r="BO980">
        <v>52.97</v>
      </c>
      <c r="BQ980" t="s">
        <v>78</v>
      </c>
      <c r="BR980" t="s">
        <v>71</v>
      </c>
      <c r="BS980" s="1">
        <v>43949</v>
      </c>
      <c r="BT980" s="2">
        <v>0.4597222222222222</v>
      </c>
      <c r="BU980" t="s">
        <v>1086</v>
      </c>
      <c r="BV980" t="s">
        <v>74</v>
      </c>
      <c r="BW980" t="s">
        <v>85</v>
      </c>
      <c r="BX980" t="s">
        <v>128</v>
      </c>
      <c r="BY980">
        <v>4780.9399999999996</v>
      </c>
      <c r="BZ980" t="s">
        <v>23</v>
      </c>
      <c r="CA980" t="s">
        <v>627</v>
      </c>
      <c r="CC980" t="s">
        <v>121</v>
      </c>
      <c r="CD980">
        <v>4094</v>
      </c>
      <c r="CE980" t="s">
        <v>381</v>
      </c>
      <c r="CF980" s="1">
        <v>43950</v>
      </c>
      <c r="CI980">
        <v>1</v>
      </c>
      <c r="CJ980">
        <v>2</v>
      </c>
      <c r="CK980">
        <v>21</v>
      </c>
      <c r="CL980" t="s">
        <v>74</v>
      </c>
    </row>
    <row r="981" spans="1:90" x14ac:dyDescent="0.25">
      <c r="A981" t="s">
        <v>61</v>
      </c>
      <c r="B981" t="s">
        <v>62</v>
      </c>
      <c r="C981" t="s">
        <v>63</v>
      </c>
      <c r="E981" t="str">
        <f>"FES1162745439"</f>
        <v>FES1162745439</v>
      </c>
      <c r="F981" s="1">
        <v>43945</v>
      </c>
      <c r="G981">
        <v>202010</v>
      </c>
      <c r="H981" t="s">
        <v>64</v>
      </c>
      <c r="I981" t="s">
        <v>65</v>
      </c>
      <c r="J981" t="s">
        <v>66</v>
      </c>
      <c r="K981" t="s">
        <v>67</v>
      </c>
      <c r="L981" t="s">
        <v>199</v>
      </c>
      <c r="M981" t="s">
        <v>200</v>
      </c>
      <c r="N981" t="s">
        <v>501</v>
      </c>
      <c r="O981" t="s">
        <v>69</v>
      </c>
      <c r="P981" t="str">
        <f>"2170736505                    "</f>
        <v xml:space="preserve">2170736505                    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4.84</v>
      </c>
      <c r="AN981">
        <v>0</v>
      </c>
      <c r="AO981">
        <v>0</v>
      </c>
      <c r="AP981">
        <v>0</v>
      </c>
      <c r="AQ981">
        <v>0</v>
      </c>
      <c r="AR981">
        <v>0</v>
      </c>
      <c r="AS981">
        <v>0</v>
      </c>
      <c r="AT981">
        <v>0</v>
      </c>
      <c r="AU981">
        <v>0</v>
      </c>
      <c r="AV981">
        <v>0</v>
      </c>
      <c r="AW981">
        <v>0</v>
      </c>
      <c r="AX981">
        <v>0</v>
      </c>
      <c r="AY981">
        <v>0</v>
      </c>
      <c r="AZ981">
        <v>0</v>
      </c>
      <c r="BA981">
        <v>0</v>
      </c>
      <c r="BB981">
        <v>0</v>
      </c>
      <c r="BG981">
        <v>0</v>
      </c>
      <c r="BH981">
        <v>1</v>
      </c>
      <c r="BI981">
        <v>1.5</v>
      </c>
      <c r="BJ981">
        <v>3.8</v>
      </c>
      <c r="BK981">
        <v>4</v>
      </c>
      <c r="BL981">
        <v>53.23</v>
      </c>
      <c r="BM981">
        <v>7.98</v>
      </c>
      <c r="BN981">
        <v>61.21</v>
      </c>
      <c r="BO981">
        <v>61.21</v>
      </c>
      <c r="BQ981" t="s">
        <v>70</v>
      </c>
      <c r="BR981" t="s">
        <v>71</v>
      </c>
      <c r="BS981" s="1">
        <v>43949</v>
      </c>
      <c r="BT981" s="2">
        <v>0.47986111111111113</v>
      </c>
      <c r="BU981" t="s">
        <v>665</v>
      </c>
      <c r="BV981" t="s">
        <v>80</v>
      </c>
      <c r="BY981">
        <v>18966.560000000001</v>
      </c>
      <c r="BZ981" t="s">
        <v>23</v>
      </c>
      <c r="CA981" t="s">
        <v>437</v>
      </c>
      <c r="CC981" t="s">
        <v>200</v>
      </c>
      <c r="CD981">
        <v>1559</v>
      </c>
      <c r="CE981" t="s">
        <v>381</v>
      </c>
      <c r="CF981" s="1">
        <v>43950</v>
      </c>
      <c r="CI981">
        <v>1</v>
      </c>
      <c r="CJ981">
        <v>2</v>
      </c>
      <c r="CK981">
        <v>22</v>
      </c>
      <c r="CL981" t="s">
        <v>74</v>
      </c>
    </row>
    <row r="982" spans="1:90" x14ac:dyDescent="0.25">
      <c r="A982" t="s">
        <v>61</v>
      </c>
      <c r="B982" t="s">
        <v>62</v>
      </c>
      <c r="C982" t="s">
        <v>63</v>
      </c>
      <c r="E982" t="str">
        <f>"FES1162745413"</f>
        <v>FES1162745413</v>
      </c>
      <c r="F982" s="1">
        <v>43945</v>
      </c>
      <c r="G982">
        <v>202010</v>
      </c>
      <c r="H982" t="s">
        <v>64</v>
      </c>
      <c r="I982" t="s">
        <v>65</v>
      </c>
      <c r="J982" t="s">
        <v>66</v>
      </c>
      <c r="K982" t="s">
        <v>67</v>
      </c>
      <c r="L982" t="s">
        <v>262</v>
      </c>
      <c r="M982" t="s">
        <v>262</v>
      </c>
      <c r="N982" t="s">
        <v>1087</v>
      </c>
      <c r="O982" t="s">
        <v>69</v>
      </c>
      <c r="P982" t="str">
        <f>"2170732676                    "</f>
        <v xml:space="preserve">2170732676                    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8.11</v>
      </c>
      <c r="AN982">
        <v>0</v>
      </c>
      <c r="AO982">
        <v>0</v>
      </c>
      <c r="AP982">
        <v>0</v>
      </c>
      <c r="AQ982">
        <v>0</v>
      </c>
      <c r="AR982">
        <v>0</v>
      </c>
      <c r="AS982">
        <v>0</v>
      </c>
      <c r="AT982">
        <v>0</v>
      </c>
      <c r="AU982">
        <v>0</v>
      </c>
      <c r="AV982">
        <v>0</v>
      </c>
      <c r="AW982">
        <v>0</v>
      </c>
      <c r="AX982">
        <v>0</v>
      </c>
      <c r="AY982">
        <v>0</v>
      </c>
      <c r="AZ982">
        <v>0</v>
      </c>
      <c r="BA982">
        <v>0</v>
      </c>
      <c r="BB982">
        <v>0</v>
      </c>
      <c r="BG982">
        <v>0</v>
      </c>
      <c r="BH982">
        <v>1</v>
      </c>
      <c r="BI982">
        <v>1.3</v>
      </c>
      <c r="BJ982">
        <v>1</v>
      </c>
      <c r="BK982">
        <v>1.5</v>
      </c>
      <c r="BL982">
        <v>89.23</v>
      </c>
      <c r="BM982">
        <v>13.38</v>
      </c>
      <c r="BN982">
        <v>102.61</v>
      </c>
      <c r="BO982">
        <v>102.61</v>
      </c>
      <c r="BQ982" t="s">
        <v>78</v>
      </c>
      <c r="BR982" t="s">
        <v>71</v>
      </c>
      <c r="BS982" s="1">
        <v>43949</v>
      </c>
      <c r="BT982" s="2">
        <v>0.4236111111111111</v>
      </c>
      <c r="BU982" t="s">
        <v>1088</v>
      </c>
      <c r="BV982" t="s">
        <v>80</v>
      </c>
      <c r="BY982">
        <v>4972.5</v>
      </c>
      <c r="BZ982" t="s">
        <v>23</v>
      </c>
      <c r="CA982" t="s">
        <v>266</v>
      </c>
      <c r="CC982" t="s">
        <v>262</v>
      </c>
      <c r="CD982">
        <v>7646</v>
      </c>
      <c r="CE982" t="s">
        <v>381</v>
      </c>
      <c r="CF982" s="1">
        <v>43950</v>
      </c>
      <c r="CI982">
        <v>1</v>
      </c>
      <c r="CJ982">
        <v>2</v>
      </c>
      <c r="CK982">
        <v>23</v>
      </c>
      <c r="CL982" t="s">
        <v>74</v>
      </c>
    </row>
    <row r="983" spans="1:90" x14ac:dyDescent="0.25">
      <c r="A983" t="s">
        <v>61</v>
      </c>
      <c r="B983" t="s">
        <v>62</v>
      </c>
      <c r="C983" t="s">
        <v>63</v>
      </c>
      <c r="E983" t="str">
        <f>"FES1162745432"</f>
        <v>FES1162745432</v>
      </c>
      <c r="F983" s="1">
        <v>43945</v>
      </c>
      <c r="G983">
        <v>202010</v>
      </c>
      <c r="H983" t="s">
        <v>64</v>
      </c>
      <c r="I983" t="s">
        <v>65</v>
      </c>
      <c r="J983" t="s">
        <v>66</v>
      </c>
      <c r="K983" t="s">
        <v>67</v>
      </c>
      <c r="L983" t="s">
        <v>64</v>
      </c>
      <c r="M983" t="s">
        <v>65</v>
      </c>
      <c r="N983" t="s">
        <v>812</v>
      </c>
      <c r="O983" t="s">
        <v>69</v>
      </c>
      <c r="P983" t="str">
        <f>"2170735279                    "</f>
        <v xml:space="preserve">2170735279                    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10.33</v>
      </c>
      <c r="AN983">
        <v>0</v>
      </c>
      <c r="AO983">
        <v>0</v>
      </c>
      <c r="AP983">
        <v>0</v>
      </c>
      <c r="AQ983">
        <v>0</v>
      </c>
      <c r="AR983">
        <v>0</v>
      </c>
      <c r="AS983">
        <v>0</v>
      </c>
      <c r="AT983">
        <v>0</v>
      </c>
      <c r="AU983">
        <v>0</v>
      </c>
      <c r="AV983">
        <v>0</v>
      </c>
      <c r="AW983">
        <v>0</v>
      </c>
      <c r="AX983">
        <v>0</v>
      </c>
      <c r="AY983">
        <v>0</v>
      </c>
      <c r="AZ983">
        <v>0</v>
      </c>
      <c r="BA983">
        <v>0</v>
      </c>
      <c r="BB983">
        <v>0</v>
      </c>
      <c r="BG983">
        <v>0</v>
      </c>
      <c r="BH983">
        <v>1</v>
      </c>
      <c r="BI983">
        <v>11</v>
      </c>
      <c r="BJ983">
        <v>3.2</v>
      </c>
      <c r="BK983">
        <v>11</v>
      </c>
      <c r="BL983">
        <v>113.6</v>
      </c>
      <c r="BM983">
        <v>17.04</v>
      </c>
      <c r="BN983">
        <v>130.63999999999999</v>
      </c>
      <c r="BO983">
        <v>130.63999999999999</v>
      </c>
      <c r="BQ983" t="s">
        <v>70</v>
      </c>
      <c r="BR983" t="s">
        <v>71</v>
      </c>
      <c r="BS983" s="1">
        <v>43949</v>
      </c>
      <c r="BT983" s="2">
        <v>0.34375</v>
      </c>
      <c r="BU983" t="s">
        <v>869</v>
      </c>
      <c r="BV983" t="s">
        <v>80</v>
      </c>
      <c r="BY983">
        <v>15938.64</v>
      </c>
      <c r="BZ983" t="s">
        <v>23</v>
      </c>
      <c r="CA983" t="s">
        <v>392</v>
      </c>
      <c r="CC983" t="s">
        <v>65</v>
      </c>
      <c r="CD983">
        <v>1609</v>
      </c>
      <c r="CE983" t="s">
        <v>381</v>
      </c>
      <c r="CF983" s="1">
        <v>43950</v>
      </c>
      <c r="CI983">
        <v>1</v>
      </c>
      <c r="CJ983">
        <v>2</v>
      </c>
      <c r="CK983">
        <v>22</v>
      </c>
      <c r="CL983" t="s">
        <v>74</v>
      </c>
    </row>
    <row r="984" spans="1:90" x14ac:dyDescent="0.25">
      <c r="A984" t="s">
        <v>61</v>
      </c>
      <c r="B984" t="s">
        <v>62</v>
      </c>
      <c r="C984" t="s">
        <v>63</v>
      </c>
      <c r="E984" t="str">
        <f>"FES1162745337"</f>
        <v>FES1162745337</v>
      </c>
      <c r="F984" s="1">
        <v>43945</v>
      </c>
      <c r="G984">
        <v>202010</v>
      </c>
      <c r="H984" t="s">
        <v>64</v>
      </c>
      <c r="I984" t="s">
        <v>65</v>
      </c>
      <c r="J984" t="s">
        <v>66</v>
      </c>
      <c r="K984" t="s">
        <v>67</v>
      </c>
      <c r="L984" t="s">
        <v>254</v>
      </c>
      <c r="M984" t="s">
        <v>255</v>
      </c>
      <c r="N984" t="s">
        <v>503</v>
      </c>
      <c r="O984" t="s">
        <v>69</v>
      </c>
      <c r="P984" t="str">
        <f>"2170735487                    "</f>
        <v xml:space="preserve">2170735487                    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6.28</v>
      </c>
      <c r="AN984">
        <v>0</v>
      </c>
      <c r="AO984">
        <v>0</v>
      </c>
      <c r="AP984">
        <v>0</v>
      </c>
      <c r="AQ984">
        <v>0</v>
      </c>
      <c r="AR984">
        <v>0</v>
      </c>
      <c r="AS984">
        <v>0</v>
      </c>
      <c r="AT984">
        <v>0</v>
      </c>
      <c r="AU984">
        <v>0</v>
      </c>
      <c r="AV984">
        <v>0</v>
      </c>
      <c r="AW984">
        <v>0</v>
      </c>
      <c r="AX984">
        <v>0</v>
      </c>
      <c r="AY984">
        <v>0</v>
      </c>
      <c r="AZ984">
        <v>0</v>
      </c>
      <c r="BA984">
        <v>0</v>
      </c>
      <c r="BB984">
        <v>0</v>
      </c>
      <c r="BG984">
        <v>0</v>
      </c>
      <c r="BH984">
        <v>1</v>
      </c>
      <c r="BI984">
        <v>3</v>
      </c>
      <c r="BJ984">
        <v>1.6</v>
      </c>
      <c r="BK984">
        <v>3</v>
      </c>
      <c r="BL984">
        <v>69.069999999999993</v>
      </c>
      <c r="BM984">
        <v>10.36</v>
      </c>
      <c r="BN984">
        <v>79.430000000000007</v>
      </c>
      <c r="BO984">
        <v>79.430000000000007</v>
      </c>
      <c r="BQ984" t="s">
        <v>78</v>
      </c>
      <c r="BR984" t="s">
        <v>71</v>
      </c>
      <c r="BS984" s="1">
        <v>43949</v>
      </c>
      <c r="BT984" s="2">
        <v>0.41319444444444442</v>
      </c>
      <c r="BU984" t="s">
        <v>717</v>
      </c>
      <c r="BV984" t="s">
        <v>80</v>
      </c>
      <c r="BY984">
        <v>8197.2000000000007</v>
      </c>
      <c r="BZ984" t="s">
        <v>23</v>
      </c>
      <c r="CA984" t="s">
        <v>542</v>
      </c>
      <c r="CC984" t="s">
        <v>255</v>
      </c>
      <c r="CD984">
        <v>183</v>
      </c>
      <c r="CE984" t="s">
        <v>381</v>
      </c>
      <c r="CF984" s="1">
        <v>43950</v>
      </c>
      <c r="CI984">
        <v>1</v>
      </c>
      <c r="CJ984">
        <v>2</v>
      </c>
      <c r="CK984">
        <v>21</v>
      </c>
      <c r="CL984" t="s">
        <v>74</v>
      </c>
    </row>
    <row r="985" spans="1:90" x14ac:dyDescent="0.25">
      <c r="A985" t="s">
        <v>61</v>
      </c>
      <c r="B985" t="s">
        <v>62</v>
      </c>
      <c r="C985" t="s">
        <v>63</v>
      </c>
      <c r="E985" t="str">
        <f>"FES1162745223"</f>
        <v>FES1162745223</v>
      </c>
      <c r="F985" s="1">
        <v>43945</v>
      </c>
      <c r="G985">
        <v>202010</v>
      </c>
      <c r="H985" t="s">
        <v>64</v>
      </c>
      <c r="I985" t="s">
        <v>65</v>
      </c>
      <c r="J985" t="s">
        <v>66</v>
      </c>
      <c r="K985" t="s">
        <v>67</v>
      </c>
      <c r="L985" t="s">
        <v>151</v>
      </c>
      <c r="M985" t="s">
        <v>152</v>
      </c>
      <c r="N985" t="s">
        <v>348</v>
      </c>
      <c r="O985" t="s">
        <v>69</v>
      </c>
      <c r="P985" t="str">
        <f>"2170736331                    "</f>
        <v xml:space="preserve">2170736331                    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29.29</v>
      </c>
      <c r="AN985">
        <v>0</v>
      </c>
      <c r="AO985">
        <v>0</v>
      </c>
      <c r="AP985">
        <v>0</v>
      </c>
      <c r="AQ985">
        <v>0</v>
      </c>
      <c r="AR985">
        <v>0</v>
      </c>
      <c r="AS985">
        <v>0</v>
      </c>
      <c r="AT985">
        <v>0</v>
      </c>
      <c r="AU985">
        <v>0</v>
      </c>
      <c r="AV985">
        <v>0</v>
      </c>
      <c r="AW985">
        <v>0</v>
      </c>
      <c r="AX985">
        <v>0</v>
      </c>
      <c r="AY985">
        <v>0</v>
      </c>
      <c r="AZ985">
        <v>0</v>
      </c>
      <c r="BA985">
        <v>0</v>
      </c>
      <c r="BB985">
        <v>0</v>
      </c>
      <c r="BG985">
        <v>0</v>
      </c>
      <c r="BH985">
        <v>1</v>
      </c>
      <c r="BI985">
        <v>14</v>
      </c>
      <c r="BJ985">
        <v>6.2</v>
      </c>
      <c r="BK985">
        <v>14</v>
      </c>
      <c r="BL985">
        <v>322.2</v>
      </c>
      <c r="BM985">
        <v>48.33</v>
      </c>
      <c r="BN985">
        <v>370.53</v>
      </c>
      <c r="BO985">
        <v>370.53</v>
      </c>
      <c r="BQ985" t="s">
        <v>78</v>
      </c>
      <c r="BR985" t="s">
        <v>71</v>
      </c>
      <c r="BS985" s="1">
        <v>43946</v>
      </c>
      <c r="BT985" s="2">
        <v>0.41666666666666669</v>
      </c>
      <c r="BU985" t="s">
        <v>950</v>
      </c>
      <c r="BV985" t="s">
        <v>80</v>
      </c>
      <c r="BY985">
        <v>31249.57</v>
      </c>
      <c r="BZ985" t="s">
        <v>23</v>
      </c>
      <c r="CC985" t="s">
        <v>152</v>
      </c>
      <c r="CD985">
        <v>3201</v>
      </c>
      <c r="CE985" t="s">
        <v>381</v>
      </c>
      <c r="CF985" s="1">
        <v>43949</v>
      </c>
      <c r="CI985">
        <v>1</v>
      </c>
      <c r="CJ985">
        <v>0</v>
      </c>
      <c r="CK985">
        <v>21</v>
      </c>
      <c r="CL985" t="s">
        <v>74</v>
      </c>
    </row>
    <row r="986" spans="1:90" x14ac:dyDescent="0.25">
      <c r="A986" t="s">
        <v>61</v>
      </c>
      <c r="B986" t="s">
        <v>62</v>
      </c>
      <c r="C986" t="s">
        <v>63</v>
      </c>
      <c r="E986" t="str">
        <f>"FES1162745424"</f>
        <v>FES1162745424</v>
      </c>
      <c r="F986" s="1">
        <v>43945</v>
      </c>
      <c r="G986">
        <v>202010</v>
      </c>
      <c r="H986" t="s">
        <v>64</v>
      </c>
      <c r="I986" t="s">
        <v>65</v>
      </c>
      <c r="J986" t="s">
        <v>66</v>
      </c>
      <c r="K986" t="s">
        <v>67</v>
      </c>
      <c r="L986" t="s">
        <v>168</v>
      </c>
      <c r="M986" t="s">
        <v>169</v>
      </c>
      <c r="N986" t="s">
        <v>170</v>
      </c>
      <c r="O986" t="s">
        <v>69</v>
      </c>
      <c r="P986" t="str">
        <f>"2170736569                    "</f>
        <v xml:space="preserve">2170736569                    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13.6</v>
      </c>
      <c r="AN986">
        <v>0</v>
      </c>
      <c r="AO986">
        <v>0</v>
      </c>
      <c r="AP986">
        <v>0</v>
      </c>
      <c r="AQ986">
        <v>0</v>
      </c>
      <c r="AR986">
        <v>0</v>
      </c>
      <c r="AS986">
        <v>0</v>
      </c>
      <c r="AT986">
        <v>0</v>
      </c>
      <c r="AU986">
        <v>0</v>
      </c>
      <c r="AV986">
        <v>0</v>
      </c>
      <c r="AW986">
        <v>0</v>
      </c>
      <c r="AX986">
        <v>0</v>
      </c>
      <c r="AY986">
        <v>0</v>
      </c>
      <c r="AZ986">
        <v>0</v>
      </c>
      <c r="BA986">
        <v>0</v>
      </c>
      <c r="BB986">
        <v>0</v>
      </c>
      <c r="BG986">
        <v>0</v>
      </c>
      <c r="BH986">
        <v>1</v>
      </c>
      <c r="BI986">
        <v>6.3</v>
      </c>
      <c r="BJ986">
        <v>3.6</v>
      </c>
      <c r="BK986">
        <v>6.5</v>
      </c>
      <c r="BL986">
        <v>149.61000000000001</v>
      </c>
      <c r="BM986">
        <v>22.44</v>
      </c>
      <c r="BN986">
        <v>172.05</v>
      </c>
      <c r="BO986">
        <v>172.05</v>
      </c>
      <c r="BQ986" t="s">
        <v>78</v>
      </c>
      <c r="BR986" t="s">
        <v>71</v>
      </c>
      <c r="BS986" s="1">
        <v>43949</v>
      </c>
      <c r="BT986" s="2">
        <v>0.59375</v>
      </c>
      <c r="BU986" t="s">
        <v>1089</v>
      </c>
      <c r="BV986" t="s">
        <v>74</v>
      </c>
      <c r="BW986" t="s">
        <v>85</v>
      </c>
      <c r="BX986" t="s">
        <v>128</v>
      </c>
      <c r="BY986">
        <v>17901.16</v>
      </c>
      <c r="BZ986" t="s">
        <v>23</v>
      </c>
      <c r="CA986" t="s">
        <v>811</v>
      </c>
      <c r="CC986" t="s">
        <v>169</v>
      </c>
      <c r="CD986">
        <v>4026</v>
      </c>
      <c r="CE986" t="s">
        <v>966</v>
      </c>
      <c r="CF986" s="1">
        <v>43950</v>
      </c>
      <c r="CI986">
        <v>1</v>
      </c>
      <c r="CJ986">
        <v>2</v>
      </c>
      <c r="CK986">
        <v>21</v>
      </c>
      <c r="CL986" t="s">
        <v>74</v>
      </c>
    </row>
    <row r="987" spans="1:90" x14ac:dyDescent="0.25">
      <c r="A987" t="s">
        <v>61</v>
      </c>
      <c r="B987" t="s">
        <v>62</v>
      </c>
      <c r="C987" t="s">
        <v>63</v>
      </c>
      <c r="E987" t="str">
        <f>"FES1162745401"</f>
        <v>FES1162745401</v>
      </c>
      <c r="F987" s="1">
        <v>43945</v>
      </c>
      <c r="G987">
        <v>202010</v>
      </c>
      <c r="H987" t="s">
        <v>64</v>
      </c>
      <c r="I987" t="s">
        <v>65</v>
      </c>
      <c r="J987" t="s">
        <v>66</v>
      </c>
      <c r="K987" t="s">
        <v>67</v>
      </c>
      <c r="L987" t="s">
        <v>895</v>
      </c>
      <c r="M987" t="s">
        <v>896</v>
      </c>
      <c r="N987" t="s">
        <v>1090</v>
      </c>
      <c r="O987" t="s">
        <v>69</v>
      </c>
      <c r="P987" t="str">
        <f>"2170735687                    "</f>
        <v xml:space="preserve">2170735687                    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8.11</v>
      </c>
      <c r="AN987">
        <v>0</v>
      </c>
      <c r="AO987">
        <v>0</v>
      </c>
      <c r="AP987">
        <v>0</v>
      </c>
      <c r="AQ987">
        <v>0</v>
      </c>
      <c r="AR987">
        <v>0</v>
      </c>
      <c r="AS987">
        <v>0</v>
      </c>
      <c r="AT987">
        <v>0</v>
      </c>
      <c r="AU987">
        <v>0</v>
      </c>
      <c r="AV987">
        <v>0</v>
      </c>
      <c r="AW987">
        <v>0</v>
      </c>
      <c r="AX987">
        <v>0</v>
      </c>
      <c r="AY987">
        <v>0</v>
      </c>
      <c r="AZ987">
        <v>0</v>
      </c>
      <c r="BA987">
        <v>0</v>
      </c>
      <c r="BB987">
        <v>0</v>
      </c>
      <c r="BG987">
        <v>0</v>
      </c>
      <c r="BH987">
        <v>1</v>
      </c>
      <c r="BI987">
        <v>1.3</v>
      </c>
      <c r="BJ987">
        <v>2</v>
      </c>
      <c r="BK987">
        <v>2</v>
      </c>
      <c r="BL987">
        <v>89.23</v>
      </c>
      <c r="BM987">
        <v>13.38</v>
      </c>
      <c r="BN987">
        <v>102.61</v>
      </c>
      <c r="BO987">
        <v>102.61</v>
      </c>
      <c r="BQ987" t="s">
        <v>78</v>
      </c>
      <c r="BR987" t="s">
        <v>71</v>
      </c>
      <c r="BS987" s="1">
        <v>43949</v>
      </c>
      <c r="BT987" s="2">
        <v>0.43888888888888888</v>
      </c>
      <c r="BU987" t="s">
        <v>1091</v>
      </c>
      <c r="BV987" t="s">
        <v>80</v>
      </c>
      <c r="BY987">
        <v>9897.07</v>
      </c>
      <c r="BZ987" t="s">
        <v>23</v>
      </c>
      <c r="CA987" t="s">
        <v>132</v>
      </c>
      <c r="CC987" t="s">
        <v>896</v>
      </c>
      <c r="CD987">
        <v>4170</v>
      </c>
      <c r="CE987" t="s">
        <v>966</v>
      </c>
      <c r="CF987" s="1">
        <v>43950</v>
      </c>
      <c r="CI987">
        <v>1</v>
      </c>
      <c r="CJ987">
        <v>2</v>
      </c>
      <c r="CK987">
        <v>23</v>
      </c>
      <c r="CL987" t="s">
        <v>74</v>
      </c>
    </row>
    <row r="988" spans="1:90" x14ac:dyDescent="0.25">
      <c r="A988" t="s">
        <v>61</v>
      </c>
      <c r="B988" t="s">
        <v>62</v>
      </c>
      <c r="C988" t="s">
        <v>63</v>
      </c>
      <c r="E988" t="str">
        <f>"FES1162745442"</f>
        <v>FES1162745442</v>
      </c>
      <c r="F988" s="1">
        <v>43945</v>
      </c>
      <c r="G988">
        <v>202010</v>
      </c>
      <c r="H988" t="s">
        <v>64</v>
      </c>
      <c r="I988" t="s">
        <v>65</v>
      </c>
      <c r="J988" t="s">
        <v>66</v>
      </c>
      <c r="K988" t="s">
        <v>67</v>
      </c>
      <c r="L988" t="s">
        <v>368</v>
      </c>
      <c r="M988" t="s">
        <v>369</v>
      </c>
      <c r="N988" t="s">
        <v>1092</v>
      </c>
      <c r="O988" t="s">
        <v>69</v>
      </c>
      <c r="P988" t="str">
        <f>"2170735613                    "</f>
        <v xml:space="preserve">2170735613                    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3.27</v>
      </c>
      <c r="AN988">
        <v>0</v>
      </c>
      <c r="AO988">
        <v>0</v>
      </c>
      <c r="AP988">
        <v>0</v>
      </c>
      <c r="AQ988">
        <v>0</v>
      </c>
      <c r="AR988">
        <v>0</v>
      </c>
      <c r="AS988">
        <v>0</v>
      </c>
      <c r="AT988">
        <v>0</v>
      </c>
      <c r="AU988">
        <v>0</v>
      </c>
      <c r="AV988">
        <v>0</v>
      </c>
      <c r="AW988">
        <v>0</v>
      </c>
      <c r="AX988">
        <v>0</v>
      </c>
      <c r="AY988">
        <v>0</v>
      </c>
      <c r="AZ988">
        <v>0</v>
      </c>
      <c r="BA988">
        <v>0</v>
      </c>
      <c r="BB988">
        <v>0</v>
      </c>
      <c r="BG988">
        <v>0</v>
      </c>
      <c r="BH988">
        <v>1</v>
      </c>
      <c r="BI988">
        <v>1.3</v>
      </c>
      <c r="BJ988">
        <v>1.8</v>
      </c>
      <c r="BK988">
        <v>2</v>
      </c>
      <c r="BL988">
        <v>35.979999999999997</v>
      </c>
      <c r="BM988">
        <v>5.4</v>
      </c>
      <c r="BN988">
        <v>41.38</v>
      </c>
      <c r="BO988">
        <v>41.38</v>
      </c>
      <c r="BQ988" t="s">
        <v>78</v>
      </c>
      <c r="BR988" t="s">
        <v>71</v>
      </c>
      <c r="BS988" s="1">
        <v>43951</v>
      </c>
      <c r="BT988" s="2">
        <v>0.51736111111111105</v>
      </c>
      <c r="BU988" t="s">
        <v>1093</v>
      </c>
      <c r="BV988" t="s">
        <v>74</v>
      </c>
      <c r="BW988" t="s">
        <v>258</v>
      </c>
      <c r="BX988" t="s">
        <v>838</v>
      </c>
      <c r="BY988">
        <v>9089.09</v>
      </c>
      <c r="BZ988" t="s">
        <v>23</v>
      </c>
      <c r="CA988" t="s">
        <v>428</v>
      </c>
      <c r="CC988" t="s">
        <v>369</v>
      </c>
      <c r="CD988">
        <v>1422</v>
      </c>
      <c r="CE988" t="s">
        <v>966</v>
      </c>
      <c r="CI988">
        <v>1</v>
      </c>
      <c r="CJ988">
        <v>4</v>
      </c>
      <c r="CK988">
        <v>22</v>
      </c>
      <c r="CL988" t="s">
        <v>74</v>
      </c>
    </row>
    <row r="989" spans="1:90" x14ac:dyDescent="0.25">
      <c r="A989" t="s">
        <v>61</v>
      </c>
      <c r="B989" t="s">
        <v>62</v>
      </c>
      <c r="C989" t="s">
        <v>63</v>
      </c>
      <c r="E989" t="str">
        <f>"FES1162745210"</f>
        <v>FES1162745210</v>
      </c>
      <c r="F989" s="1">
        <v>43945</v>
      </c>
      <c r="G989">
        <v>202010</v>
      </c>
      <c r="H989" t="s">
        <v>64</v>
      </c>
      <c r="I989" t="s">
        <v>65</v>
      </c>
      <c r="J989" t="s">
        <v>66</v>
      </c>
      <c r="K989" t="s">
        <v>67</v>
      </c>
      <c r="L989" t="s">
        <v>238</v>
      </c>
      <c r="M989" t="s">
        <v>239</v>
      </c>
      <c r="N989" t="s">
        <v>289</v>
      </c>
      <c r="O989" t="s">
        <v>69</v>
      </c>
      <c r="P989" t="str">
        <f>"2170736450                    "</f>
        <v xml:space="preserve">2170736450                    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5.23</v>
      </c>
      <c r="AN989">
        <v>0</v>
      </c>
      <c r="AO989">
        <v>0</v>
      </c>
      <c r="AP989">
        <v>0</v>
      </c>
      <c r="AQ989">
        <v>0</v>
      </c>
      <c r="AR989">
        <v>0</v>
      </c>
      <c r="AS989">
        <v>0</v>
      </c>
      <c r="AT989">
        <v>0</v>
      </c>
      <c r="AU989">
        <v>0</v>
      </c>
      <c r="AV989">
        <v>0</v>
      </c>
      <c r="AW989">
        <v>0</v>
      </c>
      <c r="AX989">
        <v>0</v>
      </c>
      <c r="AY989">
        <v>0</v>
      </c>
      <c r="AZ989">
        <v>0</v>
      </c>
      <c r="BA989">
        <v>0</v>
      </c>
      <c r="BB989">
        <v>0</v>
      </c>
      <c r="BG989">
        <v>0</v>
      </c>
      <c r="BH989">
        <v>1</v>
      </c>
      <c r="BI989">
        <v>2.4</v>
      </c>
      <c r="BJ989">
        <v>1.4</v>
      </c>
      <c r="BK989">
        <v>2.5</v>
      </c>
      <c r="BL989">
        <v>57.56</v>
      </c>
      <c r="BM989">
        <v>8.6300000000000008</v>
      </c>
      <c r="BN989">
        <v>66.19</v>
      </c>
      <c r="BO989">
        <v>66.19</v>
      </c>
      <c r="BQ989" t="s">
        <v>70</v>
      </c>
      <c r="BR989" t="s">
        <v>71</v>
      </c>
      <c r="BS989" s="1">
        <v>43949</v>
      </c>
      <c r="BT989" s="2">
        <v>0.41736111111111113</v>
      </c>
      <c r="BU989" t="s">
        <v>1094</v>
      </c>
      <c r="BV989" t="s">
        <v>80</v>
      </c>
      <c r="BY989">
        <v>7027.8</v>
      </c>
      <c r="BZ989" t="s">
        <v>23</v>
      </c>
      <c r="CA989" t="s">
        <v>242</v>
      </c>
      <c r="CC989" t="s">
        <v>239</v>
      </c>
      <c r="CD989">
        <v>5201</v>
      </c>
      <c r="CE989" t="s">
        <v>381</v>
      </c>
      <c r="CI989">
        <v>1</v>
      </c>
      <c r="CJ989">
        <v>2</v>
      </c>
      <c r="CK989">
        <v>21</v>
      </c>
      <c r="CL989" t="s">
        <v>74</v>
      </c>
    </row>
    <row r="990" spans="1:90" x14ac:dyDescent="0.25">
      <c r="A990" t="s">
        <v>61</v>
      </c>
      <c r="B990" t="s">
        <v>62</v>
      </c>
      <c r="C990" t="s">
        <v>63</v>
      </c>
      <c r="E990" t="str">
        <f>"FES1162745295"</f>
        <v>FES1162745295</v>
      </c>
      <c r="F990" s="1">
        <v>43945</v>
      </c>
      <c r="G990">
        <v>202010</v>
      </c>
      <c r="H990" t="s">
        <v>64</v>
      </c>
      <c r="I990" t="s">
        <v>65</v>
      </c>
      <c r="J990" t="s">
        <v>66</v>
      </c>
      <c r="K990" t="s">
        <v>67</v>
      </c>
      <c r="L990" t="s">
        <v>238</v>
      </c>
      <c r="M990" t="s">
        <v>239</v>
      </c>
      <c r="N990" t="s">
        <v>240</v>
      </c>
      <c r="O990" t="s">
        <v>69</v>
      </c>
      <c r="P990" t="str">
        <f>"2170736493                    "</f>
        <v xml:space="preserve">2170736493                    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4.1900000000000004</v>
      </c>
      <c r="AN990">
        <v>0</v>
      </c>
      <c r="AO990">
        <v>0</v>
      </c>
      <c r="AP990">
        <v>0</v>
      </c>
      <c r="AQ990">
        <v>0</v>
      </c>
      <c r="AR990">
        <v>0</v>
      </c>
      <c r="AS990">
        <v>0</v>
      </c>
      <c r="AT990">
        <v>0</v>
      </c>
      <c r="AU990">
        <v>0</v>
      </c>
      <c r="AV990">
        <v>0</v>
      </c>
      <c r="AW990">
        <v>0</v>
      </c>
      <c r="AX990">
        <v>0</v>
      </c>
      <c r="AY990">
        <v>0</v>
      </c>
      <c r="AZ990">
        <v>0</v>
      </c>
      <c r="BA990">
        <v>0</v>
      </c>
      <c r="BB990">
        <v>0</v>
      </c>
      <c r="BG990">
        <v>0</v>
      </c>
      <c r="BH990">
        <v>1</v>
      </c>
      <c r="BI990">
        <v>1</v>
      </c>
      <c r="BJ990">
        <v>2</v>
      </c>
      <c r="BK990">
        <v>2</v>
      </c>
      <c r="BL990">
        <v>46.06</v>
      </c>
      <c r="BM990">
        <v>6.91</v>
      </c>
      <c r="BN990">
        <v>52.97</v>
      </c>
      <c r="BO990">
        <v>52.97</v>
      </c>
      <c r="BQ990" t="s">
        <v>70</v>
      </c>
      <c r="BR990" t="s">
        <v>71</v>
      </c>
      <c r="BS990" s="1">
        <v>43949</v>
      </c>
      <c r="BT990" s="2">
        <v>0.41805555555555557</v>
      </c>
      <c r="BU990" t="s">
        <v>1095</v>
      </c>
      <c r="BV990" t="s">
        <v>80</v>
      </c>
      <c r="BY990">
        <v>10243.379999999999</v>
      </c>
      <c r="BZ990" t="s">
        <v>23</v>
      </c>
      <c r="CA990" t="s">
        <v>242</v>
      </c>
      <c r="CC990" t="s">
        <v>239</v>
      </c>
      <c r="CD990">
        <v>5200</v>
      </c>
      <c r="CE990" t="s">
        <v>966</v>
      </c>
      <c r="CI990">
        <v>1</v>
      </c>
      <c r="CJ990">
        <v>2</v>
      </c>
      <c r="CK990">
        <v>21</v>
      </c>
      <c r="CL990" t="s">
        <v>74</v>
      </c>
    </row>
    <row r="991" spans="1:90" x14ac:dyDescent="0.25">
      <c r="A991" t="s">
        <v>61</v>
      </c>
      <c r="B991" t="s">
        <v>62</v>
      </c>
      <c r="C991" t="s">
        <v>63</v>
      </c>
      <c r="E991" t="str">
        <f>"FES1162745459"</f>
        <v>FES1162745459</v>
      </c>
      <c r="F991" s="1">
        <v>43945</v>
      </c>
      <c r="G991">
        <v>202010</v>
      </c>
      <c r="H991" t="s">
        <v>64</v>
      </c>
      <c r="I991" t="s">
        <v>65</v>
      </c>
      <c r="J991" t="s">
        <v>66</v>
      </c>
      <c r="K991" t="s">
        <v>67</v>
      </c>
      <c r="L991" t="s">
        <v>64</v>
      </c>
      <c r="M991" t="s">
        <v>65</v>
      </c>
      <c r="N991" t="s">
        <v>820</v>
      </c>
      <c r="O991" t="s">
        <v>69</v>
      </c>
      <c r="P991" t="str">
        <f>"2170736543                    "</f>
        <v xml:space="preserve">2170736543                    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3.27</v>
      </c>
      <c r="AN991">
        <v>0</v>
      </c>
      <c r="AO991">
        <v>0</v>
      </c>
      <c r="AP991">
        <v>0</v>
      </c>
      <c r="AQ991">
        <v>0</v>
      </c>
      <c r="AR991">
        <v>0</v>
      </c>
      <c r="AS991">
        <v>0</v>
      </c>
      <c r="AT991">
        <v>0</v>
      </c>
      <c r="AU991">
        <v>0</v>
      </c>
      <c r="AV991">
        <v>0</v>
      </c>
      <c r="AW991">
        <v>0</v>
      </c>
      <c r="AX991">
        <v>0</v>
      </c>
      <c r="AY991">
        <v>0</v>
      </c>
      <c r="AZ991">
        <v>0</v>
      </c>
      <c r="BA991">
        <v>0</v>
      </c>
      <c r="BB991">
        <v>0</v>
      </c>
      <c r="BG991">
        <v>0</v>
      </c>
      <c r="BH991">
        <v>1</v>
      </c>
      <c r="BI991">
        <v>1</v>
      </c>
      <c r="BJ991">
        <v>1.4</v>
      </c>
      <c r="BK991">
        <v>1.5</v>
      </c>
      <c r="BL991">
        <v>35.979999999999997</v>
      </c>
      <c r="BM991">
        <v>5.4</v>
      </c>
      <c r="BN991">
        <v>41.38</v>
      </c>
      <c r="BO991">
        <v>41.38</v>
      </c>
      <c r="BQ991" t="s">
        <v>70</v>
      </c>
      <c r="BR991" t="s">
        <v>71</v>
      </c>
      <c r="BS991" s="1">
        <v>43949</v>
      </c>
      <c r="BT991" s="2">
        <v>0.37152777777777773</v>
      </c>
      <c r="BU991" t="s">
        <v>821</v>
      </c>
      <c r="BV991" t="s">
        <v>80</v>
      </c>
      <c r="BY991">
        <v>7170.6</v>
      </c>
      <c r="BZ991" t="s">
        <v>23</v>
      </c>
      <c r="CC991" t="s">
        <v>65</v>
      </c>
      <c r="CD991">
        <v>1619</v>
      </c>
      <c r="CE991" t="s">
        <v>966</v>
      </c>
      <c r="CF991" s="1">
        <v>43950</v>
      </c>
      <c r="CI991">
        <v>1</v>
      </c>
      <c r="CJ991">
        <v>2</v>
      </c>
      <c r="CK991">
        <v>22</v>
      </c>
      <c r="CL991" t="s">
        <v>74</v>
      </c>
    </row>
    <row r="992" spans="1:90" x14ac:dyDescent="0.25">
      <c r="A992" t="s">
        <v>61</v>
      </c>
      <c r="B992" t="s">
        <v>62</v>
      </c>
      <c r="C992" t="s">
        <v>63</v>
      </c>
      <c r="E992" t="str">
        <f>"FES1162745416"</f>
        <v>FES1162745416</v>
      </c>
      <c r="F992" s="1">
        <v>43945</v>
      </c>
      <c r="G992">
        <v>202010</v>
      </c>
      <c r="H992" t="s">
        <v>64</v>
      </c>
      <c r="I992" t="s">
        <v>65</v>
      </c>
      <c r="J992" t="s">
        <v>66</v>
      </c>
      <c r="K992" t="s">
        <v>67</v>
      </c>
      <c r="L992" t="s">
        <v>151</v>
      </c>
      <c r="M992" t="s">
        <v>152</v>
      </c>
      <c r="N992" t="s">
        <v>414</v>
      </c>
      <c r="O992" t="s">
        <v>69</v>
      </c>
      <c r="P992" t="str">
        <f>"2170734976                    "</f>
        <v xml:space="preserve">2170734976                    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39.75</v>
      </c>
      <c r="AN992">
        <v>0</v>
      </c>
      <c r="AO992">
        <v>0</v>
      </c>
      <c r="AP992">
        <v>0</v>
      </c>
      <c r="AQ992">
        <v>0</v>
      </c>
      <c r="AR992">
        <v>0</v>
      </c>
      <c r="AS992">
        <v>0</v>
      </c>
      <c r="AT992">
        <v>0</v>
      </c>
      <c r="AU992">
        <v>0</v>
      </c>
      <c r="AV992">
        <v>0</v>
      </c>
      <c r="AW992">
        <v>0</v>
      </c>
      <c r="AX992">
        <v>0</v>
      </c>
      <c r="AY992">
        <v>0</v>
      </c>
      <c r="AZ992">
        <v>0</v>
      </c>
      <c r="BA992">
        <v>0</v>
      </c>
      <c r="BB992">
        <v>0</v>
      </c>
      <c r="BG992">
        <v>0</v>
      </c>
      <c r="BH992">
        <v>1</v>
      </c>
      <c r="BI992">
        <v>19</v>
      </c>
      <c r="BJ992">
        <v>9.8000000000000007</v>
      </c>
      <c r="BK992">
        <v>19</v>
      </c>
      <c r="BL992">
        <v>437.26</v>
      </c>
      <c r="BM992">
        <v>65.59</v>
      </c>
      <c r="BN992">
        <v>502.85</v>
      </c>
      <c r="BO992">
        <v>502.85</v>
      </c>
      <c r="BQ992" t="s">
        <v>70</v>
      </c>
      <c r="BR992" t="s">
        <v>71</v>
      </c>
      <c r="BS992" s="1">
        <v>43949</v>
      </c>
      <c r="BT992" s="2">
        <v>0.5</v>
      </c>
      <c r="BU992" t="s">
        <v>987</v>
      </c>
      <c r="BV992" t="s">
        <v>74</v>
      </c>
      <c r="BY992">
        <v>48756.71</v>
      </c>
      <c r="BZ992" t="s">
        <v>23</v>
      </c>
      <c r="CC992" t="s">
        <v>152</v>
      </c>
      <c r="CD992">
        <v>3201</v>
      </c>
      <c r="CE992" t="s">
        <v>381</v>
      </c>
      <c r="CF992" s="1">
        <v>43951</v>
      </c>
      <c r="CI992">
        <v>1</v>
      </c>
      <c r="CJ992">
        <v>2</v>
      </c>
      <c r="CK992">
        <v>21</v>
      </c>
      <c r="CL992" t="s">
        <v>74</v>
      </c>
    </row>
    <row r="993" spans="1:90" x14ac:dyDescent="0.25">
      <c r="A993" t="s">
        <v>61</v>
      </c>
      <c r="B993" t="s">
        <v>62</v>
      </c>
      <c r="C993" t="s">
        <v>63</v>
      </c>
      <c r="E993" t="str">
        <f>"FES1162745511"</f>
        <v>FES1162745511</v>
      </c>
      <c r="F993" s="1">
        <v>43949</v>
      </c>
      <c r="G993">
        <v>202010</v>
      </c>
      <c r="H993" t="s">
        <v>64</v>
      </c>
      <c r="I993" t="s">
        <v>65</v>
      </c>
      <c r="J993" t="s">
        <v>66</v>
      </c>
      <c r="K993" t="s">
        <v>67</v>
      </c>
      <c r="L993" t="s">
        <v>158</v>
      </c>
      <c r="M993" t="s">
        <v>159</v>
      </c>
      <c r="N993" t="s">
        <v>160</v>
      </c>
      <c r="O993" t="s">
        <v>69</v>
      </c>
      <c r="P993" t="str">
        <f>"2170736650                    "</f>
        <v xml:space="preserve">2170736650                    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4.1900000000000004</v>
      </c>
      <c r="AN993">
        <v>0</v>
      </c>
      <c r="AO993">
        <v>0</v>
      </c>
      <c r="AP993">
        <v>0</v>
      </c>
      <c r="AQ993">
        <v>0</v>
      </c>
      <c r="AR993">
        <v>0</v>
      </c>
      <c r="AS993">
        <v>0</v>
      </c>
      <c r="AT993">
        <v>0</v>
      </c>
      <c r="AU993">
        <v>0</v>
      </c>
      <c r="AV993">
        <v>0</v>
      </c>
      <c r="AW993">
        <v>0</v>
      </c>
      <c r="AX993">
        <v>0</v>
      </c>
      <c r="AY993">
        <v>0</v>
      </c>
      <c r="AZ993">
        <v>0</v>
      </c>
      <c r="BA993">
        <v>0</v>
      </c>
      <c r="BB993">
        <v>0</v>
      </c>
      <c r="BG993">
        <v>0</v>
      </c>
      <c r="BH993">
        <v>1</v>
      </c>
      <c r="BI993">
        <v>1</v>
      </c>
      <c r="BJ993">
        <v>0.2</v>
      </c>
      <c r="BK993">
        <v>1</v>
      </c>
      <c r="BL993">
        <v>46.06</v>
      </c>
      <c r="BM993">
        <v>6.91</v>
      </c>
      <c r="BN993">
        <v>52.97</v>
      </c>
      <c r="BO993">
        <v>52.97</v>
      </c>
      <c r="BQ993" t="s">
        <v>70</v>
      </c>
      <c r="BR993" t="s">
        <v>71</v>
      </c>
      <c r="BS993" s="1">
        <v>43950</v>
      </c>
      <c r="BT993" s="2">
        <v>0.5</v>
      </c>
      <c r="BU993" t="s">
        <v>344</v>
      </c>
      <c r="BV993" t="s">
        <v>80</v>
      </c>
      <c r="BY993">
        <v>1200</v>
      </c>
      <c r="BZ993" t="s">
        <v>23</v>
      </c>
      <c r="CC993" t="s">
        <v>159</v>
      </c>
      <c r="CD993">
        <v>3290</v>
      </c>
      <c r="CE993" t="s">
        <v>966</v>
      </c>
      <c r="CF993" s="1">
        <v>43951</v>
      </c>
      <c r="CI993">
        <v>1</v>
      </c>
      <c r="CJ993">
        <v>1</v>
      </c>
      <c r="CK993">
        <v>21</v>
      </c>
      <c r="CL993" t="s">
        <v>74</v>
      </c>
    </row>
    <row r="994" spans="1:90" x14ac:dyDescent="0.25">
      <c r="A994" t="s">
        <v>61</v>
      </c>
      <c r="B994" t="s">
        <v>62</v>
      </c>
      <c r="C994" t="s">
        <v>63</v>
      </c>
      <c r="E994" t="str">
        <f>"FES1162745445"</f>
        <v>FES1162745445</v>
      </c>
      <c r="F994" s="1">
        <v>43945</v>
      </c>
      <c r="G994">
        <v>202010</v>
      </c>
      <c r="H994" t="s">
        <v>64</v>
      </c>
      <c r="I994" t="s">
        <v>65</v>
      </c>
      <c r="J994" t="s">
        <v>66</v>
      </c>
      <c r="K994" t="s">
        <v>67</v>
      </c>
      <c r="L994" t="s">
        <v>212</v>
      </c>
      <c r="M994" t="s">
        <v>213</v>
      </c>
      <c r="N994" t="s">
        <v>1096</v>
      </c>
      <c r="O994" t="s">
        <v>69</v>
      </c>
      <c r="P994" t="str">
        <f>"2170736517                    "</f>
        <v xml:space="preserve">2170736517                    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4.1900000000000004</v>
      </c>
      <c r="AN994">
        <v>0</v>
      </c>
      <c r="AO994">
        <v>0</v>
      </c>
      <c r="AP994">
        <v>0</v>
      </c>
      <c r="AQ994">
        <v>0</v>
      </c>
      <c r="AR994">
        <v>0</v>
      </c>
      <c r="AS994">
        <v>0</v>
      </c>
      <c r="AT994">
        <v>0</v>
      </c>
      <c r="AU994">
        <v>0</v>
      </c>
      <c r="AV994">
        <v>0</v>
      </c>
      <c r="AW994">
        <v>0</v>
      </c>
      <c r="AX994">
        <v>0</v>
      </c>
      <c r="AY994">
        <v>0</v>
      </c>
      <c r="AZ994">
        <v>0</v>
      </c>
      <c r="BA994">
        <v>0</v>
      </c>
      <c r="BB994">
        <v>0</v>
      </c>
      <c r="BG994">
        <v>0</v>
      </c>
      <c r="BH994">
        <v>1</v>
      </c>
      <c r="BI994">
        <v>1.1000000000000001</v>
      </c>
      <c r="BJ994">
        <v>2</v>
      </c>
      <c r="BK994">
        <v>2</v>
      </c>
      <c r="BL994">
        <v>46.06</v>
      </c>
      <c r="BM994">
        <v>6.91</v>
      </c>
      <c r="BN994">
        <v>52.97</v>
      </c>
      <c r="BO994">
        <v>52.97</v>
      </c>
      <c r="BQ994" t="s">
        <v>78</v>
      </c>
      <c r="BR994" t="s">
        <v>71</v>
      </c>
      <c r="BS994" s="1">
        <v>43949</v>
      </c>
      <c r="BT994" s="2">
        <v>0.40138888888888885</v>
      </c>
      <c r="BU994" t="s">
        <v>960</v>
      </c>
      <c r="BV994" t="s">
        <v>80</v>
      </c>
      <c r="BY994">
        <v>10082</v>
      </c>
      <c r="BZ994" t="s">
        <v>23</v>
      </c>
      <c r="CA994" t="s">
        <v>711</v>
      </c>
      <c r="CC994" t="s">
        <v>213</v>
      </c>
      <c r="CD994">
        <v>3608</v>
      </c>
      <c r="CE994" t="s">
        <v>966</v>
      </c>
      <c r="CF994" s="1">
        <v>43950</v>
      </c>
      <c r="CI994">
        <v>1</v>
      </c>
      <c r="CJ994">
        <v>2</v>
      </c>
      <c r="CK994">
        <v>21</v>
      </c>
      <c r="CL994" t="s">
        <v>74</v>
      </c>
    </row>
    <row r="995" spans="1:90" x14ac:dyDescent="0.25">
      <c r="A995" t="s">
        <v>61</v>
      </c>
      <c r="B995" t="s">
        <v>62</v>
      </c>
      <c r="C995" t="s">
        <v>63</v>
      </c>
      <c r="E995" t="str">
        <f>"FES1162745312"</f>
        <v>FES1162745312</v>
      </c>
      <c r="F995" s="1">
        <v>43945</v>
      </c>
      <c r="G995">
        <v>202010</v>
      </c>
      <c r="H995" t="s">
        <v>64</v>
      </c>
      <c r="I995" t="s">
        <v>65</v>
      </c>
      <c r="J995" t="s">
        <v>66</v>
      </c>
      <c r="K995" t="s">
        <v>67</v>
      </c>
      <c r="L995" t="s">
        <v>254</v>
      </c>
      <c r="M995" t="s">
        <v>255</v>
      </c>
      <c r="N995" t="s">
        <v>726</v>
      </c>
      <c r="O995" t="s">
        <v>69</v>
      </c>
      <c r="P995" t="str">
        <f>"2170735235                    "</f>
        <v xml:space="preserve">2170735235                    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4.1900000000000004</v>
      </c>
      <c r="AN995">
        <v>0</v>
      </c>
      <c r="AO995">
        <v>0</v>
      </c>
      <c r="AP995">
        <v>0</v>
      </c>
      <c r="AQ995">
        <v>0</v>
      </c>
      <c r="AR995">
        <v>0</v>
      </c>
      <c r="AS995">
        <v>0</v>
      </c>
      <c r="AT995">
        <v>0</v>
      </c>
      <c r="AU995">
        <v>0</v>
      </c>
      <c r="AV995">
        <v>0</v>
      </c>
      <c r="AW995">
        <v>0</v>
      </c>
      <c r="AX995">
        <v>0</v>
      </c>
      <c r="AY995">
        <v>0</v>
      </c>
      <c r="AZ995">
        <v>0</v>
      </c>
      <c r="BA995">
        <v>0</v>
      </c>
      <c r="BB995">
        <v>0</v>
      </c>
      <c r="BG995">
        <v>0</v>
      </c>
      <c r="BH995">
        <v>1</v>
      </c>
      <c r="BI995">
        <v>1</v>
      </c>
      <c r="BJ995">
        <v>0.9</v>
      </c>
      <c r="BK995">
        <v>1</v>
      </c>
      <c r="BL995">
        <v>46.06</v>
      </c>
      <c r="BM995">
        <v>6.91</v>
      </c>
      <c r="BN995">
        <v>52.97</v>
      </c>
      <c r="BO995">
        <v>52.97</v>
      </c>
      <c r="BQ995" t="s">
        <v>268</v>
      </c>
      <c r="BR995" t="s">
        <v>71</v>
      </c>
      <c r="BS995" s="1">
        <v>43949</v>
      </c>
      <c r="BT995" s="2">
        <v>0.47222222222222227</v>
      </c>
      <c r="BU995" t="s">
        <v>1097</v>
      </c>
      <c r="BV995" t="s">
        <v>80</v>
      </c>
      <c r="BY995">
        <v>4269.66</v>
      </c>
      <c r="BZ995" t="s">
        <v>23</v>
      </c>
      <c r="CA995" t="s">
        <v>1098</v>
      </c>
      <c r="CC995" t="s">
        <v>255</v>
      </c>
      <c r="CD995">
        <v>186</v>
      </c>
      <c r="CE995" t="s">
        <v>966</v>
      </c>
      <c r="CF995" s="1">
        <v>43951</v>
      </c>
      <c r="CI995">
        <v>1</v>
      </c>
      <c r="CJ995">
        <v>2</v>
      </c>
      <c r="CK995">
        <v>21</v>
      </c>
      <c r="CL995" t="s">
        <v>74</v>
      </c>
    </row>
    <row r="996" spans="1:90" x14ac:dyDescent="0.25">
      <c r="A996" t="s">
        <v>61</v>
      </c>
      <c r="B996" t="s">
        <v>62</v>
      </c>
      <c r="C996" t="s">
        <v>63</v>
      </c>
      <c r="E996" t="str">
        <f>"FES1162745455"</f>
        <v>FES1162745455</v>
      </c>
      <c r="F996" s="1">
        <v>43945</v>
      </c>
      <c r="G996">
        <v>202010</v>
      </c>
      <c r="H996" t="s">
        <v>64</v>
      </c>
      <c r="I996" t="s">
        <v>65</v>
      </c>
      <c r="J996" t="s">
        <v>66</v>
      </c>
      <c r="K996" t="s">
        <v>67</v>
      </c>
      <c r="L996" t="s">
        <v>262</v>
      </c>
      <c r="M996" t="s">
        <v>262</v>
      </c>
      <c r="N996" t="s">
        <v>545</v>
      </c>
      <c r="O996" t="s">
        <v>69</v>
      </c>
      <c r="P996" t="str">
        <f>"2170736607                    "</f>
        <v xml:space="preserve">2170736607                    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8.11</v>
      </c>
      <c r="AN996">
        <v>0</v>
      </c>
      <c r="AO996">
        <v>0</v>
      </c>
      <c r="AP996">
        <v>0</v>
      </c>
      <c r="AQ996">
        <v>0</v>
      </c>
      <c r="AR996">
        <v>0</v>
      </c>
      <c r="AS996">
        <v>0</v>
      </c>
      <c r="AT996">
        <v>0</v>
      </c>
      <c r="AU996">
        <v>0</v>
      </c>
      <c r="AV996">
        <v>0</v>
      </c>
      <c r="AW996">
        <v>0</v>
      </c>
      <c r="AX996">
        <v>0</v>
      </c>
      <c r="AY996">
        <v>0</v>
      </c>
      <c r="AZ996">
        <v>0</v>
      </c>
      <c r="BA996">
        <v>0</v>
      </c>
      <c r="BB996">
        <v>0</v>
      </c>
      <c r="BG996">
        <v>0</v>
      </c>
      <c r="BH996">
        <v>1</v>
      </c>
      <c r="BI996">
        <v>1.4</v>
      </c>
      <c r="BJ996">
        <v>0.7</v>
      </c>
      <c r="BK996">
        <v>1.5</v>
      </c>
      <c r="BL996">
        <v>89.23</v>
      </c>
      <c r="BM996">
        <v>13.38</v>
      </c>
      <c r="BN996">
        <v>102.61</v>
      </c>
      <c r="BO996">
        <v>102.61</v>
      </c>
      <c r="BQ996" t="s">
        <v>70</v>
      </c>
      <c r="BR996" t="s">
        <v>71</v>
      </c>
      <c r="BS996" s="1">
        <v>43949</v>
      </c>
      <c r="BT996" s="2">
        <v>0.44097222222222227</v>
      </c>
      <c r="BU996" t="s">
        <v>1099</v>
      </c>
      <c r="BV996" t="s">
        <v>80</v>
      </c>
      <c r="BY996">
        <v>3691.84</v>
      </c>
      <c r="BZ996" t="s">
        <v>23</v>
      </c>
      <c r="CC996" t="s">
        <v>262</v>
      </c>
      <c r="CD996">
        <v>7646</v>
      </c>
      <c r="CE996" t="s">
        <v>381</v>
      </c>
      <c r="CF996" s="1">
        <v>43950</v>
      </c>
      <c r="CI996">
        <v>1</v>
      </c>
      <c r="CJ996">
        <v>2</v>
      </c>
      <c r="CK996">
        <v>23</v>
      </c>
      <c r="CL996" t="s">
        <v>74</v>
      </c>
    </row>
    <row r="997" spans="1:90" x14ac:dyDescent="0.25">
      <c r="A997" t="s">
        <v>61</v>
      </c>
      <c r="B997" t="s">
        <v>62</v>
      </c>
      <c r="C997" t="s">
        <v>63</v>
      </c>
      <c r="E997" t="str">
        <f>"FES1162745426"</f>
        <v>FES1162745426</v>
      </c>
      <c r="F997" s="1">
        <v>43945</v>
      </c>
      <c r="G997">
        <v>202010</v>
      </c>
      <c r="H997" t="s">
        <v>64</v>
      </c>
      <c r="I997" t="s">
        <v>65</v>
      </c>
      <c r="J997" t="s">
        <v>66</v>
      </c>
      <c r="K997" t="s">
        <v>67</v>
      </c>
      <c r="L997" t="s">
        <v>120</v>
      </c>
      <c r="M997" t="s">
        <v>121</v>
      </c>
      <c r="N997" t="s">
        <v>247</v>
      </c>
      <c r="O997" t="s">
        <v>69</v>
      </c>
      <c r="P997" t="str">
        <f>"2170736572                    "</f>
        <v xml:space="preserve">2170736572                    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4.1900000000000004</v>
      </c>
      <c r="AN997">
        <v>0</v>
      </c>
      <c r="AO997">
        <v>0</v>
      </c>
      <c r="AP997">
        <v>0</v>
      </c>
      <c r="AQ997">
        <v>0</v>
      </c>
      <c r="AR997">
        <v>0</v>
      </c>
      <c r="AS997">
        <v>0</v>
      </c>
      <c r="AT997">
        <v>0</v>
      </c>
      <c r="AU997">
        <v>0</v>
      </c>
      <c r="AV997">
        <v>0</v>
      </c>
      <c r="AW997">
        <v>0</v>
      </c>
      <c r="AX997">
        <v>0</v>
      </c>
      <c r="AY997">
        <v>0</v>
      </c>
      <c r="AZ997">
        <v>0</v>
      </c>
      <c r="BA997">
        <v>0</v>
      </c>
      <c r="BB997">
        <v>0</v>
      </c>
      <c r="BG997">
        <v>0</v>
      </c>
      <c r="BH997">
        <v>1</v>
      </c>
      <c r="BI997">
        <v>1</v>
      </c>
      <c r="BJ997">
        <v>1</v>
      </c>
      <c r="BK997">
        <v>1</v>
      </c>
      <c r="BL997">
        <v>46.06</v>
      </c>
      <c r="BM997">
        <v>6.91</v>
      </c>
      <c r="BN997">
        <v>52.97</v>
      </c>
      <c r="BO997">
        <v>52.97</v>
      </c>
      <c r="BQ997" t="s">
        <v>248</v>
      </c>
      <c r="BR997" t="s">
        <v>71</v>
      </c>
      <c r="BS997" t="s">
        <v>72</v>
      </c>
      <c r="BY997">
        <v>4920.82</v>
      </c>
      <c r="BZ997" t="s">
        <v>23</v>
      </c>
      <c r="CC997" t="s">
        <v>121</v>
      </c>
      <c r="CD997">
        <v>4001</v>
      </c>
      <c r="CE997" t="s">
        <v>966</v>
      </c>
      <c r="CI997">
        <v>1</v>
      </c>
      <c r="CJ997" t="s">
        <v>72</v>
      </c>
      <c r="CK997">
        <v>21</v>
      </c>
      <c r="CL997" t="s">
        <v>74</v>
      </c>
    </row>
    <row r="998" spans="1:90" x14ac:dyDescent="0.25">
      <c r="A998" t="s">
        <v>61</v>
      </c>
      <c r="B998" t="s">
        <v>62</v>
      </c>
      <c r="C998" t="s">
        <v>63</v>
      </c>
      <c r="E998" t="str">
        <f>"FES1162745454"</f>
        <v>FES1162745454</v>
      </c>
      <c r="F998" s="1">
        <v>43945</v>
      </c>
      <c r="G998">
        <v>202010</v>
      </c>
      <c r="H998" t="s">
        <v>64</v>
      </c>
      <c r="I998" t="s">
        <v>65</v>
      </c>
      <c r="J998" t="s">
        <v>66</v>
      </c>
      <c r="K998" t="s">
        <v>67</v>
      </c>
      <c r="L998" t="s">
        <v>81</v>
      </c>
      <c r="M998" t="s">
        <v>82</v>
      </c>
      <c r="N998" t="s">
        <v>83</v>
      </c>
      <c r="O998" t="s">
        <v>69</v>
      </c>
      <c r="P998" t="str">
        <f>"2170736606                    "</f>
        <v xml:space="preserve">2170736606                    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4.1900000000000004</v>
      </c>
      <c r="AN998">
        <v>0</v>
      </c>
      <c r="AO998">
        <v>0</v>
      </c>
      <c r="AP998">
        <v>0</v>
      </c>
      <c r="AQ998">
        <v>0</v>
      </c>
      <c r="AR998">
        <v>0</v>
      </c>
      <c r="AS998">
        <v>0</v>
      </c>
      <c r="AT998">
        <v>0</v>
      </c>
      <c r="AU998">
        <v>0</v>
      </c>
      <c r="AV998">
        <v>0</v>
      </c>
      <c r="AW998">
        <v>0</v>
      </c>
      <c r="AX998">
        <v>0</v>
      </c>
      <c r="AY998">
        <v>0</v>
      </c>
      <c r="AZ998">
        <v>0</v>
      </c>
      <c r="BA998">
        <v>0</v>
      </c>
      <c r="BB998">
        <v>0</v>
      </c>
      <c r="BG998">
        <v>0</v>
      </c>
      <c r="BH998">
        <v>1</v>
      </c>
      <c r="BI998">
        <v>1</v>
      </c>
      <c r="BJ998">
        <v>2</v>
      </c>
      <c r="BK998">
        <v>2</v>
      </c>
      <c r="BL998">
        <v>46.06</v>
      </c>
      <c r="BM998">
        <v>6.91</v>
      </c>
      <c r="BN998">
        <v>52.97</v>
      </c>
      <c r="BO998">
        <v>52.97</v>
      </c>
      <c r="BQ998" t="s">
        <v>78</v>
      </c>
      <c r="BR998" t="s">
        <v>71</v>
      </c>
      <c r="BS998" s="1">
        <v>43950</v>
      </c>
      <c r="BT998" s="2">
        <v>0.41666666666666669</v>
      </c>
      <c r="BU998" t="s">
        <v>589</v>
      </c>
      <c r="BV998" t="s">
        <v>74</v>
      </c>
      <c r="BY998">
        <v>9909.5</v>
      </c>
      <c r="BZ998" t="s">
        <v>23</v>
      </c>
      <c r="CC998" t="s">
        <v>82</v>
      </c>
      <c r="CD998">
        <v>9300</v>
      </c>
      <c r="CE998" t="s">
        <v>966</v>
      </c>
      <c r="CI998">
        <v>1</v>
      </c>
      <c r="CJ998">
        <v>3</v>
      </c>
      <c r="CK998">
        <v>21</v>
      </c>
      <c r="CL998" t="s">
        <v>74</v>
      </c>
    </row>
    <row r="999" spans="1:90" x14ac:dyDescent="0.25">
      <c r="A999" t="s">
        <v>61</v>
      </c>
      <c r="B999" t="s">
        <v>62</v>
      </c>
      <c r="C999" t="s">
        <v>63</v>
      </c>
      <c r="E999" t="str">
        <f>"FES1162745225"</f>
        <v>FES1162745225</v>
      </c>
      <c r="F999" s="1">
        <v>43945</v>
      </c>
      <c r="G999">
        <v>202010</v>
      </c>
      <c r="H999" t="s">
        <v>64</v>
      </c>
      <c r="I999" t="s">
        <v>65</v>
      </c>
      <c r="J999" t="s">
        <v>66</v>
      </c>
      <c r="K999" t="s">
        <v>67</v>
      </c>
      <c r="L999" t="s">
        <v>120</v>
      </c>
      <c r="M999" t="s">
        <v>121</v>
      </c>
      <c r="N999" t="s">
        <v>671</v>
      </c>
      <c r="O999" t="s">
        <v>69</v>
      </c>
      <c r="P999" t="str">
        <f>"2170736396                    "</f>
        <v xml:space="preserve">2170736396                    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33.479999999999997</v>
      </c>
      <c r="AN999">
        <v>0</v>
      </c>
      <c r="AO999">
        <v>0</v>
      </c>
      <c r="AP999">
        <v>0</v>
      </c>
      <c r="AQ999">
        <v>0</v>
      </c>
      <c r="AR999">
        <v>0</v>
      </c>
      <c r="AS999">
        <v>0</v>
      </c>
      <c r="AT999">
        <v>0</v>
      </c>
      <c r="AU999">
        <v>0</v>
      </c>
      <c r="AV999">
        <v>0</v>
      </c>
      <c r="AW999">
        <v>0</v>
      </c>
      <c r="AX999">
        <v>0</v>
      </c>
      <c r="AY999">
        <v>0</v>
      </c>
      <c r="AZ999">
        <v>0</v>
      </c>
      <c r="BA999">
        <v>0</v>
      </c>
      <c r="BB999">
        <v>0</v>
      </c>
      <c r="BG999">
        <v>0</v>
      </c>
      <c r="BH999">
        <v>1</v>
      </c>
      <c r="BI999">
        <v>16</v>
      </c>
      <c r="BJ999">
        <v>8.4</v>
      </c>
      <c r="BK999">
        <v>16</v>
      </c>
      <c r="BL999">
        <v>368.23</v>
      </c>
      <c r="BM999">
        <v>55.23</v>
      </c>
      <c r="BN999">
        <v>423.46</v>
      </c>
      <c r="BO999">
        <v>423.46</v>
      </c>
      <c r="BQ999" t="s">
        <v>676</v>
      </c>
      <c r="BR999" t="s">
        <v>71</v>
      </c>
      <c r="BS999" s="1">
        <v>43949</v>
      </c>
      <c r="BT999" s="2">
        <v>0.59722222222222221</v>
      </c>
      <c r="BU999" t="s">
        <v>1100</v>
      </c>
      <c r="BV999" t="s">
        <v>74</v>
      </c>
      <c r="BW999" t="s">
        <v>85</v>
      </c>
      <c r="BX999" t="s">
        <v>128</v>
      </c>
      <c r="BY999">
        <v>41855.620000000003</v>
      </c>
      <c r="BZ999" t="s">
        <v>23</v>
      </c>
      <c r="CA999" t="s">
        <v>811</v>
      </c>
      <c r="CC999" t="s">
        <v>121</v>
      </c>
      <c r="CD999">
        <v>4052</v>
      </c>
      <c r="CE999" t="s">
        <v>381</v>
      </c>
      <c r="CF999" s="1">
        <v>43950</v>
      </c>
      <c r="CI999">
        <v>1</v>
      </c>
      <c r="CJ999">
        <v>2</v>
      </c>
      <c r="CK999">
        <v>21</v>
      </c>
      <c r="CL999" t="s">
        <v>74</v>
      </c>
    </row>
    <row r="1000" spans="1:90" x14ac:dyDescent="0.25">
      <c r="A1000" t="s">
        <v>61</v>
      </c>
      <c r="B1000" t="s">
        <v>62</v>
      </c>
      <c r="C1000" t="s">
        <v>63</v>
      </c>
      <c r="E1000" t="str">
        <f>"FES1162745073"</f>
        <v>FES1162745073</v>
      </c>
      <c r="F1000" s="1">
        <v>43945</v>
      </c>
      <c r="G1000">
        <v>202010</v>
      </c>
      <c r="H1000" t="s">
        <v>64</v>
      </c>
      <c r="I1000" t="s">
        <v>65</v>
      </c>
      <c r="J1000" t="s">
        <v>66</v>
      </c>
      <c r="K1000" t="s">
        <v>67</v>
      </c>
      <c r="L1000" t="s">
        <v>64</v>
      </c>
      <c r="M1000" t="s">
        <v>65</v>
      </c>
      <c r="N1000" t="s">
        <v>1101</v>
      </c>
      <c r="O1000" t="s">
        <v>69</v>
      </c>
      <c r="P1000" t="str">
        <f>"2170734985                    "</f>
        <v xml:space="preserve">2170734985                    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3.27</v>
      </c>
      <c r="AN1000">
        <v>0</v>
      </c>
      <c r="AO1000">
        <v>0</v>
      </c>
      <c r="AP1000">
        <v>0</v>
      </c>
      <c r="AQ1000">
        <v>0</v>
      </c>
      <c r="AR1000">
        <v>0</v>
      </c>
      <c r="AS1000">
        <v>0</v>
      </c>
      <c r="AT1000">
        <v>0</v>
      </c>
      <c r="AU1000">
        <v>0</v>
      </c>
      <c r="AV1000">
        <v>0</v>
      </c>
      <c r="AW1000">
        <v>0</v>
      </c>
      <c r="AX1000">
        <v>0</v>
      </c>
      <c r="AY1000">
        <v>0</v>
      </c>
      <c r="AZ1000">
        <v>0</v>
      </c>
      <c r="BA1000">
        <v>0</v>
      </c>
      <c r="BB1000">
        <v>0</v>
      </c>
      <c r="BG1000">
        <v>0</v>
      </c>
      <c r="BH1000">
        <v>1</v>
      </c>
      <c r="BI1000">
        <v>1</v>
      </c>
      <c r="BJ1000">
        <v>0.9</v>
      </c>
      <c r="BK1000">
        <v>1</v>
      </c>
      <c r="BL1000">
        <v>35.979999999999997</v>
      </c>
      <c r="BM1000">
        <v>5.4</v>
      </c>
      <c r="BN1000">
        <v>41.38</v>
      </c>
      <c r="BO1000">
        <v>41.38</v>
      </c>
      <c r="BQ1000" t="s">
        <v>78</v>
      </c>
      <c r="BR1000" t="s">
        <v>71</v>
      </c>
      <c r="BS1000" s="1">
        <v>43949</v>
      </c>
      <c r="BT1000" s="2">
        <v>0.33333333333333331</v>
      </c>
      <c r="BU1000" t="s">
        <v>1102</v>
      </c>
      <c r="BV1000" t="s">
        <v>80</v>
      </c>
      <c r="BY1000">
        <v>4353.22</v>
      </c>
      <c r="BZ1000" t="s">
        <v>23</v>
      </c>
      <c r="CC1000" t="s">
        <v>65</v>
      </c>
      <c r="CD1000">
        <v>1600</v>
      </c>
      <c r="CE1000" t="s">
        <v>966</v>
      </c>
      <c r="CF1000" s="1">
        <v>43950</v>
      </c>
      <c r="CI1000">
        <v>1</v>
      </c>
      <c r="CJ1000">
        <v>2</v>
      </c>
      <c r="CK1000">
        <v>22</v>
      </c>
      <c r="CL1000" t="s">
        <v>74</v>
      </c>
    </row>
    <row r="1001" spans="1:90" x14ac:dyDescent="0.25">
      <c r="A1001" t="s">
        <v>61</v>
      </c>
      <c r="B1001" t="s">
        <v>62</v>
      </c>
      <c r="C1001" t="s">
        <v>63</v>
      </c>
      <c r="E1001" t="str">
        <f>"FES1162745385"</f>
        <v>FES1162745385</v>
      </c>
      <c r="F1001" s="1">
        <v>43945</v>
      </c>
      <c r="G1001">
        <v>202010</v>
      </c>
      <c r="H1001" t="s">
        <v>64</v>
      </c>
      <c r="I1001" t="s">
        <v>65</v>
      </c>
      <c r="J1001" t="s">
        <v>66</v>
      </c>
      <c r="K1001" t="s">
        <v>67</v>
      </c>
      <c r="L1001" t="s">
        <v>368</v>
      </c>
      <c r="M1001" t="s">
        <v>369</v>
      </c>
      <c r="N1001" t="s">
        <v>916</v>
      </c>
      <c r="O1001" t="s">
        <v>69</v>
      </c>
      <c r="P1001" t="str">
        <f>"2170736535                    "</f>
        <v xml:space="preserve">2170736535                    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7.58</v>
      </c>
      <c r="AN1001">
        <v>0</v>
      </c>
      <c r="AO1001">
        <v>0</v>
      </c>
      <c r="AP1001">
        <v>0</v>
      </c>
      <c r="AQ1001">
        <v>0</v>
      </c>
      <c r="AR1001">
        <v>0</v>
      </c>
      <c r="AS1001">
        <v>0</v>
      </c>
      <c r="AT1001">
        <v>0</v>
      </c>
      <c r="AU1001">
        <v>0</v>
      </c>
      <c r="AV1001">
        <v>0</v>
      </c>
      <c r="AW1001">
        <v>0</v>
      </c>
      <c r="AX1001">
        <v>0</v>
      </c>
      <c r="AY1001">
        <v>0</v>
      </c>
      <c r="AZ1001">
        <v>0</v>
      </c>
      <c r="BA1001">
        <v>0</v>
      </c>
      <c r="BB1001">
        <v>0</v>
      </c>
      <c r="BG1001">
        <v>0</v>
      </c>
      <c r="BH1001">
        <v>1</v>
      </c>
      <c r="BI1001">
        <v>3.7</v>
      </c>
      <c r="BJ1001">
        <v>7.1</v>
      </c>
      <c r="BK1001">
        <v>7.5</v>
      </c>
      <c r="BL1001">
        <v>83.41</v>
      </c>
      <c r="BM1001">
        <v>12.51</v>
      </c>
      <c r="BN1001">
        <v>95.92</v>
      </c>
      <c r="BO1001">
        <v>95.92</v>
      </c>
      <c r="BQ1001" t="s">
        <v>78</v>
      </c>
      <c r="BR1001" t="s">
        <v>71</v>
      </c>
      <c r="BS1001" s="1">
        <v>43949</v>
      </c>
      <c r="BT1001" s="2">
        <v>0.39652777777777781</v>
      </c>
      <c r="BU1001" t="s">
        <v>1103</v>
      </c>
      <c r="BV1001" t="s">
        <v>80</v>
      </c>
      <c r="BY1001">
        <v>35323.370000000003</v>
      </c>
      <c r="BZ1001" t="s">
        <v>23</v>
      </c>
      <c r="CA1001" t="s">
        <v>428</v>
      </c>
      <c r="CC1001" t="s">
        <v>369</v>
      </c>
      <c r="CD1001">
        <v>1401</v>
      </c>
      <c r="CE1001" t="s">
        <v>381</v>
      </c>
      <c r="CF1001" s="1">
        <v>43950</v>
      </c>
      <c r="CI1001">
        <v>1</v>
      </c>
      <c r="CJ1001">
        <v>2</v>
      </c>
      <c r="CK1001">
        <v>22</v>
      </c>
      <c r="CL1001" t="s">
        <v>74</v>
      </c>
    </row>
    <row r="1002" spans="1:90" x14ac:dyDescent="0.25">
      <c r="A1002" t="s">
        <v>61</v>
      </c>
      <c r="B1002" t="s">
        <v>62</v>
      </c>
      <c r="C1002" t="s">
        <v>63</v>
      </c>
      <c r="E1002" t="str">
        <f>"FES1162745498"</f>
        <v>FES1162745498</v>
      </c>
      <c r="F1002" s="1">
        <v>43949</v>
      </c>
      <c r="G1002">
        <v>202010</v>
      </c>
      <c r="H1002" t="s">
        <v>64</v>
      </c>
      <c r="I1002" t="s">
        <v>65</v>
      </c>
      <c r="J1002" t="s">
        <v>66</v>
      </c>
      <c r="K1002" t="s">
        <v>67</v>
      </c>
      <c r="L1002" t="s">
        <v>194</v>
      </c>
      <c r="M1002" t="s">
        <v>195</v>
      </c>
      <c r="N1002" t="s">
        <v>196</v>
      </c>
      <c r="O1002" t="s">
        <v>69</v>
      </c>
      <c r="P1002" t="str">
        <f>"2170736641                    "</f>
        <v xml:space="preserve">2170736641                    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8.11</v>
      </c>
      <c r="AN1002">
        <v>0</v>
      </c>
      <c r="AO1002">
        <v>0</v>
      </c>
      <c r="AP1002">
        <v>0</v>
      </c>
      <c r="AQ1002">
        <v>0</v>
      </c>
      <c r="AR1002">
        <v>0</v>
      </c>
      <c r="AS1002">
        <v>0</v>
      </c>
      <c r="AT1002">
        <v>0</v>
      </c>
      <c r="AU1002">
        <v>0</v>
      </c>
      <c r="AV1002">
        <v>0</v>
      </c>
      <c r="AW1002">
        <v>0</v>
      </c>
      <c r="AX1002">
        <v>0</v>
      </c>
      <c r="AY1002">
        <v>0</v>
      </c>
      <c r="AZ1002">
        <v>0</v>
      </c>
      <c r="BA1002">
        <v>0</v>
      </c>
      <c r="BB1002">
        <v>0</v>
      </c>
      <c r="BG1002">
        <v>0</v>
      </c>
      <c r="BH1002">
        <v>1</v>
      </c>
      <c r="BI1002">
        <v>1.6</v>
      </c>
      <c r="BJ1002">
        <v>1.1000000000000001</v>
      </c>
      <c r="BK1002">
        <v>2</v>
      </c>
      <c r="BL1002">
        <v>89.23</v>
      </c>
      <c r="BM1002">
        <v>13.38</v>
      </c>
      <c r="BN1002">
        <v>102.61</v>
      </c>
      <c r="BO1002">
        <v>102.61</v>
      </c>
      <c r="BQ1002" t="s">
        <v>70</v>
      </c>
      <c r="BR1002" t="s">
        <v>71</v>
      </c>
      <c r="BS1002" s="1">
        <v>43950</v>
      </c>
      <c r="BT1002" s="2">
        <v>0.39583333333333331</v>
      </c>
      <c r="BU1002" t="s">
        <v>197</v>
      </c>
      <c r="BV1002" t="s">
        <v>80</v>
      </c>
      <c r="BY1002">
        <v>5301.14</v>
      </c>
      <c r="BZ1002" t="s">
        <v>23</v>
      </c>
      <c r="CA1002" t="s">
        <v>1104</v>
      </c>
      <c r="CC1002" t="s">
        <v>195</v>
      </c>
      <c r="CD1002">
        <v>9880</v>
      </c>
      <c r="CE1002" t="s">
        <v>381</v>
      </c>
      <c r="CF1002" s="1">
        <v>43952</v>
      </c>
      <c r="CI1002">
        <v>1</v>
      </c>
      <c r="CJ1002">
        <v>1</v>
      </c>
      <c r="CK1002">
        <v>23</v>
      </c>
      <c r="CL1002" t="s">
        <v>74</v>
      </c>
    </row>
    <row r="1003" spans="1:90" x14ac:dyDescent="0.25">
      <c r="A1003" t="s">
        <v>61</v>
      </c>
      <c r="B1003" t="s">
        <v>62</v>
      </c>
      <c r="C1003" t="s">
        <v>63</v>
      </c>
      <c r="E1003" t="str">
        <f>"FES1162745245"</f>
        <v>FES1162745245</v>
      </c>
      <c r="F1003" s="1">
        <v>43945</v>
      </c>
      <c r="G1003">
        <v>202010</v>
      </c>
      <c r="H1003" t="s">
        <v>64</v>
      </c>
      <c r="I1003" t="s">
        <v>65</v>
      </c>
      <c r="J1003" t="s">
        <v>66</v>
      </c>
      <c r="K1003" t="s">
        <v>67</v>
      </c>
      <c r="L1003" t="s">
        <v>199</v>
      </c>
      <c r="M1003" t="s">
        <v>200</v>
      </c>
      <c r="N1003" t="s">
        <v>501</v>
      </c>
      <c r="O1003" t="s">
        <v>69</v>
      </c>
      <c r="P1003" t="str">
        <f>"2170736332                    "</f>
        <v xml:space="preserve">2170736332                    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4.45</v>
      </c>
      <c r="AN1003">
        <v>0</v>
      </c>
      <c r="AO1003">
        <v>0</v>
      </c>
      <c r="AP1003">
        <v>0</v>
      </c>
      <c r="AQ1003">
        <v>0</v>
      </c>
      <c r="AR1003">
        <v>0</v>
      </c>
      <c r="AS1003">
        <v>0</v>
      </c>
      <c r="AT1003">
        <v>0</v>
      </c>
      <c r="AU1003">
        <v>0</v>
      </c>
      <c r="AV1003">
        <v>0</v>
      </c>
      <c r="AW1003">
        <v>0</v>
      </c>
      <c r="AX1003">
        <v>0</v>
      </c>
      <c r="AY1003">
        <v>0</v>
      </c>
      <c r="AZ1003">
        <v>0</v>
      </c>
      <c r="BA1003">
        <v>0</v>
      </c>
      <c r="BB1003">
        <v>0</v>
      </c>
      <c r="BG1003">
        <v>0</v>
      </c>
      <c r="BH1003">
        <v>1</v>
      </c>
      <c r="BI1003">
        <v>2.2000000000000002</v>
      </c>
      <c r="BJ1003">
        <v>3.1</v>
      </c>
      <c r="BK1003">
        <v>3.5</v>
      </c>
      <c r="BL1003">
        <v>48.92</v>
      </c>
      <c r="BM1003">
        <v>7.34</v>
      </c>
      <c r="BN1003">
        <v>56.26</v>
      </c>
      <c r="BO1003">
        <v>56.26</v>
      </c>
      <c r="BQ1003" t="s">
        <v>70</v>
      </c>
      <c r="BR1003" t="s">
        <v>71</v>
      </c>
      <c r="BS1003" s="1">
        <v>43949</v>
      </c>
      <c r="BT1003" s="2">
        <v>0.47986111111111113</v>
      </c>
      <c r="BU1003" t="s">
        <v>665</v>
      </c>
      <c r="BV1003" t="s">
        <v>80</v>
      </c>
      <c r="BY1003">
        <v>15432.56</v>
      </c>
      <c r="BZ1003" t="s">
        <v>23</v>
      </c>
      <c r="CA1003" t="s">
        <v>437</v>
      </c>
      <c r="CC1003" t="s">
        <v>200</v>
      </c>
      <c r="CD1003">
        <v>1559</v>
      </c>
      <c r="CE1003" t="s">
        <v>381</v>
      </c>
      <c r="CF1003" s="1">
        <v>43950</v>
      </c>
      <c r="CI1003">
        <v>1</v>
      </c>
      <c r="CJ1003">
        <v>2</v>
      </c>
      <c r="CK1003">
        <v>22</v>
      </c>
      <c r="CL1003" t="s">
        <v>74</v>
      </c>
    </row>
    <row r="1004" spans="1:90" x14ac:dyDescent="0.25">
      <c r="A1004" t="s">
        <v>61</v>
      </c>
      <c r="B1004" t="s">
        <v>62</v>
      </c>
      <c r="C1004" t="s">
        <v>63</v>
      </c>
      <c r="E1004" t="str">
        <f>"FES1162745440"</f>
        <v>FES1162745440</v>
      </c>
      <c r="F1004" s="1">
        <v>43945</v>
      </c>
      <c r="G1004">
        <v>202010</v>
      </c>
      <c r="H1004" t="s">
        <v>64</v>
      </c>
      <c r="I1004" t="s">
        <v>65</v>
      </c>
      <c r="J1004" t="s">
        <v>66</v>
      </c>
      <c r="K1004" t="s">
        <v>67</v>
      </c>
      <c r="L1004" t="s">
        <v>422</v>
      </c>
      <c r="M1004" t="s">
        <v>423</v>
      </c>
      <c r="N1004" t="s">
        <v>1105</v>
      </c>
      <c r="O1004" t="s">
        <v>69</v>
      </c>
      <c r="P1004" t="str">
        <f>"2170736591                    "</f>
        <v xml:space="preserve">2170736591                    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0</v>
      </c>
      <c r="AM1004">
        <v>20.23</v>
      </c>
      <c r="AN1004">
        <v>0</v>
      </c>
      <c r="AO1004">
        <v>0</v>
      </c>
      <c r="AP1004">
        <v>0</v>
      </c>
      <c r="AQ1004">
        <v>0</v>
      </c>
      <c r="AR1004">
        <v>0</v>
      </c>
      <c r="AS1004">
        <v>0</v>
      </c>
      <c r="AT1004">
        <v>0</v>
      </c>
      <c r="AU1004">
        <v>0</v>
      </c>
      <c r="AV1004">
        <v>0</v>
      </c>
      <c r="AW1004">
        <v>0</v>
      </c>
      <c r="AX1004">
        <v>0</v>
      </c>
      <c r="AY1004">
        <v>0</v>
      </c>
      <c r="AZ1004">
        <v>0</v>
      </c>
      <c r="BA1004">
        <v>0</v>
      </c>
      <c r="BB1004">
        <v>0</v>
      </c>
      <c r="BG1004">
        <v>0</v>
      </c>
      <c r="BH1004">
        <v>1</v>
      </c>
      <c r="BI1004">
        <v>7</v>
      </c>
      <c r="BJ1004">
        <v>0.9</v>
      </c>
      <c r="BK1004">
        <v>7</v>
      </c>
      <c r="BL1004">
        <v>222.51</v>
      </c>
      <c r="BM1004">
        <v>33.380000000000003</v>
      </c>
      <c r="BN1004">
        <v>255.89</v>
      </c>
      <c r="BO1004">
        <v>255.89</v>
      </c>
      <c r="BQ1004" t="s">
        <v>70</v>
      </c>
      <c r="BR1004" t="s">
        <v>71</v>
      </c>
      <c r="BS1004" s="1">
        <v>43949</v>
      </c>
      <c r="BT1004" s="2">
        <v>0.33333333333333331</v>
      </c>
      <c r="BU1004" t="s">
        <v>1106</v>
      </c>
      <c r="BV1004" t="s">
        <v>80</v>
      </c>
      <c r="BY1004">
        <v>4749.43</v>
      </c>
      <c r="BZ1004" t="s">
        <v>23</v>
      </c>
      <c r="CA1004" t="s">
        <v>183</v>
      </c>
      <c r="CC1004" t="s">
        <v>423</v>
      </c>
      <c r="CD1004">
        <v>1739</v>
      </c>
      <c r="CE1004" t="s">
        <v>381</v>
      </c>
      <c r="CF1004" s="1">
        <v>43950</v>
      </c>
      <c r="CI1004">
        <v>1</v>
      </c>
      <c r="CJ1004">
        <v>2</v>
      </c>
      <c r="CK1004">
        <v>24</v>
      </c>
      <c r="CL1004" t="s">
        <v>74</v>
      </c>
    </row>
    <row r="1005" spans="1:90" x14ac:dyDescent="0.25">
      <c r="A1005" t="s">
        <v>61</v>
      </c>
      <c r="B1005" t="s">
        <v>62</v>
      </c>
      <c r="C1005" t="s">
        <v>63</v>
      </c>
      <c r="E1005" t="str">
        <f>"FES1162745393"</f>
        <v>FES1162745393</v>
      </c>
      <c r="F1005" s="1">
        <v>43945</v>
      </c>
      <c r="G1005">
        <v>202010</v>
      </c>
      <c r="H1005" t="s">
        <v>64</v>
      </c>
      <c r="I1005" t="s">
        <v>65</v>
      </c>
      <c r="J1005" t="s">
        <v>66</v>
      </c>
      <c r="K1005" t="s">
        <v>67</v>
      </c>
      <c r="L1005" t="s">
        <v>75</v>
      </c>
      <c r="M1005" t="s">
        <v>76</v>
      </c>
      <c r="N1005" t="s">
        <v>1107</v>
      </c>
      <c r="O1005" t="s">
        <v>69</v>
      </c>
      <c r="P1005" t="str">
        <f>"2170736544                    "</f>
        <v xml:space="preserve">2170736544                    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0</v>
      </c>
      <c r="AM1005">
        <v>6.02</v>
      </c>
      <c r="AN1005">
        <v>0</v>
      </c>
      <c r="AO1005">
        <v>0</v>
      </c>
      <c r="AP1005">
        <v>0</v>
      </c>
      <c r="AQ1005">
        <v>0</v>
      </c>
      <c r="AR1005">
        <v>0</v>
      </c>
      <c r="AS1005">
        <v>0</v>
      </c>
      <c r="AT1005">
        <v>0</v>
      </c>
      <c r="AU1005">
        <v>0</v>
      </c>
      <c r="AV1005">
        <v>0</v>
      </c>
      <c r="AW1005">
        <v>0</v>
      </c>
      <c r="AX1005">
        <v>0</v>
      </c>
      <c r="AY1005">
        <v>0</v>
      </c>
      <c r="AZ1005">
        <v>0</v>
      </c>
      <c r="BA1005">
        <v>0</v>
      </c>
      <c r="BB1005">
        <v>0</v>
      </c>
      <c r="BG1005">
        <v>0</v>
      </c>
      <c r="BH1005">
        <v>1</v>
      </c>
      <c r="BI1005">
        <v>4</v>
      </c>
      <c r="BJ1005">
        <v>5.4</v>
      </c>
      <c r="BK1005">
        <v>5.5</v>
      </c>
      <c r="BL1005">
        <v>66.17</v>
      </c>
      <c r="BM1005">
        <v>9.93</v>
      </c>
      <c r="BN1005">
        <v>76.099999999999994</v>
      </c>
      <c r="BO1005">
        <v>76.099999999999994</v>
      </c>
      <c r="BQ1005" t="s">
        <v>70</v>
      </c>
      <c r="BR1005" t="s">
        <v>71</v>
      </c>
      <c r="BS1005" s="1">
        <v>43949</v>
      </c>
      <c r="BT1005" s="2">
        <v>0.33333333333333331</v>
      </c>
      <c r="BU1005" t="s">
        <v>1108</v>
      </c>
      <c r="BV1005" t="s">
        <v>80</v>
      </c>
      <c r="BY1005">
        <v>26998.89</v>
      </c>
      <c r="BZ1005" t="s">
        <v>23</v>
      </c>
      <c r="CC1005" t="s">
        <v>76</v>
      </c>
      <c r="CD1005">
        <v>1459</v>
      </c>
      <c r="CE1005" t="s">
        <v>381</v>
      </c>
      <c r="CF1005" s="1">
        <v>43950</v>
      </c>
      <c r="CI1005">
        <v>1</v>
      </c>
      <c r="CJ1005">
        <v>2</v>
      </c>
      <c r="CK1005">
        <v>22</v>
      </c>
      <c r="CL1005" t="s">
        <v>74</v>
      </c>
    </row>
    <row r="1006" spans="1:90" x14ac:dyDescent="0.25">
      <c r="A1006" t="s">
        <v>61</v>
      </c>
      <c r="B1006" t="s">
        <v>62</v>
      </c>
      <c r="C1006" t="s">
        <v>63</v>
      </c>
      <c r="E1006" t="str">
        <f>"FES1162745430"</f>
        <v>FES1162745430</v>
      </c>
      <c r="F1006" s="1">
        <v>43945</v>
      </c>
      <c r="G1006">
        <v>202010</v>
      </c>
      <c r="H1006" t="s">
        <v>64</v>
      </c>
      <c r="I1006" t="s">
        <v>65</v>
      </c>
      <c r="J1006" t="s">
        <v>66</v>
      </c>
      <c r="K1006" t="s">
        <v>67</v>
      </c>
      <c r="L1006" t="s">
        <v>92</v>
      </c>
      <c r="M1006" t="s">
        <v>93</v>
      </c>
      <c r="N1006" t="s">
        <v>536</v>
      </c>
      <c r="O1006" t="s">
        <v>69</v>
      </c>
      <c r="P1006" t="str">
        <f>"2170736583                    "</f>
        <v xml:space="preserve">2170736583                    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0</v>
      </c>
      <c r="AM1006">
        <v>23.02</v>
      </c>
      <c r="AN1006">
        <v>0</v>
      </c>
      <c r="AO1006">
        <v>0</v>
      </c>
      <c r="AP1006">
        <v>0</v>
      </c>
      <c r="AQ1006">
        <v>0</v>
      </c>
      <c r="AR1006">
        <v>0</v>
      </c>
      <c r="AS1006">
        <v>0</v>
      </c>
      <c r="AT1006">
        <v>0</v>
      </c>
      <c r="AU1006">
        <v>0</v>
      </c>
      <c r="AV1006">
        <v>0</v>
      </c>
      <c r="AW1006">
        <v>0</v>
      </c>
      <c r="AX1006">
        <v>0</v>
      </c>
      <c r="AY1006">
        <v>0</v>
      </c>
      <c r="AZ1006">
        <v>0</v>
      </c>
      <c r="BA1006">
        <v>0</v>
      </c>
      <c r="BB1006">
        <v>0</v>
      </c>
      <c r="BG1006">
        <v>0</v>
      </c>
      <c r="BH1006">
        <v>3</v>
      </c>
      <c r="BI1006">
        <v>10</v>
      </c>
      <c r="BJ1006">
        <v>10.9</v>
      </c>
      <c r="BK1006">
        <v>11</v>
      </c>
      <c r="BL1006">
        <v>253.17</v>
      </c>
      <c r="BM1006">
        <v>37.979999999999997</v>
      </c>
      <c r="BN1006">
        <v>291.14999999999998</v>
      </c>
      <c r="BO1006">
        <v>291.14999999999998</v>
      </c>
      <c r="BQ1006" t="s">
        <v>78</v>
      </c>
      <c r="BR1006" t="s">
        <v>71</v>
      </c>
      <c r="BS1006" s="1">
        <v>43949</v>
      </c>
      <c r="BT1006" s="2">
        <v>0.5180555555555556</v>
      </c>
      <c r="BU1006" t="s">
        <v>1109</v>
      </c>
      <c r="BV1006" t="s">
        <v>80</v>
      </c>
      <c r="BY1006">
        <v>54367.92</v>
      </c>
      <c r="BZ1006" t="s">
        <v>23</v>
      </c>
      <c r="CA1006" t="s">
        <v>538</v>
      </c>
      <c r="CC1006" t="s">
        <v>93</v>
      </c>
      <c r="CD1006">
        <v>7975</v>
      </c>
      <c r="CE1006" t="s">
        <v>1110</v>
      </c>
      <c r="CF1006" s="1">
        <v>43950</v>
      </c>
      <c r="CI1006">
        <v>1</v>
      </c>
      <c r="CJ1006">
        <v>2</v>
      </c>
      <c r="CK1006">
        <v>21</v>
      </c>
      <c r="CL1006" t="s">
        <v>74</v>
      </c>
    </row>
    <row r="1007" spans="1:90" x14ac:dyDescent="0.25">
      <c r="A1007" t="s">
        <v>61</v>
      </c>
      <c r="B1007" t="s">
        <v>62</v>
      </c>
      <c r="C1007" t="s">
        <v>63</v>
      </c>
      <c r="E1007" t="str">
        <f>"FES1162745092"</f>
        <v>FES1162745092</v>
      </c>
      <c r="F1007" s="1">
        <v>43945</v>
      </c>
      <c r="G1007">
        <v>202010</v>
      </c>
      <c r="H1007" t="s">
        <v>64</v>
      </c>
      <c r="I1007" t="s">
        <v>65</v>
      </c>
      <c r="J1007" t="s">
        <v>66</v>
      </c>
      <c r="K1007" t="s">
        <v>67</v>
      </c>
      <c r="L1007" t="s">
        <v>120</v>
      </c>
      <c r="M1007" t="s">
        <v>121</v>
      </c>
      <c r="N1007" t="s">
        <v>206</v>
      </c>
      <c r="O1007" t="s">
        <v>69</v>
      </c>
      <c r="P1007" t="str">
        <f>"2170736305                    "</f>
        <v xml:space="preserve">2170736305                    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32.43</v>
      </c>
      <c r="AN1007">
        <v>0</v>
      </c>
      <c r="AO1007">
        <v>0</v>
      </c>
      <c r="AP1007">
        <v>0</v>
      </c>
      <c r="AQ1007">
        <v>0</v>
      </c>
      <c r="AR1007">
        <v>0</v>
      </c>
      <c r="AS1007">
        <v>0</v>
      </c>
      <c r="AT1007">
        <v>0</v>
      </c>
      <c r="AU1007">
        <v>0</v>
      </c>
      <c r="AV1007">
        <v>0</v>
      </c>
      <c r="AW1007">
        <v>0</v>
      </c>
      <c r="AX1007">
        <v>0</v>
      </c>
      <c r="AY1007">
        <v>0</v>
      </c>
      <c r="AZ1007">
        <v>0</v>
      </c>
      <c r="BA1007">
        <v>0</v>
      </c>
      <c r="BB1007">
        <v>0</v>
      </c>
      <c r="BG1007">
        <v>0</v>
      </c>
      <c r="BH1007">
        <v>1</v>
      </c>
      <c r="BI1007">
        <v>9</v>
      </c>
      <c r="BJ1007">
        <v>15.3</v>
      </c>
      <c r="BK1007">
        <v>15.5</v>
      </c>
      <c r="BL1007">
        <v>356.72</v>
      </c>
      <c r="BM1007">
        <v>53.51</v>
      </c>
      <c r="BN1007">
        <v>410.23</v>
      </c>
      <c r="BO1007">
        <v>410.23</v>
      </c>
      <c r="BQ1007" t="s">
        <v>78</v>
      </c>
      <c r="BR1007" t="s">
        <v>71</v>
      </c>
      <c r="BS1007" s="1">
        <v>43949</v>
      </c>
      <c r="BT1007" s="2">
        <v>0.4597222222222222</v>
      </c>
      <c r="BU1007" t="s">
        <v>995</v>
      </c>
      <c r="BV1007" t="s">
        <v>74</v>
      </c>
      <c r="BW1007" t="s">
        <v>85</v>
      </c>
      <c r="BX1007" t="s">
        <v>128</v>
      </c>
      <c r="BY1007">
        <v>76407.7</v>
      </c>
      <c r="BZ1007" t="s">
        <v>23</v>
      </c>
      <c r="CA1007" t="s">
        <v>627</v>
      </c>
      <c r="CC1007" t="s">
        <v>121</v>
      </c>
      <c r="CD1007">
        <v>4094</v>
      </c>
      <c r="CE1007" t="s">
        <v>381</v>
      </c>
      <c r="CF1007" s="1">
        <v>43950</v>
      </c>
      <c r="CI1007">
        <v>1</v>
      </c>
      <c r="CJ1007">
        <v>2</v>
      </c>
      <c r="CK1007">
        <v>21</v>
      </c>
      <c r="CL1007" t="s">
        <v>74</v>
      </c>
    </row>
    <row r="1008" spans="1:90" x14ac:dyDescent="0.25">
      <c r="A1008" t="s">
        <v>61</v>
      </c>
      <c r="B1008" t="s">
        <v>62</v>
      </c>
      <c r="C1008" t="s">
        <v>63</v>
      </c>
      <c r="E1008" t="str">
        <f>"FES1162745351"</f>
        <v>FES1162745351</v>
      </c>
      <c r="F1008" s="1">
        <v>43945</v>
      </c>
      <c r="G1008">
        <v>202010</v>
      </c>
      <c r="H1008" t="s">
        <v>64</v>
      </c>
      <c r="I1008" t="s">
        <v>65</v>
      </c>
      <c r="J1008" t="s">
        <v>66</v>
      </c>
      <c r="K1008" t="s">
        <v>67</v>
      </c>
      <c r="L1008" t="s">
        <v>368</v>
      </c>
      <c r="M1008" t="s">
        <v>369</v>
      </c>
      <c r="N1008" t="s">
        <v>599</v>
      </c>
      <c r="O1008" t="s">
        <v>69</v>
      </c>
      <c r="P1008" t="str">
        <f>"2170735608                    "</f>
        <v xml:space="preserve">2170735608                    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3.27</v>
      </c>
      <c r="AN1008">
        <v>0</v>
      </c>
      <c r="AO1008">
        <v>0</v>
      </c>
      <c r="AP1008">
        <v>0</v>
      </c>
      <c r="AQ1008">
        <v>0</v>
      </c>
      <c r="AR1008">
        <v>0</v>
      </c>
      <c r="AS1008">
        <v>0</v>
      </c>
      <c r="AT1008">
        <v>0</v>
      </c>
      <c r="AU1008">
        <v>0</v>
      </c>
      <c r="AV1008">
        <v>0</v>
      </c>
      <c r="AW1008">
        <v>0</v>
      </c>
      <c r="AX1008">
        <v>0</v>
      </c>
      <c r="AY1008">
        <v>0</v>
      </c>
      <c r="AZ1008">
        <v>0</v>
      </c>
      <c r="BA1008">
        <v>0</v>
      </c>
      <c r="BB1008">
        <v>0</v>
      </c>
      <c r="BG1008">
        <v>0</v>
      </c>
      <c r="BH1008">
        <v>1</v>
      </c>
      <c r="BI1008">
        <v>1</v>
      </c>
      <c r="BJ1008">
        <v>2</v>
      </c>
      <c r="BK1008">
        <v>2</v>
      </c>
      <c r="BL1008">
        <v>35.979999999999997</v>
      </c>
      <c r="BM1008">
        <v>5.4</v>
      </c>
      <c r="BN1008">
        <v>41.38</v>
      </c>
      <c r="BO1008">
        <v>41.38</v>
      </c>
      <c r="BQ1008" t="s">
        <v>78</v>
      </c>
      <c r="BR1008" t="s">
        <v>71</v>
      </c>
      <c r="BS1008" s="1">
        <v>43949</v>
      </c>
      <c r="BT1008" s="2">
        <v>0.44930555555555557</v>
      </c>
      <c r="BU1008" t="s">
        <v>1111</v>
      </c>
      <c r="BV1008" t="s">
        <v>74</v>
      </c>
      <c r="BW1008" t="s">
        <v>85</v>
      </c>
      <c r="BX1008" t="s">
        <v>606</v>
      </c>
      <c r="BY1008">
        <v>10047.07</v>
      </c>
      <c r="BZ1008" t="s">
        <v>23</v>
      </c>
      <c r="CA1008" t="s">
        <v>428</v>
      </c>
      <c r="CC1008" t="s">
        <v>369</v>
      </c>
      <c r="CD1008">
        <v>1422</v>
      </c>
      <c r="CE1008" t="s">
        <v>966</v>
      </c>
      <c r="CF1008" s="1">
        <v>43950</v>
      </c>
      <c r="CI1008">
        <v>1</v>
      </c>
      <c r="CJ1008">
        <v>2</v>
      </c>
      <c r="CK1008">
        <v>22</v>
      </c>
      <c r="CL1008" t="s">
        <v>74</v>
      </c>
    </row>
    <row r="1009" spans="1:90" x14ac:dyDescent="0.25">
      <c r="A1009" t="s">
        <v>61</v>
      </c>
      <c r="B1009" t="s">
        <v>62</v>
      </c>
      <c r="C1009" t="s">
        <v>63</v>
      </c>
      <c r="E1009" t="str">
        <f>"FES1162745417"</f>
        <v>FES1162745417</v>
      </c>
      <c r="F1009" s="1">
        <v>43945</v>
      </c>
      <c r="G1009">
        <v>202010</v>
      </c>
      <c r="H1009" t="s">
        <v>64</v>
      </c>
      <c r="I1009" t="s">
        <v>65</v>
      </c>
      <c r="J1009" t="s">
        <v>66</v>
      </c>
      <c r="K1009" t="s">
        <v>67</v>
      </c>
      <c r="L1009" t="s">
        <v>684</v>
      </c>
      <c r="M1009" t="s">
        <v>685</v>
      </c>
      <c r="N1009" t="s">
        <v>686</v>
      </c>
      <c r="O1009" t="s">
        <v>69</v>
      </c>
      <c r="P1009" t="str">
        <f>"2170736162                    "</f>
        <v xml:space="preserve">2170736162                    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0</v>
      </c>
      <c r="AM1009">
        <v>4.1900000000000004</v>
      </c>
      <c r="AN1009">
        <v>0</v>
      </c>
      <c r="AO1009">
        <v>0</v>
      </c>
      <c r="AP1009">
        <v>0</v>
      </c>
      <c r="AQ1009">
        <v>0</v>
      </c>
      <c r="AR1009">
        <v>0</v>
      </c>
      <c r="AS1009">
        <v>0</v>
      </c>
      <c r="AT1009">
        <v>0</v>
      </c>
      <c r="AU1009">
        <v>0</v>
      </c>
      <c r="AV1009">
        <v>0</v>
      </c>
      <c r="AW1009">
        <v>0</v>
      </c>
      <c r="AX1009">
        <v>0</v>
      </c>
      <c r="AY1009">
        <v>0</v>
      </c>
      <c r="AZ1009">
        <v>0</v>
      </c>
      <c r="BA1009">
        <v>0</v>
      </c>
      <c r="BB1009">
        <v>0</v>
      </c>
      <c r="BG1009">
        <v>0</v>
      </c>
      <c r="BH1009">
        <v>2</v>
      </c>
      <c r="BI1009">
        <v>1.2</v>
      </c>
      <c r="BJ1009">
        <v>2</v>
      </c>
      <c r="BK1009">
        <v>2</v>
      </c>
      <c r="BL1009">
        <v>46.06</v>
      </c>
      <c r="BM1009">
        <v>6.91</v>
      </c>
      <c r="BN1009">
        <v>52.97</v>
      </c>
      <c r="BO1009">
        <v>52.97</v>
      </c>
      <c r="BQ1009" t="s">
        <v>78</v>
      </c>
      <c r="BR1009" t="s">
        <v>71</v>
      </c>
      <c r="BS1009" s="1">
        <v>43949</v>
      </c>
      <c r="BT1009" s="2">
        <v>0.64930555555555558</v>
      </c>
      <c r="BU1009" t="s">
        <v>1112</v>
      </c>
      <c r="BV1009" t="s">
        <v>74</v>
      </c>
      <c r="BW1009" t="s">
        <v>85</v>
      </c>
      <c r="BX1009" t="s">
        <v>128</v>
      </c>
      <c r="BY1009">
        <v>9780.02</v>
      </c>
      <c r="BZ1009" t="s">
        <v>23</v>
      </c>
      <c r="CA1009" t="s">
        <v>699</v>
      </c>
      <c r="CC1009" t="s">
        <v>685</v>
      </c>
      <c r="CD1009">
        <v>4113</v>
      </c>
      <c r="CE1009" t="s">
        <v>1113</v>
      </c>
      <c r="CF1009" s="1">
        <v>43950</v>
      </c>
      <c r="CI1009">
        <v>1</v>
      </c>
      <c r="CJ1009">
        <v>2</v>
      </c>
      <c r="CK1009">
        <v>21</v>
      </c>
      <c r="CL1009" t="s">
        <v>74</v>
      </c>
    </row>
    <row r="1010" spans="1:90" x14ac:dyDescent="0.25">
      <c r="A1010" t="s">
        <v>61</v>
      </c>
      <c r="B1010" t="s">
        <v>62</v>
      </c>
      <c r="C1010" t="s">
        <v>63</v>
      </c>
      <c r="E1010" t="str">
        <f>"FES1162745260"</f>
        <v>FES1162745260</v>
      </c>
      <c r="F1010" s="1">
        <v>43945</v>
      </c>
      <c r="G1010">
        <v>202010</v>
      </c>
      <c r="H1010" t="s">
        <v>64</v>
      </c>
      <c r="I1010" t="s">
        <v>65</v>
      </c>
      <c r="J1010" t="s">
        <v>66</v>
      </c>
      <c r="K1010" t="s">
        <v>67</v>
      </c>
      <c r="L1010" t="s">
        <v>75</v>
      </c>
      <c r="M1010" t="s">
        <v>76</v>
      </c>
      <c r="N1010" t="s">
        <v>435</v>
      </c>
      <c r="O1010" t="s">
        <v>69</v>
      </c>
      <c r="P1010" t="str">
        <f>"2170736389                    "</f>
        <v xml:space="preserve">2170736389                    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4.0599999999999996</v>
      </c>
      <c r="AN1010">
        <v>0</v>
      </c>
      <c r="AO1010">
        <v>0</v>
      </c>
      <c r="AP1010">
        <v>0</v>
      </c>
      <c r="AQ1010">
        <v>0</v>
      </c>
      <c r="AR1010">
        <v>0</v>
      </c>
      <c r="AS1010">
        <v>0</v>
      </c>
      <c r="AT1010">
        <v>0</v>
      </c>
      <c r="AU1010">
        <v>0</v>
      </c>
      <c r="AV1010">
        <v>0</v>
      </c>
      <c r="AW1010">
        <v>0</v>
      </c>
      <c r="AX1010">
        <v>0</v>
      </c>
      <c r="AY1010">
        <v>0</v>
      </c>
      <c r="AZ1010">
        <v>0</v>
      </c>
      <c r="BA1010">
        <v>0</v>
      </c>
      <c r="BB1010">
        <v>0</v>
      </c>
      <c r="BG1010">
        <v>0</v>
      </c>
      <c r="BH1010">
        <v>1</v>
      </c>
      <c r="BI1010">
        <v>3</v>
      </c>
      <c r="BJ1010">
        <v>1.2</v>
      </c>
      <c r="BK1010">
        <v>3</v>
      </c>
      <c r="BL1010">
        <v>44.61</v>
      </c>
      <c r="BM1010">
        <v>6.69</v>
      </c>
      <c r="BN1010">
        <v>51.3</v>
      </c>
      <c r="BO1010">
        <v>51.3</v>
      </c>
      <c r="BQ1010" t="s">
        <v>70</v>
      </c>
      <c r="BR1010" t="s">
        <v>71</v>
      </c>
      <c r="BS1010" s="1">
        <v>43949</v>
      </c>
      <c r="BT1010" s="2">
        <v>0.35833333333333334</v>
      </c>
      <c r="BU1010" t="s">
        <v>1114</v>
      </c>
      <c r="BV1010" t="s">
        <v>80</v>
      </c>
      <c r="BY1010">
        <v>5852.58</v>
      </c>
      <c r="BZ1010" t="s">
        <v>23</v>
      </c>
      <c r="CA1010" t="s">
        <v>437</v>
      </c>
      <c r="CC1010" t="s">
        <v>76</v>
      </c>
      <c r="CD1010">
        <v>1459</v>
      </c>
      <c r="CE1010" t="s">
        <v>381</v>
      </c>
      <c r="CF1010" s="1">
        <v>43950</v>
      </c>
      <c r="CI1010">
        <v>1</v>
      </c>
      <c r="CJ1010">
        <v>2</v>
      </c>
      <c r="CK1010">
        <v>22</v>
      </c>
      <c r="CL1010" t="s">
        <v>74</v>
      </c>
    </row>
    <row r="1011" spans="1:90" x14ac:dyDescent="0.25">
      <c r="A1011" t="s">
        <v>61</v>
      </c>
      <c r="B1011" t="s">
        <v>62</v>
      </c>
      <c r="C1011" t="s">
        <v>63</v>
      </c>
      <c r="E1011" t="str">
        <f>"FES1162745412"</f>
        <v>FES1162745412</v>
      </c>
      <c r="F1011" s="1">
        <v>43945</v>
      </c>
      <c r="G1011">
        <v>202010</v>
      </c>
      <c r="H1011" t="s">
        <v>64</v>
      </c>
      <c r="I1011" t="s">
        <v>65</v>
      </c>
      <c r="J1011" t="s">
        <v>66</v>
      </c>
      <c r="K1011" t="s">
        <v>67</v>
      </c>
      <c r="L1011" t="s">
        <v>212</v>
      </c>
      <c r="M1011" t="s">
        <v>213</v>
      </c>
      <c r="N1011" t="s">
        <v>295</v>
      </c>
      <c r="O1011" t="s">
        <v>69</v>
      </c>
      <c r="P1011" t="str">
        <f>"2170732537                    "</f>
        <v xml:space="preserve">2170732537                    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4.1900000000000004</v>
      </c>
      <c r="AN1011">
        <v>0</v>
      </c>
      <c r="AO1011">
        <v>0</v>
      </c>
      <c r="AP1011">
        <v>0</v>
      </c>
      <c r="AQ1011">
        <v>0</v>
      </c>
      <c r="AR1011">
        <v>0</v>
      </c>
      <c r="AS1011">
        <v>0</v>
      </c>
      <c r="AT1011">
        <v>0</v>
      </c>
      <c r="AU1011">
        <v>0</v>
      </c>
      <c r="AV1011">
        <v>0</v>
      </c>
      <c r="AW1011">
        <v>0</v>
      </c>
      <c r="AX1011">
        <v>0</v>
      </c>
      <c r="AY1011">
        <v>0</v>
      </c>
      <c r="AZ1011">
        <v>0</v>
      </c>
      <c r="BA1011">
        <v>0</v>
      </c>
      <c r="BB1011">
        <v>0</v>
      </c>
      <c r="BG1011">
        <v>0</v>
      </c>
      <c r="BH1011">
        <v>1</v>
      </c>
      <c r="BI1011">
        <v>1</v>
      </c>
      <c r="BJ1011">
        <v>1.2</v>
      </c>
      <c r="BK1011">
        <v>1.5</v>
      </c>
      <c r="BL1011">
        <v>46.06</v>
      </c>
      <c r="BM1011">
        <v>6.91</v>
      </c>
      <c r="BN1011">
        <v>52.97</v>
      </c>
      <c r="BO1011">
        <v>52.97</v>
      </c>
      <c r="BQ1011" t="s">
        <v>78</v>
      </c>
      <c r="BR1011" t="s">
        <v>71</v>
      </c>
      <c r="BS1011" s="1">
        <v>43949</v>
      </c>
      <c r="BT1011" s="2">
        <v>0.59722222222222221</v>
      </c>
      <c r="BU1011" t="s">
        <v>1028</v>
      </c>
      <c r="BV1011" t="s">
        <v>74</v>
      </c>
      <c r="BW1011" t="s">
        <v>85</v>
      </c>
      <c r="BX1011" t="s">
        <v>128</v>
      </c>
      <c r="BY1011">
        <v>6049.98</v>
      </c>
      <c r="BZ1011" t="s">
        <v>23</v>
      </c>
      <c r="CC1011" t="s">
        <v>213</v>
      </c>
      <c r="CD1011">
        <v>3610</v>
      </c>
      <c r="CE1011" t="s">
        <v>381</v>
      </c>
      <c r="CF1011" s="1">
        <v>43950</v>
      </c>
      <c r="CI1011">
        <v>1</v>
      </c>
      <c r="CJ1011">
        <v>2</v>
      </c>
      <c r="CK1011">
        <v>21</v>
      </c>
      <c r="CL1011" t="s">
        <v>74</v>
      </c>
    </row>
    <row r="1012" spans="1:90" x14ac:dyDescent="0.25">
      <c r="A1012" t="s">
        <v>61</v>
      </c>
      <c r="B1012" t="s">
        <v>62</v>
      </c>
      <c r="C1012" t="s">
        <v>63</v>
      </c>
      <c r="E1012" t="str">
        <f>"FES1162745463"</f>
        <v>FES1162745463</v>
      </c>
      <c r="F1012" s="1">
        <v>43945</v>
      </c>
      <c r="G1012">
        <v>202010</v>
      </c>
      <c r="H1012" t="s">
        <v>64</v>
      </c>
      <c r="I1012" t="s">
        <v>65</v>
      </c>
      <c r="J1012" t="s">
        <v>66</v>
      </c>
      <c r="K1012" t="s">
        <v>67</v>
      </c>
      <c r="L1012" t="s">
        <v>120</v>
      </c>
      <c r="M1012" t="s">
        <v>121</v>
      </c>
      <c r="N1012" t="s">
        <v>206</v>
      </c>
      <c r="O1012" t="s">
        <v>69</v>
      </c>
      <c r="P1012" t="str">
        <f>"2170736611                    "</f>
        <v xml:space="preserve">2170736611                    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4.1900000000000004</v>
      </c>
      <c r="AN1012">
        <v>0</v>
      </c>
      <c r="AO1012">
        <v>0</v>
      </c>
      <c r="AP1012">
        <v>0</v>
      </c>
      <c r="AQ1012">
        <v>0</v>
      </c>
      <c r="AR1012">
        <v>0</v>
      </c>
      <c r="AS1012">
        <v>0</v>
      </c>
      <c r="AT1012">
        <v>0</v>
      </c>
      <c r="AU1012">
        <v>0</v>
      </c>
      <c r="AV1012">
        <v>0</v>
      </c>
      <c r="AW1012">
        <v>0</v>
      </c>
      <c r="AX1012">
        <v>0</v>
      </c>
      <c r="AY1012">
        <v>0</v>
      </c>
      <c r="AZ1012">
        <v>0</v>
      </c>
      <c r="BA1012">
        <v>0</v>
      </c>
      <c r="BB1012">
        <v>0</v>
      </c>
      <c r="BG1012">
        <v>0</v>
      </c>
      <c r="BH1012">
        <v>1</v>
      </c>
      <c r="BI1012">
        <v>1</v>
      </c>
      <c r="BJ1012">
        <v>0.5</v>
      </c>
      <c r="BK1012">
        <v>1</v>
      </c>
      <c r="BL1012">
        <v>46.06</v>
      </c>
      <c r="BM1012">
        <v>6.91</v>
      </c>
      <c r="BN1012">
        <v>52.97</v>
      </c>
      <c r="BO1012">
        <v>52.97</v>
      </c>
      <c r="BQ1012" t="s">
        <v>78</v>
      </c>
      <c r="BR1012" t="s">
        <v>71</v>
      </c>
      <c r="BS1012" s="1">
        <v>43949</v>
      </c>
      <c r="BT1012" s="2">
        <v>0.54166666666666663</v>
      </c>
      <c r="BU1012" t="s">
        <v>1115</v>
      </c>
      <c r="BV1012" t="s">
        <v>74</v>
      </c>
      <c r="BW1012" t="s">
        <v>85</v>
      </c>
      <c r="BX1012" t="s">
        <v>128</v>
      </c>
      <c r="BY1012">
        <v>2338.56</v>
      </c>
      <c r="BZ1012" t="s">
        <v>23</v>
      </c>
      <c r="CC1012" t="s">
        <v>121</v>
      </c>
      <c r="CD1012">
        <v>4052</v>
      </c>
      <c r="CE1012" t="s">
        <v>966</v>
      </c>
      <c r="CF1012" s="1">
        <v>43950</v>
      </c>
      <c r="CI1012">
        <v>1</v>
      </c>
      <c r="CJ1012">
        <v>2</v>
      </c>
      <c r="CK1012">
        <v>21</v>
      </c>
      <c r="CL1012" t="s">
        <v>74</v>
      </c>
    </row>
    <row r="1013" spans="1:90" x14ac:dyDescent="0.25">
      <c r="A1013" t="s">
        <v>61</v>
      </c>
      <c r="B1013" t="s">
        <v>62</v>
      </c>
      <c r="C1013" t="s">
        <v>63</v>
      </c>
      <c r="E1013" t="str">
        <f>"FES1162745341"</f>
        <v>FES1162745341</v>
      </c>
      <c r="F1013" s="1">
        <v>43945</v>
      </c>
      <c r="G1013">
        <v>202010</v>
      </c>
      <c r="H1013" t="s">
        <v>64</v>
      </c>
      <c r="I1013" t="s">
        <v>65</v>
      </c>
      <c r="J1013" t="s">
        <v>66</v>
      </c>
      <c r="K1013" t="s">
        <v>67</v>
      </c>
      <c r="L1013" t="s">
        <v>225</v>
      </c>
      <c r="M1013" t="s">
        <v>226</v>
      </c>
      <c r="N1013" t="s">
        <v>620</v>
      </c>
      <c r="O1013" t="s">
        <v>69</v>
      </c>
      <c r="P1013" t="str">
        <f>"2170735514                    "</f>
        <v xml:space="preserve">2170735514                    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0</v>
      </c>
      <c r="AM1013">
        <v>8.11</v>
      </c>
      <c r="AN1013">
        <v>0</v>
      </c>
      <c r="AO1013">
        <v>0</v>
      </c>
      <c r="AP1013">
        <v>0</v>
      </c>
      <c r="AQ1013">
        <v>0</v>
      </c>
      <c r="AR1013">
        <v>0</v>
      </c>
      <c r="AS1013">
        <v>0</v>
      </c>
      <c r="AT1013">
        <v>0</v>
      </c>
      <c r="AU1013">
        <v>0</v>
      </c>
      <c r="AV1013">
        <v>0</v>
      </c>
      <c r="AW1013">
        <v>0</v>
      </c>
      <c r="AX1013">
        <v>0</v>
      </c>
      <c r="AY1013">
        <v>0</v>
      </c>
      <c r="AZ1013">
        <v>0</v>
      </c>
      <c r="BA1013">
        <v>0</v>
      </c>
      <c r="BB1013">
        <v>0</v>
      </c>
      <c r="BG1013">
        <v>0</v>
      </c>
      <c r="BH1013">
        <v>1</v>
      </c>
      <c r="BI1013">
        <v>1</v>
      </c>
      <c r="BJ1013">
        <v>1</v>
      </c>
      <c r="BK1013">
        <v>1</v>
      </c>
      <c r="BL1013">
        <v>89.23</v>
      </c>
      <c r="BM1013">
        <v>13.38</v>
      </c>
      <c r="BN1013">
        <v>102.61</v>
      </c>
      <c r="BO1013">
        <v>102.61</v>
      </c>
      <c r="BQ1013" t="s">
        <v>78</v>
      </c>
      <c r="BR1013" t="s">
        <v>71</v>
      </c>
      <c r="BS1013" s="1">
        <v>43949</v>
      </c>
      <c r="BT1013" s="2">
        <v>0.33333333333333331</v>
      </c>
      <c r="BU1013" t="s">
        <v>1116</v>
      </c>
      <c r="BV1013" t="s">
        <v>80</v>
      </c>
      <c r="BY1013">
        <v>4852.18</v>
      </c>
      <c r="BZ1013" t="s">
        <v>23</v>
      </c>
      <c r="CC1013" t="s">
        <v>226</v>
      </c>
      <c r="CD1013">
        <v>1947</v>
      </c>
      <c r="CE1013" t="s">
        <v>966</v>
      </c>
      <c r="CF1013" s="1">
        <v>43950</v>
      </c>
      <c r="CI1013">
        <v>1</v>
      </c>
      <c r="CJ1013">
        <v>2</v>
      </c>
      <c r="CK1013">
        <v>23</v>
      </c>
      <c r="CL1013" t="s">
        <v>74</v>
      </c>
    </row>
    <row r="1014" spans="1:90" x14ac:dyDescent="0.25">
      <c r="A1014" t="s">
        <v>61</v>
      </c>
      <c r="B1014" t="s">
        <v>62</v>
      </c>
      <c r="C1014" t="s">
        <v>63</v>
      </c>
      <c r="E1014" t="str">
        <f>"FES1162745441"</f>
        <v>FES1162745441</v>
      </c>
      <c r="F1014" s="1">
        <v>43945</v>
      </c>
      <c r="G1014">
        <v>202010</v>
      </c>
      <c r="H1014" t="s">
        <v>64</v>
      </c>
      <c r="I1014" t="s">
        <v>65</v>
      </c>
      <c r="J1014" t="s">
        <v>66</v>
      </c>
      <c r="K1014" t="s">
        <v>67</v>
      </c>
      <c r="L1014" t="s">
        <v>64</v>
      </c>
      <c r="M1014" t="s">
        <v>65</v>
      </c>
      <c r="N1014" t="s">
        <v>1117</v>
      </c>
      <c r="O1014" t="s">
        <v>69</v>
      </c>
      <c r="P1014" t="str">
        <f>"2170731961                    "</f>
        <v xml:space="preserve">2170731961                    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3.27</v>
      </c>
      <c r="AN1014">
        <v>0</v>
      </c>
      <c r="AO1014">
        <v>0</v>
      </c>
      <c r="AP1014">
        <v>0</v>
      </c>
      <c r="AQ1014">
        <v>0</v>
      </c>
      <c r="AR1014">
        <v>0</v>
      </c>
      <c r="AS1014">
        <v>0</v>
      </c>
      <c r="AT1014">
        <v>0</v>
      </c>
      <c r="AU1014">
        <v>0</v>
      </c>
      <c r="AV1014">
        <v>0</v>
      </c>
      <c r="AW1014">
        <v>0</v>
      </c>
      <c r="AX1014">
        <v>0</v>
      </c>
      <c r="AY1014">
        <v>0</v>
      </c>
      <c r="AZ1014">
        <v>0</v>
      </c>
      <c r="BA1014">
        <v>0</v>
      </c>
      <c r="BB1014">
        <v>0</v>
      </c>
      <c r="BG1014">
        <v>0</v>
      </c>
      <c r="BH1014">
        <v>1</v>
      </c>
      <c r="BI1014">
        <v>1</v>
      </c>
      <c r="BJ1014">
        <v>1.1000000000000001</v>
      </c>
      <c r="BK1014">
        <v>1.5</v>
      </c>
      <c r="BL1014">
        <v>35.979999999999997</v>
      </c>
      <c r="BM1014">
        <v>5.4</v>
      </c>
      <c r="BN1014">
        <v>41.38</v>
      </c>
      <c r="BO1014">
        <v>41.38</v>
      </c>
      <c r="BQ1014" t="s">
        <v>78</v>
      </c>
      <c r="BR1014" t="s">
        <v>71</v>
      </c>
      <c r="BS1014" s="1">
        <v>43949</v>
      </c>
      <c r="BT1014" s="2">
        <v>0.375</v>
      </c>
      <c r="BU1014" t="s">
        <v>1118</v>
      </c>
      <c r="BV1014" t="s">
        <v>80</v>
      </c>
      <c r="BY1014">
        <v>5337.33</v>
      </c>
      <c r="BZ1014" t="s">
        <v>23</v>
      </c>
      <c r="CC1014" t="s">
        <v>65</v>
      </c>
      <c r="CD1014">
        <v>1601</v>
      </c>
      <c r="CE1014" t="s">
        <v>966</v>
      </c>
      <c r="CF1014" s="1">
        <v>43950</v>
      </c>
      <c r="CI1014">
        <v>1</v>
      </c>
      <c r="CJ1014">
        <v>2</v>
      </c>
      <c r="CK1014">
        <v>22</v>
      </c>
      <c r="CL1014" t="s">
        <v>74</v>
      </c>
    </row>
    <row r="1015" spans="1:90" x14ac:dyDescent="0.25">
      <c r="A1015" t="s">
        <v>61</v>
      </c>
      <c r="B1015" t="s">
        <v>62</v>
      </c>
      <c r="C1015" t="s">
        <v>63</v>
      </c>
      <c r="E1015" t="str">
        <f>"FES1162745414"</f>
        <v>FES1162745414</v>
      </c>
      <c r="F1015" s="1">
        <v>43945</v>
      </c>
      <c r="G1015">
        <v>202010</v>
      </c>
      <c r="H1015" t="s">
        <v>64</v>
      </c>
      <c r="I1015" t="s">
        <v>65</v>
      </c>
      <c r="J1015" t="s">
        <v>66</v>
      </c>
      <c r="K1015" t="s">
        <v>67</v>
      </c>
      <c r="L1015" t="s">
        <v>262</v>
      </c>
      <c r="M1015" t="s">
        <v>262</v>
      </c>
      <c r="N1015" t="s">
        <v>1087</v>
      </c>
      <c r="O1015" t="s">
        <v>69</v>
      </c>
      <c r="P1015" t="str">
        <f>"2170734328                    "</f>
        <v xml:space="preserve">2170734328                    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0</v>
      </c>
      <c r="AM1015">
        <v>8.11</v>
      </c>
      <c r="AN1015">
        <v>0</v>
      </c>
      <c r="AO1015">
        <v>0</v>
      </c>
      <c r="AP1015">
        <v>0</v>
      </c>
      <c r="AQ1015">
        <v>0</v>
      </c>
      <c r="AR1015">
        <v>0</v>
      </c>
      <c r="AS1015">
        <v>0</v>
      </c>
      <c r="AT1015">
        <v>0</v>
      </c>
      <c r="AU1015">
        <v>0</v>
      </c>
      <c r="AV1015">
        <v>0</v>
      </c>
      <c r="AW1015">
        <v>0</v>
      </c>
      <c r="AX1015">
        <v>0</v>
      </c>
      <c r="AY1015">
        <v>0</v>
      </c>
      <c r="AZ1015">
        <v>0</v>
      </c>
      <c r="BA1015">
        <v>0</v>
      </c>
      <c r="BB1015">
        <v>0</v>
      </c>
      <c r="BG1015">
        <v>0</v>
      </c>
      <c r="BH1015">
        <v>1</v>
      </c>
      <c r="BI1015">
        <v>1</v>
      </c>
      <c r="BJ1015">
        <v>1.9</v>
      </c>
      <c r="BK1015">
        <v>2</v>
      </c>
      <c r="BL1015">
        <v>89.23</v>
      </c>
      <c r="BM1015">
        <v>13.38</v>
      </c>
      <c r="BN1015">
        <v>102.61</v>
      </c>
      <c r="BO1015">
        <v>102.61</v>
      </c>
      <c r="BQ1015" t="s">
        <v>78</v>
      </c>
      <c r="BR1015" t="s">
        <v>71</v>
      </c>
      <c r="BS1015" s="1">
        <v>43949</v>
      </c>
      <c r="BT1015" s="2">
        <v>0.4236111111111111</v>
      </c>
      <c r="BU1015" t="s">
        <v>1088</v>
      </c>
      <c r="BV1015" t="s">
        <v>80</v>
      </c>
      <c r="BY1015">
        <v>9617.4500000000007</v>
      </c>
      <c r="BZ1015" t="s">
        <v>23</v>
      </c>
      <c r="CA1015" t="s">
        <v>266</v>
      </c>
      <c r="CC1015" t="s">
        <v>262</v>
      </c>
      <c r="CD1015">
        <v>7646</v>
      </c>
      <c r="CE1015" t="s">
        <v>966</v>
      </c>
      <c r="CF1015" s="1">
        <v>43950</v>
      </c>
      <c r="CI1015">
        <v>1</v>
      </c>
      <c r="CJ1015">
        <v>2</v>
      </c>
      <c r="CK1015">
        <v>23</v>
      </c>
      <c r="CL1015" t="s">
        <v>74</v>
      </c>
    </row>
    <row r="1016" spans="1:90" x14ac:dyDescent="0.25">
      <c r="A1016" t="s">
        <v>61</v>
      </c>
      <c r="B1016" t="s">
        <v>62</v>
      </c>
      <c r="C1016" t="s">
        <v>63</v>
      </c>
      <c r="E1016" t="str">
        <f>"FES1162745296"</f>
        <v>FES1162745296</v>
      </c>
      <c r="F1016" s="1">
        <v>43945</v>
      </c>
      <c r="G1016">
        <v>202010</v>
      </c>
      <c r="H1016" t="s">
        <v>64</v>
      </c>
      <c r="I1016" t="s">
        <v>65</v>
      </c>
      <c r="J1016" t="s">
        <v>66</v>
      </c>
      <c r="K1016" t="s">
        <v>67</v>
      </c>
      <c r="L1016" t="s">
        <v>120</v>
      </c>
      <c r="M1016" t="s">
        <v>121</v>
      </c>
      <c r="N1016" t="s">
        <v>138</v>
      </c>
      <c r="O1016" t="s">
        <v>69</v>
      </c>
      <c r="P1016" t="str">
        <f>"2170736478                    "</f>
        <v xml:space="preserve">2170736478                    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4.1900000000000004</v>
      </c>
      <c r="AN1016">
        <v>0</v>
      </c>
      <c r="AO1016">
        <v>0</v>
      </c>
      <c r="AP1016">
        <v>0</v>
      </c>
      <c r="AQ1016">
        <v>0</v>
      </c>
      <c r="AR1016">
        <v>0</v>
      </c>
      <c r="AS1016">
        <v>0</v>
      </c>
      <c r="AT1016">
        <v>0</v>
      </c>
      <c r="AU1016">
        <v>0</v>
      </c>
      <c r="AV1016">
        <v>0</v>
      </c>
      <c r="AW1016">
        <v>0</v>
      </c>
      <c r="AX1016">
        <v>0</v>
      </c>
      <c r="AY1016">
        <v>0</v>
      </c>
      <c r="AZ1016">
        <v>0</v>
      </c>
      <c r="BA1016">
        <v>0</v>
      </c>
      <c r="BB1016">
        <v>0</v>
      </c>
      <c r="BG1016">
        <v>0</v>
      </c>
      <c r="BH1016">
        <v>1</v>
      </c>
      <c r="BI1016">
        <v>1</v>
      </c>
      <c r="BJ1016">
        <v>1.2</v>
      </c>
      <c r="BK1016">
        <v>1.5</v>
      </c>
      <c r="BL1016">
        <v>46.06</v>
      </c>
      <c r="BM1016">
        <v>6.91</v>
      </c>
      <c r="BN1016">
        <v>52.97</v>
      </c>
      <c r="BO1016">
        <v>52.97</v>
      </c>
      <c r="BQ1016" t="s">
        <v>78</v>
      </c>
      <c r="BR1016" t="s">
        <v>71</v>
      </c>
      <c r="BS1016" s="1">
        <v>43949</v>
      </c>
      <c r="BT1016" s="2">
        <v>0.45694444444444443</v>
      </c>
      <c r="BU1016" t="s">
        <v>139</v>
      </c>
      <c r="BV1016" t="s">
        <v>74</v>
      </c>
      <c r="BW1016" t="s">
        <v>85</v>
      </c>
      <c r="BX1016" t="s">
        <v>128</v>
      </c>
      <c r="BY1016">
        <v>5869.13</v>
      </c>
      <c r="BZ1016" t="s">
        <v>23</v>
      </c>
      <c r="CA1016" t="s">
        <v>140</v>
      </c>
      <c r="CC1016" t="s">
        <v>121</v>
      </c>
      <c r="CD1016">
        <v>4001</v>
      </c>
      <c r="CE1016" t="s">
        <v>966</v>
      </c>
      <c r="CF1016" s="1">
        <v>43950</v>
      </c>
      <c r="CI1016">
        <v>1</v>
      </c>
      <c r="CJ1016">
        <v>2</v>
      </c>
      <c r="CK1016">
        <v>21</v>
      </c>
      <c r="CL1016" t="s">
        <v>74</v>
      </c>
    </row>
    <row r="1017" spans="1:90" x14ac:dyDescent="0.25">
      <c r="A1017" t="s">
        <v>61</v>
      </c>
      <c r="B1017" t="s">
        <v>62</v>
      </c>
      <c r="C1017" t="s">
        <v>63</v>
      </c>
      <c r="E1017" t="str">
        <f>"FES1162745435"</f>
        <v>FES1162745435</v>
      </c>
      <c r="F1017" s="1">
        <v>43945</v>
      </c>
      <c r="G1017">
        <v>202010</v>
      </c>
      <c r="H1017" t="s">
        <v>64</v>
      </c>
      <c r="I1017" t="s">
        <v>65</v>
      </c>
      <c r="J1017" t="s">
        <v>66</v>
      </c>
      <c r="K1017" t="s">
        <v>67</v>
      </c>
      <c r="L1017" t="s">
        <v>158</v>
      </c>
      <c r="M1017" t="s">
        <v>159</v>
      </c>
      <c r="N1017" t="s">
        <v>160</v>
      </c>
      <c r="O1017" t="s">
        <v>69</v>
      </c>
      <c r="P1017" t="str">
        <f>"2170736463                    "</f>
        <v xml:space="preserve">2170736463                    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0</v>
      </c>
      <c r="AM1017">
        <v>4.1900000000000004</v>
      </c>
      <c r="AN1017">
        <v>0</v>
      </c>
      <c r="AO1017">
        <v>0</v>
      </c>
      <c r="AP1017">
        <v>0</v>
      </c>
      <c r="AQ1017">
        <v>0</v>
      </c>
      <c r="AR1017">
        <v>0</v>
      </c>
      <c r="AS1017">
        <v>0</v>
      </c>
      <c r="AT1017">
        <v>0</v>
      </c>
      <c r="AU1017">
        <v>0</v>
      </c>
      <c r="AV1017">
        <v>0</v>
      </c>
      <c r="AW1017">
        <v>0</v>
      </c>
      <c r="AX1017">
        <v>0</v>
      </c>
      <c r="AY1017">
        <v>0</v>
      </c>
      <c r="AZ1017">
        <v>0</v>
      </c>
      <c r="BA1017">
        <v>0</v>
      </c>
      <c r="BB1017">
        <v>0</v>
      </c>
      <c r="BG1017">
        <v>0</v>
      </c>
      <c r="BH1017">
        <v>1</v>
      </c>
      <c r="BI1017">
        <v>1</v>
      </c>
      <c r="BJ1017">
        <v>1.7</v>
      </c>
      <c r="BK1017">
        <v>2</v>
      </c>
      <c r="BL1017">
        <v>46.06</v>
      </c>
      <c r="BM1017">
        <v>6.91</v>
      </c>
      <c r="BN1017">
        <v>52.97</v>
      </c>
      <c r="BO1017">
        <v>52.97</v>
      </c>
      <c r="BQ1017" t="s">
        <v>70</v>
      </c>
      <c r="BR1017" t="s">
        <v>71</v>
      </c>
      <c r="BS1017" t="s">
        <v>72</v>
      </c>
      <c r="BY1017">
        <v>8664.81</v>
      </c>
      <c r="BZ1017" t="s">
        <v>23</v>
      </c>
      <c r="CC1017" t="s">
        <v>159</v>
      </c>
      <c r="CD1017">
        <v>3290</v>
      </c>
      <c r="CE1017" t="s">
        <v>966</v>
      </c>
      <c r="CI1017">
        <v>1</v>
      </c>
      <c r="CJ1017" t="s">
        <v>72</v>
      </c>
      <c r="CK1017">
        <v>21</v>
      </c>
      <c r="CL1017" t="s">
        <v>74</v>
      </c>
    </row>
    <row r="1018" spans="1:90" x14ac:dyDescent="0.25">
      <c r="A1018" t="s">
        <v>61</v>
      </c>
      <c r="B1018" t="s">
        <v>62</v>
      </c>
      <c r="C1018" t="s">
        <v>63</v>
      </c>
      <c r="E1018" t="str">
        <f>"FES1162745451"</f>
        <v>FES1162745451</v>
      </c>
      <c r="F1018" s="1">
        <v>43945</v>
      </c>
      <c r="G1018">
        <v>202010</v>
      </c>
      <c r="H1018" t="s">
        <v>64</v>
      </c>
      <c r="I1018" t="s">
        <v>65</v>
      </c>
      <c r="J1018" t="s">
        <v>66</v>
      </c>
      <c r="K1018" t="s">
        <v>67</v>
      </c>
      <c r="L1018" t="s">
        <v>151</v>
      </c>
      <c r="M1018" t="s">
        <v>152</v>
      </c>
      <c r="N1018" t="s">
        <v>383</v>
      </c>
      <c r="O1018" t="s">
        <v>69</v>
      </c>
      <c r="P1018" t="str">
        <f>"2170736600                    "</f>
        <v xml:space="preserve">2170736600                    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0</v>
      </c>
      <c r="AM1018">
        <v>4.1900000000000004</v>
      </c>
      <c r="AN1018">
        <v>0</v>
      </c>
      <c r="AO1018">
        <v>0</v>
      </c>
      <c r="AP1018">
        <v>0</v>
      </c>
      <c r="AQ1018">
        <v>0</v>
      </c>
      <c r="AR1018">
        <v>0</v>
      </c>
      <c r="AS1018">
        <v>0</v>
      </c>
      <c r="AT1018">
        <v>0</v>
      </c>
      <c r="AU1018">
        <v>0</v>
      </c>
      <c r="AV1018">
        <v>0</v>
      </c>
      <c r="AW1018">
        <v>0</v>
      </c>
      <c r="AX1018">
        <v>0</v>
      </c>
      <c r="AY1018">
        <v>0</v>
      </c>
      <c r="AZ1018">
        <v>0</v>
      </c>
      <c r="BA1018">
        <v>0</v>
      </c>
      <c r="BB1018">
        <v>0</v>
      </c>
      <c r="BG1018">
        <v>0</v>
      </c>
      <c r="BH1018">
        <v>1</v>
      </c>
      <c r="BI1018">
        <v>1</v>
      </c>
      <c r="BJ1018">
        <v>1.1000000000000001</v>
      </c>
      <c r="BK1018">
        <v>1.5</v>
      </c>
      <c r="BL1018">
        <v>46.06</v>
      </c>
      <c r="BM1018">
        <v>6.91</v>
      </c>
      <c r="BN1018">
        <v>52.97</v>
      </c>
      <c r="BO1018">
        <v>52.97</v>
      </c>
      <c r="BQ1018" t="s">
        <v>268</v>
      </c>
      <c r="BR1018" t="s">
        <v>71</v>
      </c>
      <c r="BS1018" s="1">
        <v>43949</v>
      </c>
      <c r="BT1018" s="2">
        <v>0.5</v>
      </c>
      <c r="BU1018" t="s">
        <v>1119</v>
      </c>
      <c r="BV1018" t="s">
        <v>74</v>
      </c>
      <c r="BY1018">
        <v>5658.91</v>
      </c>
      <c r="BZ1018" t="s">
        <v>23</v>
      </c>
      <c r="CC1018" t="s">
        <v>152</v>
      </c>
      <c r="CD1018">
        <v>3201</v>
      </c>
      <c r="CE1018" t="s">
        <v>966</v>
      </c>
      <c r="CF1018" s="1">
        <v>43951</v>
      </c>
      <c r="CI1018">
        <v>1</v>
      </c>
      <c r="CJ1018">
        <v>2</v>
      </c>
      <c r="CK1018">
        <v>21</v>
      </c>
      <c r="CL1018" t="s">
        <v>74</v>
      </c>
    </row>
    <row r="1019" spans="1:90" x14ac:dyDescent="0.25">
      <c r="A1019" t="s">
        <v>61</v>
      </c>
      <c r="B1019" t="s">
        <v>62</v>
      </c>
      <c r="C1019" t="s">
        <v>63</v>
      </c>
      <c r="E1019" t="str">
        <f>"FES1162745037"</f>
        <v>FES1162745037</v>
      </c>
      <c r="F1019" s="1">
        <v>43945</v>
      </c>
      <c r="G1019">
        <v>202010</v>
      </c>
      <c r="H1019" t="s">
        <v>64</v>
      </c>
      <c r="I1019" t="s">
        <v>65</v>
      </c>
      <c r="J1019" t="s">
        <v>66</v>
      </c>
      <c r="K1019" t="s">
        <v>67</v>
      </c>
      <c r="L1019" t="s">
        <v>652</v>
      </c>
      <c r="M1019" t="s">
        <v>653</v>
      </c>
      <c r="N1019" t="s">
        <v>1120</v>
      </c>
      <c r="O1019" t="s">
        <v>69</v>
      </c>
      <c r="P1019" t="str">
        <f>"2170736236                    "</f>
        <v xml:space="preserve">2170736236                    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5.89</v>
      </c>
      <c r="AN1019">
        <v>0</v>
      </c>
      <c r="AO1019">
        <v>0</v>
      </c>
      <c r="AP1019">
        <v>0</v>
      </c>
      <c r="AQ1019">
        <v>0</v>
      </c>
      <c r="AR1019">
        <v>0</v>
      </c>
      <c r="AS1019">
        <v>0</v>
      </c>
      <c r="AT1019">
        <v>0</v>
      </c>
      <c r="AU1019">
        <v>0</v>
      </c>
      <c r="AV1019">
        <v>0</v>
      </c>
      <c r="AW1019">
        <v>0</v>
      </c>
      <c r="AX1019">
        <v>0</v>
      </c>
      <c r="AY1019">
        <v>0</v>
      </c>
      <c r="AZ1019">
        <v>0</v>
      </c>
      <c r="BA1019">
        <v>0</v>
      </c>
      <c r="BB1019">
        <v>0</v>
      </c>
      <c r="BG1019">
        <v>0</v>
      </c>
      <c r="BH1019">
        <v>1</v>
      </c>
      <c r="BI1019">
        <v>1</v>
      </c>
      <c r="BJ1019">
        <v>1.7</v>
      </c>
      <c r="BK1019">
        <v>2</v>
      </c>
      <c r="BL1019">
        <v>64.77</v>
      </c>
      <c r="BM1019">
        <v>9.7200000000000006</v>
      </c>
      <c r="BN1019">
        <v>74.489999999999995</v>
      </c>
      <c r="BO1019">
        <v>74.489999999999995</v>
      </c>
      <c r="BQ1019" t="s">
        <v>70</v>
      </c>
      <c r="BR1019" t="s">
        <v>71</v>
      </c>
      <c r="BS1019" s="1">
        <v>43949</v>
      </c>
      <c r="BT1019" s="2">
        <v>0.39583333333333331</v>
      </c>
      <c r="BU1019" t="s">
        <v>682</v>
      </c>
      <c r="BV1019" t="s">
        <v>80</v>
      </c>
      <c r="BY1019">
        <v>8669.3799999999992</v>
      </c>
      <c r="BZ1019" t="s">
        <v>23</v>
      </c>
      <c r="CA1019" t="s">
        <v>656</v>
      </c>
      <c r="CC1019" t="s">
        <v>653</v>
      </c>
      <c r="CD1019">
        <v>1050</v>
      </c>
      <c r="CE1019" t="s">
        <v>966</v>
      </c>
      <c r="CF1019" s="1">
        <v>43951</v>
      </c>
      <c r="CI1019">
        <v>1</v>
      </c>
      <c r="CJ1019">
        <v>2</v>
      </c>
      <c r="CK1019">
        <v>24</v>
      </c>
      <c r="CL1019" t="s">
        <v>74</v>
      </c>
    </row>
    <row r="1020" spans="1:90" x14ac:dyDescent="0.25">
      <c r="A1020" t="s">
        <v>61</v>
      </c>
      <c r="B1020" t="s">
        <v>62</v>
      </c>
      <c r="C1020" t="s">
        <v>63</v>
      </c>
      <c r="E1020" t="str">
        <f>"FES1162745450"</f>
        <v>FES1162745450</v>
      </c>
      <c r="F1020" s="1">
        <v>43945</v>
      </c>
      <c r="G1020">
        <v>202010</v>
      </c>
      <c r="H1020" t="s">
        <v>64</v>
      </c>
      <c r="I1020" t="s">
        <v>65</v>
      </c>
      <c r="J1020" t="s">
        <v>66</v>
      </c>
      <c r="K1020" t="s">
        <v>67</v>
      </c>
      <c r="L1020" t="s">
        <v>351</v>
      </c>
      <c r="M1020" t="s">
        <v>352</v>
      </c>
      <c r="N1020" t="s">
        <v>122</v>
      </c>
      <c r="O1020" t="s">
        <v>69</v>
      </c>
      <c r="P1020" t="str">
        <f>"2170732208                    "</f>
        <v xml:space="preserve">2170732208                    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0</v>
      </c>
      <c r="AM1020">
        <v>33.76</v>
      </c>
      <c r="AN1020">
        <v>0</v>
      </c>
      <c r="AO1020">
        <v>0</v>
      </c>
      <c r="AP1020">
        <v>0</v>
      </c>
      <c r="AQ1020">
        <v>0</v>
      </c>
      <c r="AR1020">
        <v>0</v>
      </c>
      <c r="AS1020">
        <v>0</v>
      </c>
      <c r="AT1020">
        <v>0</v>
      </c>
      <c r="AU1020">
        <v>0</v>
      </c>
      <c r="AV1020">
        <v>0</v>
      </c>
      <c r="AW1020">
        <v>0</v>
      </c>
      <c r="AX1020">
        <v>0</v>
      </c>
      <c r="AY1020">
        <v>0</v>
      </c>
      <c r="AZ1020">
        <v>0</v>
      </c>
      <c r="BA1020">
        <v>0</v>
      </c>
      <c r="BB1020">
        <v>0</v>
      </c>
      <c r="BG1020">
        <v>0</v>
      </c>
      <c r="BH1020">
        <v>1</v>
      </c>
      <c r="BI1020">
        <v>9</v>
      </c>
      <c r="BJ1020">
        <v>6</v>
      </c>
      <c r="BK1020">
        <v>9</v>
      </c>
      <c r="BL1020">
        <v>371.36</v>
      </c>
      <c r="BM1020">
        <v>55.7</v>
      </c>
      <c r="BN1020">
        <v>427.06</v>
      </c>
      <c r="BO1020">
        <v>427.06</v>
      </c>
      <c r="BQ1020" t="s">
        <v>78</v>
      </c>
      <c r="BR1020" t="s">
        <v>71</v>
      </c>
      <c r="BS1020" s="1">
        <v>43949</v>
      </c>
      <c r="BT1020" s="2">
        <v>0.41666666666666669</v>
      </c>
      <c r="BU1020" t="s">
        <v>1121</v>
      </c>
      <c r="BV1020" t="s">
        <v>80</v>
      </c>
      <c r="BY1020">
        <v>30107.119999999999</v>
      </c>
      <c r="BZ1020" t="s">
        <v>23</v>
      </c>
      <c r="CC1020" t="s">
        <v>352</v>
      </c>
      <c r="CD1020">
        <v>1911</v>
      </c>
      <c r="CE1020" t="s">
        <v>381</v>
      </c>
      <c r="CF1020" s="1">
        <v>43950</v>
      </c>
      <c r="CI1020">
        <v>1</v>
      </c>
      <c r="CJ1020">
        <v>2</v>
      </c>
      <c r="CK1020">
        <v>23</v>
      </c>
      <c r="CL1020" t="s">
        <v>74</v>
      </c>
    </row>
    <row r="1021" spans="1:90" x14ac:dyDescent="0.25">
      <c r="A1021" t="s">
        <v>61</v>
      </c>
      <c r="B1021" t="s">
        <v>62</v>
      </c>
      <c r="C1021" t="s">
        <v>63</v>
      </c>
      <c r="E1021" t="str">
        <f>"FES1162745389"</f>
        <v>FES1162745389</v>
      </c>
      <c r="F1021" s="1">
        <v>43945</v>
      </c>
      <c r="G1021">
        <v>202010</v>
      </c>
      <c r="H1021" t="s">
        <v>64</v>
      </c>
      <c r="I1021" t="s">
        <v>65</v>
      </c>
      <c r="J1021" t="s">
        <v>66</v>
      </c>
      <c r="K1021" t="s">
        <v>67</v>
      </c>
      <c r="L1021" t="s">
        <v>225</v>
      </c>
      <c r="M1021" t="s">
        <v>226</v>
      </c>
      <c r="N1021" t="s">
        <v>227</v>
      </c>
      <c r="O1021" t="s">
        <v>69</v>
      </c>
      <c r="P1021" t="str">
        <f>"2170730515                    "</f>
        <v xml:space="preserve">2170730515                    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0</v>
      </c>
      <c r="AM1021">
        <v>26.43</v>
      </c>
      <c r="AN1021">
        <v>0</v>
      </c>
      <c r="AO1021">
        <v>0</v>
      </c>
      <c r="AP1021">
        <v>0</v>
      </c>
      <c r="AQ1021">
        <v>0</v>
      </c>
      <c r="AR1021">
        <v>0</v>
      </c>
      <c r="AS1021">
        <v>0</v>
      </c>
      <c r="AT1021">
        <v>0</v>
      </c>
      <c r="AU1021">
        <v>0</v>
      </c>
      <c r="AV1021">
        <v>0</v>
      </c>
      <c r="AW1021">
        <v>0</v>
      </c>
      <c r="AX1021">
        <v>0</v>
      </c>
      <c r="AY1021">
        <v>0</v>
      </c>
      <c r="AZ1021">
        <v>0</v>
      </c>
      <c r="BA1021">
        <v>0</v>
      </c>
      <c r="BB1021">
        <v>0</v>
      </c>
      <c r="BG1021">
        <v>0</v>
      </c>
      <c r="BH1021">
        <v>1</v>
      </c>
      <c r="BI1021">
        <v>7</v>
      </c>
      <c r="BJ1021">
        <v>6.1</v>
      </c>
      <c r="BK1021">
        <v>7</v>
      </c>
      <c r="BL1021">
        <v>290.75</v>
      </c>
      <c r="BM1021">
        <v>43.61</v>
      </c>
      <c r="BN1021">
        <v>334.36</v>
      </c>
      <c r="BO1021">
        <v>334.36</v>
      </c>
      <c r="BQ1021" t="s">
        <v>78</v>
      </c>
      <c r="BR1021" t="s">
        <v>71</v>
      </c>
      <c r="BS1021" s="1">
        <v>43949</v>
      </c>
      <c r="BT1021" s="2">
        <v>0.41666666666666669</v>
      </c>
      <c r="BU1021" t="s">
        <v>813</v>
      </c>
      <c r="BV1021" t="s">
        <v>80</v>
      </c>
      <c r="BY1021">
        <v>30716.22</v>
      </c>
      <c r="BZ1021" t="s">
        <v>23</v>
      </c>
      <c r="CC1021" t="s">
        <v>226</v>
      </c>
      <c r="CD1021">
        <v>1947</v>
      </c>
      <c r="CE1021" t="s">
        <v>381</v>
      </c>
      <c r="CF1021" s="1">
        <v>43950</v>
      </c>
      <c r="CI1021">
        <v>1</v>
      </c>
      <c r="CJ1021">
        <v>2</v>
      </c>
      <c r="CK1021">
        <v>23</v>
      </c>
      <c r="CL1021" t="s">
        <v>74</v>
      </c>
    </row>
    <row r="1022" spans="1:90" x14ac:dyDescent="0.25">
      <c r="A1022" t="s">
        <v>61</v>
      </c>
      <c r="B1022" t="s">
        <v>62</v>
      </c>
      <c r="C1022" t="s">
        <v>63</v>
      </c>
      <c r="E1022" t="str">
        <f>"FES1162745418"</f>
        <v>FES1162745418</v>
      </c>
      <c r="F1022" s="1">
        <v>43945</v>
      </c>
      <c r="G1022">
        <v>202010</v>
      </c>
      <c r="H1022" t="s">
        <v>64</v>
      </c>
      <c r="I1022" t="s">
        <v>65</v>
      </c>
      <c r="J1022" t="s">
        <v>66</v>
      </c>
      <c r="K1022" t="s">
        <v>67</v>
      </c>
      <c r="L1022" t="s">
        <v>684</v>
      </c>
      <c r="M1022" t="s">
        <v>685</v>
      </c>
      <c r="N1022" t="s">
        <v>686</v>
      </c>
      <c r="O1022" t="s">
        <v>69</v>
      </c>
      <c r="P1022" t="str">
        <f>"2170736233                    "</f>
        <v xml:space="preserve">2170736233                    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0</v>
      </c>
      <c r="AM1022">
        <v>20.92</v>
      </c>
      <c r="AN1022">
        <v>0</v>
      </c>
      <c r="AO1022">
        <v>0</v>
      </c>
      <c r="AP1022">
        <v>0</v>
      </c>
      <c r="AQ1022">
        <v>0</v>
      </c>
      <c r="AR1022">
        <v>0</v>
      </c>
      <c r="AS1022">
        <v>0</v>
      </c>
      <c r="AT1022">
        <v>0</v>
      </c>
      <c r="AU1022">
        <v>0</v>
      </c>
      <c r="AV1022">
        <v>0</v>
      </c>
      <c r="AW1022">
        <v>0</v>
      </c>
      <c r="AX1022">
        <v>0</v>
      </c>
      <c r="AY1022">
        <v>0</v>
      </c>
      <c r="AZ1022">
        <v>0</v>
      </c>
      <c r="BA1022">
        <v>0</v>
      </c>
      <c r="BB1022">
        <v>0</v>
      </c>
      <c r="BG1022">
        <v>0</v>
      </c>
      <c r="BH1022">
        <v>1</v>
      </c>
      <c r="BI1022">
        <v>7</v>
      </c>
      <c r="BJ1022">
        <v>9.6999999999999993</v>
      </c>
      <c r="BK1022">
        <v>10</v>
      </c>
      <c r="BL1022">
        <v>230.15</v>
      </c>
      <c r="BM1022">
        <v>34.520000000000003</v>
      </c>
      <c r="BN1022">
        <v>264.67</v>
      </c>
      <c r="BO1022">
        <v>264.67</v>
      </c>
      <c r="BQ1022" t="s">
        <v>78</v>
      </c>
      <c r="BR1022" t="s">
        <v>71</v>
      </c>
      <c r="BS1022" s="1">
        <v>43949</v>
      </c>
      <c r="BT1022" s="2">
        <v>0.65</v>
      </c>
      <c r="BU1022" t="s">
        <v>1122</v>
      </c>
      <c r="BV1022" t="s">
        <v>74</v>
      </c>
      <c r="BW1022" t="s">
        <v>85</v>
      </c>
      <c r="BX1022" t="s">
        <v>128</v>
      </c>
      <c r="BY1022">
        <v>48687.18</v>
      </c>
      <c r="BZ1022" t="s">
        <v>23</v>
      </c>
      <c r="CA1022" t="s">
        <v>699</v>
      </c>
      <c r="CC1022" t="s">
        <v>685</v>
      </c>
      <c r="CD1022">
        <v>4113</v>
      </c>
      <c r="CE1022" t="s">
        <v>381</v>
      </c>
      <c r="CF1022" s="1">
        <v>43950</v>
      </c>
      <c r="CI1022">
        <v>1</v>
      </c>
      <c r="CJ1022">
        <v>2</v>
      </c>
      <c r="CK1022">
        <v>21</v>
      </c>
      <c r="CL1022" t="s">
        <v>74</v>
      </c>
    </row>
    <row r="1023" spans="1:90" x14ac:dyDescent="0.25">
      <c r="A1023" t="s">
        <v>61</v>
      </c>
      <c r="B1023" t="s">
        <v>62</v>
      </c>
      <c r="C1023" t="s">
        <v>63</v>
      </c>
      <c r="E1023" t="str">
        <f>"FES1162745374"</f>
        <v>FES1162745374</v>
      </c>
      <c r="F1023" s="1">
        <v>43945</v>
      </c>
      <c r="G1023">
        <v>202010</v>
      </c>
      <c r="H1023" t="s">
        <v>64</v>
      </c>
      <c r="I1023" t="s">
        <v>65</v>
      </c>
      <c r="J1023" t="s">
        <v>66</v>
      </c>
      <c r="K1023" t="s">
        <v>67</v>
      </c>
      <c r="L1023" t="s">
        <v>199</v>
      </c>
      <c r="M1023" t="s">
        <v>200</v>
      </c>
      <c r="N1023" t="s">
        <v>201</v>
      </c>
      <c r="O1023" t="s">
        <v>69</v>
      </c>
      <c r="P1023" t="str">
        <f>"2170735688                    "</f>
        <v xml:space="preserve">2170735688                    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0</v>
      </c>
      <c r="AM1023">
        <v>3.27</v>
      </c>
      <c r="AN1023">
        <v>0</v>
      </c>
      <c r="AO1023">
        <v>0</v>
      </c>
      <c r="AP1023">
        <v>0</v>
      </c>
      <c r="AQ1023">
        <v>0</v>
      </c>
      <c r="AR1023">
        <v>0</v>
      </c>
      <c r="AS1023">
        <v>0</v>
      </c>
      <c r="AT1023">
        <v>0</v>
      </c>
      <c r="AU1023">
        <v>0</v>
      </c>
      <c r="AV1023">
        <v>0</v>
      </c>
      <c r="AW1023">
        <v>0</v>
      </c>
      <c r="AX1023">
        <v>0</v>
      </c>
      <c r="AY1023">
        <v>0</v>
      </c>
      <c r="AZ1023">
        <v>0</v>
      </c>
      <c r="BA1023">
        <v>0</v>
      </c>
      <c r="BB1023">
        <v>0</v>
      </c>
      <c r="BG1023">
        <v>0</v>
      </c>
      <c r="BH1023">
        <v>1</v>
      </c>
      <c r="BI1023">
        <v>1.5</v>
      </c>
      <c r="BJ1023">
        <v>1.9</v>
      </c>
      <c r="BK1023">
        <v>2</v>
      </c>
      <c r="BL1023">
        <v>35.979999999999997</v>
      </c>
      <c r="BM1023">
        <v>5.4</v>
      </c>
      <c r="BN1023">
        <v>41.38</v>
      </c>
      <c r="BO1023">
        <v>41.38</v>
      </c>
      <c r="BQ1023" t="s">
        <v>78</v>
      </c>
      <c r="BR1023" t="s">
        <v>71</v>
      </c>
      <c r="BS1023" s="1">
        <v>43949</v>
      </c>
      <c r="BT1023" s="2">
        <v>0.3923611111111111</v>
      </c>
      <c r="BU1023" t="s">
        <v>1123</v>
      </c>
      <c r="BV1023" t="s">
        <v>80</v>
      </c>
      <c r="BY1023">
        <v>9252.99</v>
      </c>
      <c r="BZ1023" t="s">
        <v>23</v>
      </c>
      <c r="CA1023" t="s">
        <v>437</v>
      </c>
      <c r="CC1023" t="s">
        <v>200</v>
      </c>
      <c r="CD1023">
        <v>1559</v>
      </c>
      <c r="CE1023" t="s">
        <v>966</v>
      </c>
      <c r="CF1023" s="1">
        <v>43950</v>
      </c>
      <c r="CI1023">
        <v>1</v>
      </c>
      <c r="CJ1023">
        <v>2</v>
      </c>
      <c r="CK1023">
        <v>22</v>
      </c>
      <c r="CL1023" t="s">
        <v>74</v>
      </c>
    </row>
    <row r="1024" spans="1:90" x14ac:dyDescent="0.25">
      <c r="A1024" t="s">
        <v>61</v>
      </c>
      <c r="B1024" t="s">
        <v>62</v>
      </c>
      <c r="C1024" t="s">
        <v>63</v>
      </c>
      <c r="E1024" t="str">
        <f>"FES1162745065"</f>
        <v>FES1162745065</v>
      </c>
      <c r="F1024" s="1">
        <v>43945</v>
      </c>
      <c r="G1024">
        <v>202010</v>
      </c>
      <c r="H1024" t="s">
        <v>64</v>
      </c>
      <c r="I1024" t="s">
        <v>65</v>
      </c>
      <c r="J1024" t="s">
        <v>66</v>
      </c>
      <c r="K1024" t="s">
        <v>67</v>
      </c>
      <c r="L1024" t="s">
        <v>262</v>
      </c>
      <c r="M1024" t="s">
        <v>262</v>
      </c>
      <c r="N1024" t="s">
        <v>263</v>
      </c>
      <c r="O1024" t="s">
        <v>69</v>
      </c>
      <c r="P1024" t="str">
        <f>"2170736278                    "</f>
        <v xml:space="preserve">2170736278                    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0</v>
      </c>
      <c r="AM1024">
        <v>8.11</v>
      </c>
      <c r="AN1024">
        <v>0</v>
      </c>
      <c r="AO1024">
        <v>0</v>
      </c>
      <c r="AP1024">
        <v>0</v>
      </c>
      <c r="AQ1024">
        <v>0</v>
      </c>
      <c r="AR1024">
        <v>0</v>
      </c>
      <c r="AS1024">
        <v>0</v>
      </c>
      <c r="AT1024">
        <v>0</v>
      </c>
      <c r="AU1024">
        <v>0</v>
      </c>
      <c r="AV1024">
        <v>0</v>
      </c>
      <c r="AW1024">
        <v>0</v>
      </c>
      <c r="AX1024">
        <v>0</v>
      </c>
      <c r="AY1024">
        <v>0</v>
      </c>
      <c r="AZ1024">
        <v>0</v>
      </c>
      <c r="BA1024">
        <v>0</v>
      </c>
      <c r="BB1024">
        <v>0</v>
      </c>
      <c r="BG1024">
        <v>0</v>
      </c>
      <c r="BH1024">
        <v>1</v>
      </c>
      <c r="BI1024">
        <v>1</v>
      </c>
      <c r="BJ1024">
        <v>1.3</v>
      </c>
      <c r="BK1024">
        <v>1.5</v>
      </c>
      <c r="BL1024">
        <v>89.23</v>
      </c>
      <c r="BM1024">
        <v>13.38</v>
      </c>
      <c r="BN1024">
        <v>102.61</v>
      </c>
      <c r="BO1024">
        <v>102.61</v>
      </c>
      <c r="BQ1024" t="s">
        <v>78</v>
      </c>
      <c r="BR1024" t="s">
        <v>71</v>
      </c>
      <c r="BS1024" s="1">
        <v>43949</v>
      </c>
      <c r="BT1024" s="2">
        <v>0.44722222222222219</v>
      </c>
      <c r="BU1024" t="s">
        <v>1083</v>
      </c>
      <c r="BV1024" t="s">
        <v>80</v>
      </c>
      <c r="BY1024">
        <v>6586.46</v>
      </c>
      <c r="BZ1024" t="s">
        <v>23</v>
      </c>
      <c r="CA1024" t="s">
        <v>266</v>
      </c>
      <c r="CC1024" t="s">
        <v>262</v>
      </c>
      <c r="CD1024">
        <v>7646</v>
      </c>
      <c r="CE1024" t="s">
        <v>966</v>
      </c>
      <c r="CF1024" s="1">
        <v>43950</v>
      </c>
      <c r="CI1024">
        <v>1</v>
      </c>
      <c r="CJ1024">
        <v>2</v>
      </c>
      <c r="CK1024">
        <v>23</v>
      </c>
      <c r="CL1024" t="s">
        <v>74</v>
      </c>
    </row>
    <row r="1025" spans="1:90" x14ac:dyDescent="0.25">
      <c r="A1025" t="s">
        <v>61</v>
      </c>
      <c r="B1025" t="s">
        <v>62</v>
      </c>
      <c r="C1025" t="s">
        <v>63</v>
      </c>
      <c r="E1025" t="str">
        <f>"FES1162745733"</f>
        <v>FES1162745733</v>
      </c>
      <c r="F1025" s="1">
        <v>43951</v>
      </c>
      <c r="G1025">
        <v>202010</v>
      </c>
      <c r="H1025" t="s">
        <v>64</v>
      </c>
      <c r="I1025" t="s">
        <v>65</v>
      </c>
      <c r="J1025" t="s">
        <v>66</v>
      </c>
      <c r="K1025" t="s">
        <v>67</v>
      </c>
      <c r="L1025" t="s">
        <v>177</v>
      </c>
      <c r="M1025" t="s">
        <v>178</v>
      </c>
      <c r="N1025" t="s">
        <v>179</v>
      </c>
      <c r="O1025" t="s">
        <v>69</v>
      </c>
      <c r="P1025" t="str">
        <f>"2170736827                    "</f>
        <v xml:space="preserve">2170736827                    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11.51</v>
      </c>
      <c r="AN1025">
        <v>0</v>
      </c>
      <c r="AO1025">
        <v>0</v>
      </c>
      <c r="AP1025">
        <v>0</v>
      </c>
      <c r="AQ1025">
        <v>0</v>
      </c>
      <c r="AR1025">
        <v>0</v>
      </c>
      <c r="AS1025">
        <v>0</v>
      </c>
      <c r="AT1025">
        <v>0</v>
      </c>
      <c r="AU1025">
        <v>0</v>
      </c>
      <c r="AV1025">
        <v>0</v>
      </c>
      <c r="AW1025">
        <v>0</v>
      </c>
      <c r="AX1025">
        <v>0</v>
      </c>
      <c r="AY1025">
        <v>0</v>
      </c>
      <c r="AZ1025">
        <v>0</v>
      </c>
      <c r="BA1025">
        <v>0</v>
      </c>
      <c r="BB1025">
        <v>0</v>
      </c>
      <c r="BG1025">
        <v>0</v>
      </c>
      <c r="BH1025">
        <v>2</v>
      </c>
      <c r="BI1025">
        <v>5.5</v>
      </c>
      <c r="BJ1025">
        <v>2</v>
      </c>
      <c r="BK1025">
        <v>5.5</v>
      </c>
      <c r="BL1025">
        <v>126.6</v>
      </c>
      <c r="BM1025">
        <v>18.989999999999998</v>
      </c>
      <c r="BN1025">
        <v>145.59</v>
      </c>
      <c r="BO1025">
        <v>145.59</v>
      </c>
      <c r="BQ1025" t="s">
        <v>70</v>
      </c>
      <c r="BR1025" t="s">
        <v>71</v>
      </c>
      <c r="BS1025" t="s">
        <v>72</v>
      </c>
      <c r="BY1025">
        <v>9847.94</v>
      </c>
      <c r="CC1025" t="s">
        <v>178</v>
      </c>
      <c r="CD1025">
        <v>4302</v>
      </c>
      <c r="CE1025" t="s">
        <v>1124</v>
      </c>
      <c r="CI1025">
        <v>1</v>
      </c>
      <c r="CJ1025" t="s">
        <v>72</v>
      </c>
      <c r="CK1025">
        <v>21</v>
      </c>
      <c r="CL1025" t="s">
        <v>74</v>
      </c>
    </row>
    <row r="1026" spans="1:90" x14ac:dyDescent="0.25">
      <c r="A1026" t="s">
        <v>61</v>
      </c>
      <c r="B1026" t="s">
        <v>62</v>
      </c>
      <c r="C1026" t="s">
        <v>63</v>
      </c>
      <c r="E1026" t="str">
        <f>"FES1162745117"</f>
        <v>FES1162745117</v>
      </c>
      <c r="F1026" s="1">
        <v>43949</v>
      </c>
      <c r="G1026">
        <v>202010</v>
      </c>
      <c r="H1026" t="s">
        <v>64</v>
      </c>
      <c r="I1026" t="s">
        <v>65</v>
      </c>
      <c r="J1026" t="s">
        <v>66</v>
      </c>
      <c r="K1026" t="s">
        <v>67</v>
      </c>
      <c r="L1026" t="s">
        <v>64</v>
      </c>
      <c r="M1026" t="s">
        <v>65</v>
      </c>
      <c r="N1026" t="s">
        <v>219</v>
      </c>
      <c r="O1026" t="s">
        <v>69</v>
      </c>
      <c r="P1026" t="str">
        <f>"2170734511                    "</f>
        <v xml:space="preserve">2170734511                    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0</v>
      </c>
      <c r="AM1026">
        <v>3.27</v>
      </c>
      <c r="AN1026">
        <v>0</v>
      </c>
      <c r="AO1026">
        <v>0</v>
      </c>
      <c r="AP1026">
        <v>0</v>
      </c>
      <c r="AQ1026">
        <v>0</v>
      </c>
      <c r="AR1026">
        <v>0</v>
      </c>
      <c r="AS1026">
        <v>0</v>
      </c>
      <c r="AT1026">
        <v>0</v>
      </c>
      <c r="AU1026">
        <v>0</v>
      </c>
      <c r="AV1026">
        <v>0</v>
      </c>
      <c r="AW1026">
        <v>0</v>
      </c>
      <c r="AX1026">
        <v>0</v>
      </c>
      <c r="AY1026">
        <v>0</v>
      </c>
      <c r="AZ1026">
        <v>0</v>
      </c>
      <c r="BA1026">
        <v>0</v>
      </c>
      <c r="BB1026">
        <v>0</v>
      </c>
      <c r="BG1026">
        <v>0</v>
      </c>
      <c r="BH1026">
        <v>1</v>
      </c>
      <c r="BI1026">
        <v>1</v>
      </c>
      <c r="BJ1026">
        <v>0.2</v>
      </c>
      <c r="BK1026">
        <v>1</v>
      </c>
      <c r="BL1026">
        <v>35.979999999999997</v>
      </c>
      <c r="BM1026">
        <v>5.4</v>
      </c>
      <c r="BN1026">
        <v>41.38</v>
      </c>
      <c r="BO1026">
        <v>41.38</v>
      </c>
      <c r="BQ1026" t="s">
        <v>78</v>
      </c>
      <c r="BR1026" t="s">
        <v>71</v>
      </c>
      <c r="BS1026" s="1">
        <v>43950</v>
      </c>
      <c r="BT1026" s="2">
        <v>0.3611111111111111</v>
      </c>
      <c r="BU1026" t="s">
        <v>1052</v>
      </c>
      <c r="BV1026" t="s">
        <v>80</v>
      </c>
      <c r="BY1026">
        <v>1200</v>
      </c>
      <c r="CC1026" t="s">
        <v>65</v>
      </c>
      <c r="CD1026">
        <v>1601</v>
      </c>
      <c r="CE1026" t="s">
        <v>73</v>
      </c>
      <c r="CF1026" s="1">
        <v>43951</v>
      </c>
      <c r="CI1026">
        <v>1</v>
      </c>
      <c r="CJ1026">
        <v>1</v>
      </c>
      <c r="CK1026">
        <v>22</v>
      </c>
      <c r="CL1026" t="s">
        <v>74</v>
      </c>
    </row>
    <row r="1027" spans="1:90" x14ac:dyDescent="0.25">
      <c r="A1027" t="s">
        <v>61</v>
      </c>
      <c r="B1027" t="s">
        <v>62</v>
      </c>
      <c r="C1027" t="s">
        <v>63</v>
      </c>
      <c r="E1027" t="str">
        <f>"FES1162745478"</f>
        <v>FES1162745478</v>
      </c>
      <c r="F1027" s="1">
        <v>43949</v>
      </c>
      <c r="G1027">
        <v>202010</v>
      </c>
      <c r="H1027" t="s">
        <v>64</v>
      </c>
      <c r="I1027" t="s">
        <v>65</v>
      </c>
      <c r="J1027" t="s">
        <v>66</v>
      </c>
      <c r="K1027" t="s">
        <v>67</v>
      </c>
      <c r="L1027" t="s">
        <v>120</v>
      </c>
      <c r="M1027" t="s">
        <v>121</v>
      </c>
      <c r="N1027" t="s">
        <v>206</v>
      </c>
      <c r="O1027" t="s">
        <v>69</v>
      </c>
      <c r="P1027" t="str">
        <f>"2170736193                    "</f>
        <v xml:space="preserve">2170736193                    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0</v>
      </c>
      <c r="AM1027">
        <v>4.1900000000000004</v>
      </c>
      <c r="AN1027">
        <v>0</v>
      </c>
      <c r="AO1027">
        <v>0</v>
      </c>
      <c r="AP1027">
        <v>0</v>
      </c>
      <c r="AQ1027">
        <v>0</v>
      </c>
      <c r="AR1027">
        <v>0</v>
      </c>
      <c r="AS1027">
        <v>0</v>
      </c>
      <c r="AT1027">
        <v>0</v>
      </c>
      <c r="AU1027">
        <v>0</v>
      </c>
      <c r="AV1027">
        <v>0</v>
      </c>
      <c r="AW1027">
        <v>0</v>
      </c>
      <c r="AX1027">
        <v>0</v>
      </c>
      <c r="AY1027">
        <v>0</v>
      </c>
      <c r="AZ1027">
        <v>0</v>
      </c>
      <c r="BA1027">
        <v>0</v>
      </c>
      <c r="BB1027">
        <v>0</v>
      </c>
      <c r="BG1027">
        <v>0</v>
      </c>
      <c r="BH1027">
        <v>1</v>
      </c>
      <c r="BI1027">
        <v>1</v>
      </c>
      <c r="BJ1027">
        <v>0.2</v>
      </c>
      <c r="BK1027">
        <v>1</v>
      </c>
      <c r="BL1027">
        <v>46.06</v>
      </c>
      <c r="BM1027">
        <v>6.91</v>
      </c>
      <c r="BN1027">
        <v>52.97</v>
      </c>
      <c r="BO1027">
        <v>52.97</v>
      </c>
      <c r="BQ1027" t="s">
        <v>70</v>
      </c>
      <c r="BR1027" t="s">
        <v>71</v>
      </c>
      <c r="BS1027" s="1">
        <v>43950</v>
      </c>
      <c r="BT1027" s="2">
        <v>0.5</v>
      </c>
      <c r="BU1027" t="s">
        <v>1125</v>
      </c>
      <c r="BV1027" t="s">
        <v>74</v>
      </c>
      <c r="BY1027">
        <v>1200</v>
      </c>
      <c r="CC1027" t="s">
        <v>121</v>
      </c>
      <c r="CD1027">
        <v>4000</v>
      </c>
      <c r="CE1027" t="s">
        <v>73</v>
      </c>
      <c r="CF1027" s="1">
        <v>43951</v>
      </c>
      <c r="CI1027">
        <v>1</v>
      </c>
      <c r="CJ1027">
        <v>1</v>
      </c>
      <c r="CK1027">
        <v>21</v>
      </c>
      <c r="CL1027" t="s">
        <v>74</v>
      </c>
    </row>
    <row r="1028" spans="1:90" x14ac:dyDescent="0.25">
      <c r="A1028" t="s">
        <v>61</v>
      </c>
      <c r="B1028" t="s">
        <v>62</v>
      </c>
      <c r="C1028" t="s">
        <v>63</v>
      </c>
      <c r="E1028" t="str">
        <f>"FES1162745483"</f>
        <v>FES1162745483</v>
      </c>
      <c r="F1028" s="1">
        <v>43949</v>
      </c>
      <c r="G1028">
        <v>202010</v>
      </c>
      <c r="H1028" t="s">
        <v>64</v>
      </c>
      <c r="I1028" t="s">
        <v>65</v>
      </c>
      <c r="J1028" t="s">
        <v>66</v>
      </c>
      <c r="K1028" t="s">
        <v>67</v>
      </c>
      <c r="L1028" t="s">
        <v>120</v>
      </c>
      <c r="M1028" t="s">
        <v>121</v>
      </c>
      <c r="N1028" t="s">
        <v>572</v>
      </c>
      <c r="O1028" t="s">
        <v>69</v>
      </c>
      <c r="P1028" t="str">
        <f>"2170736403                    "</f>
        <v xml:space="preserve">2170736403                    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0</v>
      </c>
      <c r="AM1028">
        <v>4.1900000000000004</v>
      </c>
      <c r="AN1028">
        <v>0</v>
      </c>
      <c r="AO1028">
        <v>0</v>
      </c>
      <c r="AP1028">
        <v>0</v>
      </c>
      <c r="AQ1028">
        <v>0</v>
      </c>
      <c r="AR1028">
        <v>0</v>
      </c>
      <c r="AS1028">
        <v>0</v>
      </c>
      <c r="AT1028">
        <v>0</v>
      </c>
      <c r="AU1028">
        <v>0</v>
      </c>
      <c r="AV1028">
        <v>0</v>
      </c>
      <c r="AW1028">
        <v>0</v>
      </c>
      <c r="AX1028">
        <v>0</v>
      </c>
      <c r="AY1028">
        <v>0</v>
      </c>
      <c r="AZ1028">
        <v>0</v>
      </c>
      <c r="BA1028">
        <v>0</v>
      </c>
      <c r="BB1028">
        <v>0</v>
      </c>
      <c r="BG1028">
        <v>0</v>
      </c>
      <c r="BH1028">
        <v>1</v>
      </c>
      <c r="BI1028">
        <v>1</v>
      </c>
      <c r="BJ1028">
        <v>0.2</v>
      </c>
      <c r="BK1028">
        <v>1</v>
      </c>
      <c r="BL1028">
        <v>46.06</v>
      </c>
      <c r="BM1028">
        <v>6.91</v>
      </c>
      <c r="BN1028">
        <v>52.97</v>
      </c>
      <c r="BO1028">
        <v>52.97</v>
      </c>
      <c r="BQ1028" t="s">
        <v>78</v>
      </c>
      <c r="BR1028" t="s">
        <v>71</v>
      </c>
      <c r="BS1028" s="1">
        <v>43950</v>
      </c>
      <c r="BT1028" s="2">
        <v>0.45208333333333334</v>
      </c>
      <c r="BU1028" t="s">
        <v>573</v>
      </c>
      <c r="BV1028" t="s">
        <v>74</v>
      </c>
      <c r="BW1028" t="s">
        <v>85</v>
      </c>
      <c r="BX1028" t="s">
        <v>339</v>
      </c>
      <c r="BY1028">
        <v>1200</v>
      </c>
      <c r="CA1028" t="s">
        <v>574</v>
      </c>
      <c r="CC1028" t="s">
        <v>121</v>
      </c>
      <c r="CD1028">
        <v>4051</v>
      </c>
      <c r="CE1028" t="s">
        <v>73</v>
      </c>
      <c r="CF1028" s="1">
        <v>43951</v>
      </c>
      <c r="CI1028">
        <v>1</v>
      </c>
      <c r="CJ1028">
        <v>1</v>
      </c>
      <c r="CK1028">
        <v>21</v>
      </c>
      <c r="CL1028" t="s">
        <v>74</v>
      </c>
    </row>
    <row r="1029" spans="1:90" x14ac:dyDescent="0.25">
      <c r="A1029" t="s">
        <v>61</v>
      </c>
      <c r="B1029" t="s">
        <v>62</v>
      </c>
      <c r="C1029" t="s">
        <v>63</v>
      </c>
      <c r="E1029" t="str">
        <f>"FES1162745497"</f>
        <v>FES1162745497</v>
      </c>
      <c r="F1029" s="1">
        <v>43949</v>
      </c>
      <c r="G1029">
        <v>202010</v>
      </c>
      <c r="H1029" t="s">
        <v>64</v>
      </c>
      <c r="I1029" t="s">
        <v>65</v>
      </c>
      <c r="J1029" t="s">
        <v>66</v>
      </c>
      <c r="K1029" t="s">
        <v>67</v>
      </c>
      <c r="L1029" t="s">
        <v>194</v>
      </c>
      <c r="M1029" t="s">
        <v>195</v>
      </c>
      <c r="N1029" t="s">
        <v>196</v>
      </c>
      <c r="O1029" t="s">
        <v>69</v>
      </c>
      <c r="P1029" t="str">
        <f>"2170736640                    "</f>
        <v xml:space="preserve">2170736640                    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33.76</v>
      </c>
      <c r="AN1029">
        <v>0</v>
      </c>
      <c r="AO1029">
        <v>0</v>
      </c>
      <c r="AP1029">
        <v>0</v>
      </c>
      <c r="AQ1029">
        <v>0</v>
      </c>
      <c r="AR1029">
        <v>0</v>
      </c>
      <c r="AS1029">
        <v>0</v>
      </c>
      <c r="AT1029">
        <v>0</v>
      </c>
      <c r="AU1029">
        <v>0</v>
      </c>
      <c r="AV1029">
        <v>0</v>
      </c>
      <c r="AW1029">
        <v>0</v>
      </c>
      <c r="AX1029">
        <v>0</v>
      </c>
      <c r="AY1029">
        <v>0</v>
      </c>
      <c r="AZ1029">
        <v>0</v>
      </c>
      <c r="BA1029">
        <v>0</v>
      </c>
      <c r="BB1029">
        <v>0</v>
      </c>
      <c r="BG1029">
        <v>0</v>
      </c>
      <c r="BH1029">
        <v>1</v>
      </c>
      <c r="BI1029">
        <v>8.6999999999999993</v>
      </c>
      <c r="BJ1029">
        <v>3.1</v>
      </c>
      <c r="BK1029">
        <v>9</v>
      </c>
      <c r="BL1029">
        <v>371.36</v>
      </c>
      <c r="BM1029">
        <v>55.7</v>
      </c>
      <c r="BN1029">
        <v>427.06</v>
      </c>
      <c r="BO1029">
        <v>427.06</v>
      </c>
      <c r="BQ1029" t="s">
        <v>70</v>
      </c>
      <c r="BR1029" t="s">
        <v>71</v>
      </c>
      <c r="BS1029" s="1">
        <v>43950</v>
      </c>
      <c r="BT1029" s="2">
        <v>0.39583333333333331</v>
      </c>
      <c r="BU1029" t="s">
        <v>197</v>
      </c>
      <c r="BV1029" t="s">
        <v>80</v>
      </c>
      <c r="BY1029">
        <v>15744.43</v>
      </c>
      <c r="CA1029" t="s">
        <v>1104</v>
      </c>
      <c r="CC1029" t="s">
        <v>195</v>
      </c>
      <c r="CD1029">
        <v>9880</v>
      </c>
      <c r="CE1029" t="s">
        <v>91</v>
      </c>
      <c r="CF1029" s="1">
        <v>43952</v>
      </c>
      <c r="CI1029">
        <v>1</v>
      </c>
      <c r="CJ1029">
        <v>1</v>
      </c>
      <c r="CK1029">
        <v>23</v>
      </c>
      <c r="CL1029" t="s">
        <v>74</v>
      </c>
    </row>
    <row r="1030" spans="1:90" x14ac:dyDescent="0.25">
      <c r="A1030" t="s">
        <v>61</v>
      </c>
      <c r="B1030" t="s">
        <v>62</v>
      </c>
      <c r="C1030" t="s">
        <v>63</v>
      </c>
      <c r="E1030" t="str">
        <f>"FES1162745518"</f>
        <v>FES1162745518</v>
      </c>
      <c r="F1030" s="1">
        <v>43949</v>
      </c>
      <c r="G1030">
        <v>202010</v>
      </c>
      <c r="H1030" t="s">
        <v>64</v>
      </c>
      <c r="I1030" t="s">
        <v>65</v>
      </c>
      <c r="J1030" t="s">
        <v>66</v>
      </c>
      <c r="K1030" t="s">
        <v>67</v>
      </c>
      <c r="L1030" t="s">
        <v>270</v>
      </c>
      <c r="M1030" t="s">
        <v>271</v>
      </c>
      <c r="N1030" t="s">
        <v>1053</v>
      </c>
      <c r="O1030" t="s">
        <v>69</v>
      </c>
      <c r="P1030" t="str">
        <f>"2170734036                    "</f>
        <v xml:space="preserve">2170734036                    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  <c r="AL1030">
        <v>0</v>
      </c>
      <c r="AM1030">
        <v>3.66</v>
      </c>
      <c r="AN1030">
        <v>0</v>
      </c>
      <c r="AO1030">
        <v>0</v>
      </c>
      <c r="AP1030">
        <v>0</v>
      </c>
      <c r="AQ1030">
        <v>0</v>
      </c>
      <c r="AR1030">
        <v>0</v>
      </c>
      <c r="AS1030">
        <v>0</v>
      </c>
      <c r="AT1030">
        <v>0</v>
      </c>
      <c r="AU1030">
        <v>0</v>
      </c>
      <c r="AV1030">
        <v>0</v>
      </c>
      <c r="AW1030">
        <v>0</v>
      </c>
      <c r="AX1030">
        <v>0</v>
      </c>
      <c r="AY1030">
        <v>0</v>
      </c>
      <c r="AZ1030">
        <v>0</v>
      </c>
      <c r="BA1030">
        <v>0</v>
      </c>
      <c r="BB1030">
        <v>0</v>
      </c>
      <c r="BG1030">
        <v>0</v>
      </c>
      <c r="BH1030">
        <v>1</v>
      </c>
      <c r="BI1030">
        <v>2.4</v>
      </c>
      <c r="BJ1030">
        <v>1.5</v>
      </c>
      <c r="BK1030">
        <v>2.5</v>
      </c>
      <c r="BL1030">
        <v>40.29</v>
      </c>
      <c r="BM1030">
        <v>6.04</v>
      </c>
      <c r="BN1030">
        <v>46.33</v>
      </c>
      <c r="BO1030">
        <v>46.33</v>
      </c>
      <c r="BQ1030" t="s">
        <v>78</v>
      </c>
      <c r="BR1030" t="s">
        <v>71</v>
      </c>
      <c r="BS1030" s="1">
        <v>43950</v>
      </c>
      <c r="BT1030" s="2">
        <v>0.34375</v>
      </c>
      <c r="BU1030" t="s">
        <v>1054</v>
      </c>
      <c r="BV1030" t="s">
        <v>80</v>
      </c>
      <c r="BY1030">
        <v>7650.72</v>
      </c>
      <c r="CA1030" t="s">
        <v>486</v>
      </c>
      <c r="CC1030" t="s">
        <v>271</v>
      </c>
      <c r="CD1030">
        <v>2094</v>
      </c>
      <c r="CE1030" t="s">
        <v>91</v>
      </c>
      <c r="CF1030" s="1">
        <v>43951</v>
      </c>
      <c r="CI1030">
        <v>1</v>
      </c>
      <c r="CJ1030">
        <v>1</v>
      </c>
      <c r="CK1030">
        <v>22</v>
      </c>
      <c r="CL1030" t="s">
        <v>74</v>
      </c>
    </row>
    <row r="1031" spans="1:90" x14ac:dyDescent="0.25">
      <c r="A1031" t="s">
        <v>61</v>
      </c>
      <c r="B1031" t="s">
        <v>62</v>
      </c>
      <c r="C1031" t="s">
        <v>63</v>
      </c>
      <c r="E1031" t="str">
        <f>"FES1162745550"</f>
        <v>FES1162745550</v>
      </c>
      <c r="F1031" s="1">
        <v>43949</v>
      </c>
      <c r="G1031">
        <v>202010</v>
      </c>
      <c r="H1031" t="s">
        <v>64</v>
      </c>
      <c r="I1031" t="s">
        <v>65</v>
      </c>
      <c r="J1031" t="s">
        <v>66</v>
      </c>
      <c r="K1031" t="s">
        <v>67</v>
      </c>
      <c r="L1031" t="s">
        <v>443</v>
      </c>
      <c r="M1031" t="s">
        <v>444</v>
      </c>
      <c r="N1031" t="s">
        <v>1042</v>
      </c>
      <c r="O1031" t="s">
        <v>69</v>
      </c>
      <c r="P1031" t="str">
        <f>"2170735028                    "</f>
        <v xml:space="preserve">2170735028                    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0</v>
      </c>
      <c r="AM1031">
        <v>7.98</v>
      </c>
      <c r="AN1031">
        <v>0</v>
      </c>
      <c r="AO1031">
        <v>0</v>
      </c>
      <c r="AP1031">
        <v>0</v>
      </c>
      <c r="AQ1031">
        <v>0</v>
      </c>
      <c r="AR1031">
        <v>0</v>
      </c>
      <c r="AS1031">
        <v>0</v>
      </c>
      <c r="AT1031">
        <v>0</v>
      </c>
      <c r="AU1031">
        <v>0</v>
      </c>
      <c r="AV1031">
        <v>0</v>
      </c>
      <c r="AW1031">
        <v>0</v>
      </c>
      <c r="AX1031">
        <v>0</v>
      </c>
      <c r="AY1031">
        <v>0</v>
      </c>
      <c r="AZ1031">
        <v>0</v>
      </c>
      <c r="BA1031">
        <v>0</v>
      </c>
      <c r="BB1031">
        <v>0</v>
      </c>
      <c r="BG1031">
        <v>0</v>
      </c>
      <c r="BH1031">
        <v>1</v>
      </c>
      <c r="BI1031">
        <v>8</v>
      </c>
      <c r="BJ1031">
        <v>2.2999999999999998</v>
      </c>
      <c r="BK1031">
        <v>8</v>
      </c>
      <c r="BL1031">
        <v>87.73</v>
      </c>
      <c r="BM1031">
        <v>13.16</v>
      </c>
      <c r="BN1031">
        <v>100.89</v>
      </c>
      <c r="BO1031">
        <v>100.89</v>
      </c>
      <c r="BQ1031" t="s">
        <v>70</v>
      </c>
      <c r="BR1031" t="s">
        <v>71</v>
      </c>
      <c r="BS1031" t="s">
        <v>72</v>
      </c>
      <c r="BY1031">
        <v>11547.65</v>
      </c>
      <c r="CC1031" t="s">
        <v>444</v>
      </c>
      <c r="CD1031">
        <v>1451</v>
      </c>
      <c r="CE1031" t="s">
        <v>91</v>
      </c>
      <c r="CI1031">
        <v>1</v>
      </c>
      <c r="CJ1031" t="s">
        <v>72</v>
      </c>
      <c r="CK1031">
        <v>22</v>
      </c>
      <c r="CL1031" t="s">
        <v>74</v>
      </c>
    </row>
    <row r="1032" spans="1:90" x14ac:dyDescent="0.25">
      <c r="A1032" t="s">
        <v>61</v>
      </c>
      <c r="B1032" t="s">
        <v>62</v>
      </c>
      <c r="C1032" t="s">
        <v>63</v>
      </c>
      <c r="E1032" t="str">
        <f>"FES1162745532"</f>
        <v>FES1162745532</v>
      </c>
      <c r="F1032" s="1">
        <v>43949</v>
      </c>
      <c r="G1032">
        <v>202010</v>
      </c>
      <c r="H1032" t="s">
        <v>64</v>
      </c>
      <c r="I1032" t="s">
        <v>65</v>
      </c>
      <c r="J1032" t="s">
        <v>66</v>
      </c>
      <c r="K1032" t="s">
        <v>67</v>
      </c>
      <c r="L1032" t="s">
        <v>443</v>
      </c>
      <c r="M1032" t="s">
        <v>444</v>
      </c>
      <c r="N1032" t="s">
        <v>1042</v>
      </c>
      <c r="O1032" t="s">
        <v>69</v>
      </c>
      <c r="P1032" t="str">
        <f>"2170735498                    "</f>
        <v xml:space="preserve">2170735498                    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6.41</v>
      </c>
      <c r="AN1032">
        <v>0</v>
      </c>
      <c r="AO1032">
        <v>0</v>
      </c>
      <c r="AP1032">
        <v>0</v>
      </c>
      <c r="AQ1032">
        <v>0</v>
      </c>
      <c r="AR1032">
        <v>0</v>
      </c>
      <c r="AS1032">
        <v>0</v>
      </c>
      <c r="AT1032">
        <v>0</v>
      </c>
      <c r="AU1032">
        <v>0</v>
      </c>
      <c r="AV1032">
        <v>0</v>
      </c>
      <c r="AW1032">
        <v>0</v>
      </c>
      <c r="AX1032">
        <v>0</v>
      </c>
      <c r="AY1032">
        <v>0</v>
      </c>
      <c r="AZ1032">
        <v>0</v>
      </c>
      <c r="BA1032">
        <v>0</v>
      </c>
      <c r="BB1032">
        <v>0</v>
      </c>
      <c r="BG1032">
        <v>0</v>
      </c>
      <c r="BH1032">
        <v>1</v>
      </c>
      <c r="BI1032">
        <v>3.6</v>
      </c>
      <c r="BJ1032">
        <v>5.6</v>
      </c>
      <c r="BK1032">
        <v>6</v>
      </c>
      <c r="BL1032">
        <v>70.48</v>
      </c>
      <c r="BM1032">
        <v>10.57</v>
      </c>
      <c r="BN1032">
        <v>81.05</v>
      </c>
      <c r="BO1032">
        <v>81.05</v>
      </c>
      <c r="BQ1032" t="s">
        <v>70</v>
      </c>
      <c r="BR1032" t="s">
        <v>71</v>
      </c>
      <c r="BS1032" t="s">
        <v>72</v>
      </c>
      <c r="BY1032">
        <v>28024.92</v>
      </c>
      <c r="CC1032" t="s">
        <v>444</v>
      </c>
      <c r="CD1032">
        <v>1451</v>
      </c>
      <c r="CE1032" t="s">
        <v>91</v>
      </c>
      <c r="CI1032">
        <v>1</v>
      </c>
      <c r="CJ1032" t="s">
        <v>72</v>
      </c>
      <c r="CK1032">
        <v>22</v>
      </c>
      <c r="CL1032" t="s">
        <v>74</v>
      </c>
    </row>
    <row r="1033" spans="1:90" x14ac:dyDescent="0.25">
      <c r="A1033" t="s">
        <v>61</v>
      </c>
      <c r="B1033" t="s">
        <v>62</v>
      </c>
      <c r="C1033" t="s">
        <v>63</v>
      </c>
      <c r="E1033" t="str">
        <f>"FES1162745529"</f>
        <v>FES1162745529</v>
      </c>
      <c r="F1033" s="1">
        <v>43949</v>
      </c>
      <c r="G1033">
        <v>202010</v>
      </c>
      <c r="H1033" t="s">
        <v>64</v>
      </c>
      <c r="I1033" t="s">
        <v>65</v>
      </c>
      <c r="J1033" t="s">
        <v>66</v>
      </c>
      <c r="K1033" t="s">
        <v>67</v>
      </c>
      <c r="L1033" t="s">
        <v>443</v>
      </c>
      <c r="M1033" t="s">
        <v>444</v>
      </c>
      <c r="N1033" t="s">
        <v>1042</v>
      </c>
      <c r="O1033" t="s">
        <v>69</v>
      </c>
      <c r="P1033" t="str">
        <f>"217073733933                  "</f>
        <v xml:space="preserve">217073733933                  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  <c r="AL1033">
        <v>0</v>
      </c>
      <c r="AM1033">
        <v>4.0599999999999996</v>
      </c>
      <c r="AN1033">
        <v>0</v>
      </c>
      <c r="AO1033">
        <v>0</v>
      </c>
      <c r="AP1033">
        <v>0</v>
      </c>
      <c r="AQ1033">
        <v>0</v>
      </c>
      <c r="AR1033">
        <v>0</v>
      </c>
      <c r="AS1033">
        <v>0</v>
      </c>
      <c r="AT1033">
        <v>0</v>
      </c>
      <c r="AU1033">
        <v>0</v>
      </c>
      <c r="AV1033">
        <v>0</v>
      </c>
      <c r="AW1033">
        <v>0</v>
      </c>
      <c r="AX1033">
        <v>0</v>
      </c>
      <c r="AY1033">
        <v>0</v>
      </c>
      <c r="AZ1033">
        <v>0</v>
      </c>
      <c r="BA1033">
        <v>0</v>
      </c>
      <c r="BB1033">
        <v>0</v>
      </c>
      <c r="BG1033">
        <v>0</v>
      </c>
      <c r="BH1033">
        <v>1</v>
      </c>
      <c r="BI1033">
        <v>2.7</v>
      </c>
      <c r="BJ1033">
        <v>1.6</v>
      </c>
      <c r="BK1033">
        <v>3</v>
      </c>
      <c r="BL1033">
        <v>44.61</v>
      </c>
      <c r="BM1033">
        <v>6.69</v>
      </c>
      <c r="BN1033">
        <v>51.3</v>
      </c>
      <c r="BO1033">
        <v>51.3</v>
      </c>
      <c r="BQ1033" t="s">
        <v>70</v>
      </c>
      <c r="BR1033" t="s">
        <v>71</v>
      </c>
      <c r="BS1033" t="s">
        <v>72</v>
      </c>
      <c r="BY1033">
        <v>8001.99</v>
      </c>
      <c r="CC1033" t="s">
        <v>444</v>
      </c>
      <c r="CD1033">
        <v>1451</v>
      </c>
      <c r="CE1033" t="s">
        <v>91</v>
      </c>
      <c r="CI1033">
        <v>1</v>
      </c>
      <c r="CJ1033" t="s">
        <v>72</v>
      </c>
      <c r="CK1033">
        <v>22</v>
      </c>
      <c r="CL1033" t="s">
        <v>74</v>
      </c>
    </row>
    <row r="1034" spans="1:90" x14ac:dyDescent="0.25">
      <c r="A1034" t="s">
        <v>61</v>
      </c>
      <c r="B1034" t="s">
        <v>62</v>
      </c>
      <c r="C1034" t="s">
        <v>63</v>
      </c>
      <c r="E1034" t="str">
        <f>"FES1162745559"</f>
        <v>FES1162745559</v>
      </c>
      <c r="F1034" s="1">
        <v>43949</v>
      </c>
      <c r="G1034">
        <v>202010</v>
      </c>
      <c r="H1034" t="s">
        <v>64</v>
      </c>
      <c r="I1034" t="s">
        <v>65</v>
      </c>
      <c r="J1034" t="s">
        <v>66</v>
      </c>
      <c r="K1034" t="s">
        <v>67</v>
      </c>
      <c r="L1034" t="s">
        <v>184</v>
      </c>
      <c r="M1034" t="s">
        <v>185</v>
      </c>
      <c r="N1034" t="s">
        <v>186</v>
      </c>
      <c r="O1034" t="s">
        <v>69</v>
      </c>
      <c r="P1034" t="str">
        <f>"2170735591                    "</f>
        <v xml:space="preserve">2170735591                    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0</v>
      </c>
      <c r="AM1034">
        <v>11.78</v>
      </c>
      <c r="AN1034">
        <v>0</v>
      </c>
      <c r="AO1034">
        <v>0</v>
      </c>
      <c r="AP1034">
        <v>0</v>
      </c>
      <c r="AQ1034">
        <v>0</v>
      </c>
      <c r="AR1034">
        <v>0</v>
      </c>
      <c r="AS1034">
        <v>0</v>
      </c>
      <c r="AT1034">
        <v>0</v>
      </c>
      <c r="AU1034">
        <v>0</v>
      </c>
      <c r="AV1034">
        <v>0</v>
      </c>
      <c r="AW1034">
        <v>0</v>
      </c>
      <c r="AX1034">
        <v>0</v>
      </c>
      <c r="AY1034">
        <v>0</v>
      </c>
      <c r="AZ1034">
        <v>0</v>
      </c>
      <c r="BA1034">
        <v>0</v>
      </c>
      <c r="BB1034">
        <v>0</v>
      </c>
      <c r="BG1034">
        <v>0</v>
      </c>
      <c r="BH1034">
        <v>1</v>
      </c>
      <c r="BI1034">
        <v>2.7</v>
      </c>
      <c r="BJ1034">
        <v>1.1000000000000001</v>
      </c>
      <c r="BK1034">
        <v>3</v>
      </c>
      <c r="BL1034">
        <v>129.54</v>
      </c>
      <c r="BM1034">
        <v>19.43</v>
      </c>
      <c r="BN1034">
        <v>148.97</v>
      </c>
      <c r="BO1034">
        <v>148.97</v>
      </c>
      <c r="BQ1034" t="s">
        <v>70</v>
      </c>
      <c r="BR1034" t="s">
        <v>71</v>
      </c>
      <c r="BS1034" s="1">
        <v>43950</v>
      </c>
      <c r="BT1034" s="2">
        <v>0.40416666666666662</v>
      </c>
      <c r="BU1034" t="s">
        <v>328</v>
      </c>
      <c r="BV1034" t="s">
        <v>80</v>
      </c>
      <c r="BY1034">
        <v>5732.3</v>
      </c>
      <c r="CA1034" t="s">
        <v>245</v>
      </c>
      <c r="CC1034" t="s">
        <v>185</v>
      </c>
      <c r="CD1034">
        <v>7130</v>
      </c>
      <c r="CE1034" t="s">
        <v>91</v>
      </c>
      <c r="CF1034" s="1">
        <v>43951</v>
      </c>
      <c r="CI1034">
        <v>1</v>
      </c>
      <c r="CJ1034">
        <v>1</v>
      </c>
      <c r="CK1034">
        <v>23</v>
      </c>
      <c r="CL1034" t="s">
        <v>74</v>
      </c>
    </row>
    <row r="1035" spans="1:90" x14ac:dyDescent="0.25">
      <c r="A1035" t="s">
        <v>61</v>
      </c>
      <c r="B1035" t="s">
        <v>62</v>
      </c>
      <c r="C1035" t="s">
        <v>63</v>
      </c>
      <c r="E1035" t="str">
        <f>"FES1162745563"</f>
        <v>FES1162745563</v>
      </c>
      <c r="F1035" s="1">
        <v>43949</v>
      </c>
      <c r="G1035">
        <v>202010</v>
      </c>
      <c r="H1035" t="s">
        <v>64</v>
      </c>
      <c r="I1035" t="s">
        <v>65</v>
      </c>
      <c r="J1035" t="s">
        <v>66</v>
      </c>
      <c r="K1035" t="s">
        <v>67</v>
      </c>
      <c r="L1035" t="s">
        <v>92</v>
      </c>
      <c r="M1035" t="s">
        <v>93</v>
      </c>
      <c r="N1035" t="s">
        <v>925</v>
      </c>
      <c r="O1035" t="s">
        <v>69</v>
      </c>
      <c r="P1035" t="str">
        <f>"2170736685                    "</f>
        <v xml:space="preserve">2170736685                    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4.1900000000000004</v>
      </c>
      <c r="AN1035">
        <v>0</v>
      </c>
      <c r="AO1035">
        <v>0</v>
      </c>
      <c r="AP1035">
        <v>0</v>
      </c>
      <c r="AQ1035">
        <v>0</v>
      </c>
      <c r="AR1035">
        <v>0</v>
      </c>
      <c r="AS1035">
        <v>0</v>
      </c>
      <c r="AT1035">
        <v>0</v>
      </c>
      <c r="AU1035">
        <v>0</v>
      </c>
      <c r="AV1035">
        <v>0</v>
      </c>
      <c r="AW1035">
        <v>0</v>
      </c>
      <c r="AX1035">
        <v>0</v>
      </c>
      <c r="AY1035">
        <v>0</v>
      </c>
      <c r="AZ1035">
        <v>0</v>
      </c>
      <c r="BA1035">
        <v>0</v>
      </c>
      <c r="BB1035">
        <v>0</v>
      </c>
      <c r="BG1035">
        <v>0</v>
      </c>
      <c r="BH1035">
        <v>1</v>
      </c>
      <c r="BI1035">
        <v>1</v>
      </c>
      <c r="BJ1035">
        <v>0.2</v>
      </c>
      <c r="BK1035">
        <v>1</v>
      </c>
      <c r="BL1035">
        <v>46.06</v>
      </c>
      <c r="BM1035">
        <v>6.91</v>
      </c>
      <c r="BN1035">
        <v>52.97</v>
      </c>
      <c r="BO1035">
        <v>52.97</v>
      </c>
      <c r="BQ1035" t="s">
        <v>78</v>
      </c>
      <c r="BR1035" t="s">
        <v>71</v>
      </c>
      <c r="BS1035" s="1">
        <v>43950</v>
      </c>
      <c r="BT1035" s="2">
        <v>0.59097222222222223</v>
      </c>
      <c r="BU1035" t="s">
        <v>1126</v>
      </c>
      <c r="BV1035" t="s">
        <v>74</v>
      </c>
      <c r="BW1035" t="s">
        <v>96</v>
      </c>
      <c r="BX1035" t="s">
        <v>97</v>
      </c>
      <c r="BY1035">
        <v>1200</v>
      </c>
      <c r="CA1035" t="s">
        <v>164</v>
      </c>
      <c r="CC1035" t="s">
        <v>93</v>
      </c>
      <c r="CD1035">
        <v>7925</v>
      </c>
      <c r="CE1035" t="s">
        <v>73</v>
      </c>
      <c r="CF1035" s="1">
        <v>43951</v>
      </c>
      <c r="CI1035">
        <v>1</v>
      </c>
      <c r="CJ1035">
        <v>1</v>
      </c>
      <c r="CK1035">
        <v>21</v>
      </c>
      <c r="CL1035" t="s">
        <v>74</v>
      </c>
    </row>
    <row r="1036" spans="1:90" x14ac:dyDescent="0.25">
      <c r="A1036" t="s">
        <v>61</v>
      </c>
      <c r="B1036" t="s">
        <v>62</v>
      </c>
      <c r="C1036" t="s">
        <v>63</v>
      </c>
      <c r="E1036" t="str">
        <f>"FES1162745477"</f>
        <v>FES1162745477</v>
      </c>
      <c r="F1036" s="1">
        <v>43949</v>
      </c>
      <c r="G1036">
        <v>202010</v>
      </c>
      <c r="H1036" t="s">
        <v>64</v>
      </c>
      <c r="I1036" t="s">
        <v>65</v>
      </c>
      <c r="J1036" t="s">
        <v>66</v>
      </c>
      <c r="K1036" t="s">
        <v>67</v>
      </c>
      <c r="L1036" t="s">
        <v>556</v>
      </c>
      <c r="M1036" t="s">
        <v>557</v>
      </c>
      <c r="N1036" t="s">
        <v>1127</v>
      </c>
      <c r="O1036" t="s">
        <v>69</v>
      </c>
      <c r="P1036" t="str">
        <f>"2170736149                    "</f>
        <v xml:space="preserve">2170736149                    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0</v>
      </c>
      <c r="AM1036">
        <v>8.11</v>
      </c>
      <c r="AN1036">
        <v>0</v>
      </c>
      <c r="AO1036">
        <v>0</v>
      </c>
      <c r="AP1036">
        <v>0</v>
      </c>
      <c r="AQ1036">
        <v>0</v>
      </c>
      <c r="AR1036">
        <v>0</v>
      </c>
      <c r="AS1036">
        <v>0</v>
      </c>
      <c r="AT1036">
        <v>0</v>
      </c>
      <c r="AU1036">
        <v>0</v>
      </c>
      <c r="AV1036">
        <v>0</v>
      </c>
      <c r="AW1036">
        <v>0</v>
      </c>
      <c r="AX1036">
        <v>0</v>
      </c>
      <c r="AY1036">
        <v>0</v>
      </c>
      <c r="AZ1036">
        <v>0</v>
      </c>
      <c r="BA1036">
        <v>0</v>
      </c>
      <c r="BB1036">
        <v>0</v>
      </c>
      <c r="BG1036">
        <v>0</v>
      </c>
      <c r="BH1036">
        <v>1</v>
      </c>
      <c r="BI1036">
        <v>1</v>
      </c>
      <c r="BJ1036">
        <v>0.2</v>
      </c>
      <c r="BK1036">
        <v>1</v>
      </c>
      <c r="BL1036">
        <v>89.23</v>
      </c>
      <c r="BM1036">
        <v>13.38</v>
      </c>
      <c r="BN1036">
        <v>102.61</v>
      </c>
      <c r="BO1036">
        <v>102.61</v>
      </c>
      <c r="BQ1036" t="s">
        <v>78</v>
      </c>
      <c r="BR1036" t="s">
        <v>71</v>
      </c>
      <c r="BS1036" t="s">
        <v>72</v>
      </c>
      <c r="BY1036">
        <v>1200</v>
      </c>
      <c r="CC1036" t="s">
        <v>557</v>
      </c>
      <c r="CD1036">
        <v>7380</v>
      </c>
      <c r="CE1036" t="s">
        <v>73</v>
      </c>
      <c r="CI1036">
        <v>4</v>
      </c>
      <c r="CJ1036" t="s">
        <v>72</v>
      </c>
      <c r="CK1036">
        <v>23</v>
      </c>
      <c r="CL1036" t="s">
        <v>74</v>
      </c>
    </row>
    <row r="1037" spans="1:90" x14ac:dyDescent="0.25">
      <c r="A1037" t="s">
        <v>61</v>
      </c>
      <c r="B1037" t="s">
        <v>62</v>
      </c>
      <c r="C1037" t="s">
        <v>63</v>
      </c>
      <c r="E1037" t="str">
        <f>"FES1162745536"</f>
        <v>FES1162745536</v>
      </c>
      <c r="F1037" s="1">
        <v>43949</v>
      </c>
      <c r="G1037">
        <v>202010</v>
      </c>
      <c r="H1037" t="s">
        <v>64</v>
      </c>
      <c r="I1037" t="s">
        <v>65</v>
      </c>
      <c r="J1037" t="s">
        <v>66</v>
      </c>
      <c r="K1037" t="s">
        <v>67</v>
      </c>
      <c r="L1037" t="s">
        <v>315</v>
      </c>
      <c r="M1037" t="s">
        <v>316</v>
      </c>
      <c r="N1037" t="s">
        <v>1042</v>
      </c>
      <c r="O1037" t="s">
        <v>69</v>
      </c>
      <c r="P1037" t="str">
        <f>"2170736623                    "</f>
        <v xml:space="preserve">2170736623                    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0</v>
      </c>
      <c r="AM1037">
        <v>4.1900000000000004</v>
      </c>
      <c r="AN1037">
        <v>0</v>
      </c>
      <c r="AO1037">
        <v>0</v>
      </c>
      <c r="AP1037">
        <v>0</v>
      </c>
      <c r="AQ1037">
        <v>0</v>
      </c>
      <c r="AR1037">
        <v>0</v>
      </c>
      <c r="AS1037">
        <v>0</v>
      </c>
      <c r="AT1037">
        <v>0</v>
      </c>
      <c r="AU1037">
        <v>0</v>
      </c>
      <c r="AV1037">
        <v>0</v>
      </c>
      <c r="AW1037">
        <v>0</v>
      </c>
      <c r="AX1037">
        <v>0</v>
      </c>
      <c r="AY1037">
        <v>0</v>
      </c>
      <c r="AZ1037">
        <v>0</v>
      </c>
      <c r="BA1037">
        <v>0</v>
      </c>
      <c r="BB1037">
        <v>0</v>
      </c>
      <c r="BG1037">
        <v>0</v>
      </c>
      <c r="BH1037">
        <v>1</v>
      </c>
      <c r="BI1037">
        <v>1</v>
      </c>
      <c r="BJ1037">
        <v>0.2</v>
      </c>
      <c r="BK1037">
        <v>1</v>
      </c>
      <c r="BL1037">
        <v>46.06</v>
      </c>
      <c r="BM1037">
        <v>6.91</v>
      </c>
      <c r="BN1037">
        <v>52.97</v>
      </c>
      <c r="BO1037">
        <v>52.97</v>
      </c>
      <c r="BQ1037" t="s">
        <v>70</v>
      </c>
      <c r="BR1037" t="s">
        <v>71</v>
      </c>
      <c r="BS1037" t="s">
        <v>72</v>
      </c>
      <c r="BW1037" t="s">
        <v>258</v>
      </c>
      <c r="BX1037" t="s">
        <v>838</v>
      </c>
      <c r="BY1037">
        <v>1200</v>
      </c>
      <c r="CC1037" t="s">
        <v>316</v>
      </c>
      <c r="CD1037">
        <v>6220</v>
      </c>
      <c r="CE1037" t="s">
        <v>73</v>
      </c>
      <c r="CI1037">
        <v>1</v>
      </c>
      <c r="CJ1037" t="s">
        <v>72</v>
      </c>
      <c r="CK1037">
        <v>21</v>
      </c>
      <c r="CL1037" t="s">
        <v>74</v>
      </c>
    </row>
    <row r="1038" spans="1:90" x14ac:dyDescent="0.25">
      <c r="A1038" t="s">
        <v>61</v>
      </c>
      <c r="B1038" t="s">
        <v>62</v>
      </c>
      <c r="C1038" t="s">
        <v>63</v>
      </c>
      <c r="E1038" t="str">
        <f>"FES1162745537"</f>
        <v>FES1162745537</v>
      </c>
      <c r="F1038" s="1">
        <v>43949</v>
      </c>
      <c r="G1038">
        <v>202010</v>
      </c>
      <c r="H1038" t="s">
        <v>64</v>
      </c>
      <c r="I1038" t="s">
        <v>65</v>
      </c>
      <c r="J1038" t="s">
        <v>66</v>
      </c>
      <c r="K1038" t="s">
        <v>67</v>
      </c>
      <c r="L1038" t="s">
        <v>416</v>
      </c>
      <c r="M1038" t="s">
        <v>417</v>
      </c>
      <c r="N1038" t="s">
        <v>661</v>
      </c>
      <c r="O1038" t="s">
        <v>69</v>
      </c>
      <c r="P1038" t="str">
        <f>"2170736663                    "</f>
        <v xml:space="preserve">2170736663                    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3.27</v>
      </c>
      <c r="AN1038">
        <v>0</v>
      </c>
      <c r="AO1038">
        <v>0</v>
      </c>
      <c r="AP1038">
        <v>0</v>
      </c>
      <c r="AQ1038">
        <v>0</v>
      </c>
      <c r="AR1038">
        <v>0</v>
      </c>
      <c r="AS1038">
        <v>0</v>
      </c>
      <c r="AT1038">
        <v>0</v>
      </c>
      <c r="AU1038">
        <v>0</v>
      </c>
      <c r="AV1038">
        <v>0</v>
      </c>
      <c r="AW1038">
        <v>0</v>
      </c>
      <c r="AX1038">
        <v>0</v>
      </c>
      <c r="AY1038">
        <v>0</v>
      </c>
      <c r="AZ1038">
        <v>0</v>
      </c>
      <c r="BA1038">
        <v>0</v>
      </c>
      <c r="BB1038">
        <v>0</v>
      </c>
      <c r="BG1038">
        <v>0</v>
      </c>
      <c r="BH1038">
        <v>1</v>
      </c>
      <c r="BI1038">
        <v>1</v>
      </c>
      <c r="BJ1038">
        <v>0.2</v>
      </c>
      <c r="BK1038">
        <v>1</v>
      </c>
      <c r="BL1038">
        <v>35.979999999999997</v>
      </c>
      <c r="BM1038">
        <v>5.4</v>
      </c>
      <c r="BN1038">
        <v>41.38</v>
      </c>
      <c r="BO1038">
        <v>41.38</v>
      </c>
      <c r="BQ1038" t="s">
        <v>78</v>
      </c>
      <c r="BR1038" t="s">
        <v>71</v>
      </c>
      <c r="BS1038" s="1">
        <v>43950</v>
      </c>
      <c r="BT1038" s="2">
        <v>0.375</v>
      </c>
      <c r="BU1038" t="s">
        <v>1128</v>
      </c>
      <c r="BV1038" t="s">
        <v>80</v>
      </c>
      <c r="BY1038">
        <v>1200</v>
      </c>
      <c r="CC1038" t="s">
        <v>417</v>
      </c>
      <c r="CD1038">
        <v>1709</v>
      </c>
      <c r="CE1038" t="s">
        <v>73</v>
      </c>
      <c r="CF1038" s="1">
        <v>43951</v>
      </c>
      <c r="CI1038">
        <v>1</v>
      </c>
      <c r="CJ1038">
        <v>1</v>
      </c>
      <c r="CK1038">
        <v>22</v>
      </c>
      <c r="CL1038" t="s">
        <v>74</v>
      </c>
    </row>
    <row r="1039" spans="1:90" x14ac:dyDescent="0.25">
      <c r="A1039" t="s">
        <v>61</v>
      </c>
      <c r="B1039" t="s">
        <v>62</v>
      </c>
      <c r="C1039" t="s">
        <v>63</v>
      </c>
      <c r="E1039" t="str">
        <f>"FES1162745505"</f>
        <v>FES1162745505</v>
      </c>
      <c r="F1039" s="1">
        <v>43949</v>
      </c>
      <c r="G1039">
        <v>202010</v>
      </c>
      <c r="H1039" t="s">
        <v>64</v>
      </c>
      <c r="I1039" t="s">
        <v>65</v>
      </c>
      <c r="J1039" t="s">
        <v>66</v>
      </c>
      <c r="K1039" t="s">
        <v>67</v>
      </c>
      <c r="L1039" t="s">
        <v>254</v>
      </c>
      <c r="M1039" t="s">
        <v>255</v>
      </c>
      <c r="N1039" t="s">
        <v>620</v>
      </c>
      <c r="O1039" t="s">
        <v>69</v>
      </c>
      <c r="P1039" t="str">
        <f>"2170736646                    "</f>
        <v xml:space="preserve">2170736646                    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0</v>
      </c>
      <c r="AM1039">
        <v>20.92</v>
      </c>
      <c r="AN1039">
        <v>0</v>
      </c>
      <c r="AO1039">
        <v>0</v>
      </c>
      <c r="AP1039">
        <v>0</v>
      </c>
      <c r="AQ1039">
        <v>0</v>
      </c>
      <c r="AR1039">
        <v>0</v>
      </c>
      <c r="AS1039">
        <v>0</v>
      </c>
      <c r="AT1039">
        <v>0</v>
      </c>
      <c r="AU1039">
        <v>0</v>
      </c>
      <c r="AV1039">
        <v>0</v>
      </c>
      <c r="AW1039">
        <v>0</v>
      </c>
      <c r="AX1039">
        <v>0</v>
      </c>
      <c r="AY1039">
        <v>0</v>
      </c>
      <c r="AZ1039">
        <v>0</v>
      </c>
      <c r="BA1039">
        <v>0</v>
      </c>
      <c r="BB1039">
        <v>0</v>
      </c>
      <c r="BG1039">
        <v>0</v>
      </c>
      <c r="BH1039">
        <v>1</v>
      </c>
      <c r="BI1039">
        <v>10</v>
      </c>
      <c r="BJ1039">
        <v>5.2</v>
      </c>
      <c r="BK1039">
        <v>10</v>
      </c>
      <c r="BL1039">
        <v>230.15</v>
      </c>
      <c r="BM1039">
        <v>34.520000000000003</v>
      </c>
      <c r="BN1039">
        <v>264.67</v>
      </c>
      <c r="BO1039">
        <v>264.67</v>
      </c>
      <c r="BQ1039" t="s">
        <v>78</v>
      </c>
      <c r="BR1039" t="s">
        <v>71</v>
      </c>
      <c r="BS1039" s="1">
        <v>43950</v>
      </c>
      <c r="BT1039" s="2">
        <v>0.42708333333333331</v>
      </c>
      <c r="BU1039" t="s">
        <v>622</v>
      </c>
      <c r="BV1039" t="s">
        <v>80</v>
      </c>
      <c r="BY1039">
        <v>25998.09</v>
      </c>
      <c r="CC1039" t="s">
        <v>255</v>
      </c>
      <c r="CD1039">
        <v>184</v>
      </c>
      <c r="CE1039" t="s">
        <v>91</v>
      </c>
      <c r="CF1039" s="1">
        <v>43951</v>
      </c>
      <c r="CI1039">
        <v>1</v>
      </c>
      <c r="CJ1039">
        <v>1</v>
      </c>
      <c r="CK1039">
        <v>21</v>
      </c>
      <c r="CL1039" t="s">
        <v>74</v>
      </c>
    </row>
    <row r="1040" spans="1:90" x14ac:dyDescent="0.25">
      <c r="A1040" t="s">
        <v>61</v>
      </c>
      <c r="B1040" t="s">
        <v>62</v>
      </c>
      <c r="C1040" t="s">
        <v>63</v>
      </c>
      <c r="E1040" t="str">
        <f>"FES1162745526"</f>
        <v>FES1162745526</v>
      </c>
      <c r="F1040" s="1">
        <v>43949</v>
      </c>
      <c r="G1040">
        <v>202010</v>
      </c>
      <c r="H1040" t="s">
        <v>64</v>
      </c>
      <c r="I1040" t="s">
        <v>65</v>
      </c>
      <c r="J1040" t="s">
        <v>66</v>
      </c>
      <c r="K1040" t="s">
        <v>67</v>
      </c>
      <c r="L1040" t="s">
        <v>254</v>
      </c>
      <c r="M1040" t="s">
        <v>255</v>
      </c>
      <c r="N1040" t="s">
        <v>1042</v>
      </c>
      <c r="O1040" t="s">
        <v>69</v>
      </c>
      <c r="P1040" t="str">
        <f>"2170734919                    "</f>
        <v xml:space="preserve">2170734919                    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0</v>
      </c>
      <c r="AM1040">
        <v>4.1900000000000004</v>
      </c>
      <c r="AN1040">
        <v>0</v>
      </c>
      <c r="AO1040">
        <v>0</v>
      </c>
      <c r="AP1040">
        <v>0</v>
      </c>
      <c r="AQ1040">
        <v>0</v>
      </c>
      <c r="AR1040">
        <v>0</v>
      </c>
      <c r="AS1040">
        <v>0</v>
      </c>
      <c r="AT1040">
        <v>0</v>
      </c>
      <c r="AU1040">
        <v>0</v>
      </c>
      <c r="AV1040">
        <v>0</v>
      </c>
      <c r="AW1040">
        <v>0</v>
      </c>
      <c r="AX1040">
        <v>0</v>
      </c>
      <c r="AY1040">
        <v>0</v>
      </c>
      <c r="AZ1040">
        <v>0</v>
      </c>
      <c r="BA1040">
        <v>0</v>
      </c>
      <c r="BB1040">
        <v>0</v>
      </c>
      <c r="BG1040">
        <v>0</v>
      </c>
      <c r="BH1040">
        <v>1</v>
      </c>
      <c r="BI1040">
        <v>1</v>
      </c>
      <c r="BJ1040">
        <v>0.2</v>
      </c>
      <c r="BK1040">
        <v>1</v>
      </c>
      <c r="BL1040">
        <v>46.06</v>
      </c>
      <c r="BM1040">
        <v>6.91</v>
      </c>
      <c r="BN1040">
        <v>52.97</v>
      </c>
      <c r="BO1040">
        <v>52.97</v>
      </c>
      <c r="BQ1040" t="s">
        <v>70</v>
      </c>
      <c r="BR1040" t="s">
        <v>71</v>
      </c>
      <c r="BS1040" t="s">
        <v>72</v>
      </c>
      <c r="BY1040">
        <v>1200</v>
      </c>
      <c r="CC1040" t="s">
        <v>255</v>
      </c>
      <c r="CD1040">
        <v>200</v>
      </c>
      <c r="CE1040" t="s">
        <v>73</v>
      </c>
      <c r="CI1040">
        <v>1</v>
      </c>
      <c r="CJ1040" t="s">
        <v>72</v>
      </c>
      <c r="CK1040">
        <v>21</v>
      </c>
      <c r="CL1040" t="s">
        <v>74</v>
      </c>
    </row>
    <row r="1041" spans="1:90" x14ac:dyDescent="0.25">
      <c r="A1041" t="s">
        <v>61</v>
      </c>
      <c r="B1041" t="s">
        <v>62</v>
      </c>
      <c r="C1041" t="s">
        <v>63</v>
      </c>
      <c r="E1041" t="str">
        <f>"FES1162745557"</f>
        <v>FES1162745557</v>
      </c>
      <c r="F1041" s="1">
        <v>43949</v>
      </c>
      <c r="G1041">
        <v>202010</v>
      </c>
      <c r="H1041" t="s">
        <v>64</v>
      </c>
      <c r="I1041" t="s">
        <v>65</v>
      </c>
      <c r="J1041" t="s">
        <v>66</v>
      </c>
      <c r="K1041" t="s">
        <v>67</v>
      </c>
      <c r="L1041" t="s">
        <v>406</v>
      </c>
      <c r="M1041" t="s">
        <v>407</v>
      </c>
      <c r="N1041" t="s">
        <v>708</v>
      </c>
      <c r="O1041" t="s">
        <v>69</v>
      </c>
      <c r="P1041" t="str">
        <f>"2170736223                    "</f>
        <v xml:space="preserve">2170736223                    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0</v>
      </c>
      <c r="AM1041">
        <v>3.27</v>
      </c>
      <c r="AN1041">
        <v>0</v>
      </c>
      <c r="AO1041">
        <v>0</v>
      </c>
      <c r="AP1041">
        <v>0</v>
      </c>
      <c r="AQ1041">
        <v>0</v>
      </c>
      <c r="AR1041">
        <v>0</v>
      </c>
      <c r="AS1041">
        <v>0</v>
      </c>
      <c r="AT1041">
        <v>0</v>
      </c>
      <c r="AU1041">
        <v>0</v>
      </c>
      <c r="AV1041">
        <v>0</v>
      </c>
      <c r="AW1041">
        <v>0</v>
      </c>
      <c r="AX1041">
        <v>0</v>
      </c>
      <c r="AY1041">
        <v>0</v>
      </c>
      <c r="AZ1041">
        <v>0</v>
      </c>
      <c r="BA1041">
        <v>0</v>
      </c>
      <c r="BB1041">
        <v>0</v>
      </c>
      <c r="BG1041">
        <v>0</v>
      </c>
      <c r="BH1041">
        <v>1</v>
      </c>
      <c r="BI1041">
        <v>0.6</v>
      </c>
      <c r="BJ1041">
        <v>0.9</v>
      </c>
      <c r="BK1041">
        <v>1</v>
      </c>
      <c r="BL1041">
        <v>35.979999999999997</v>
      </c>
      <c r="BM1041">
        <v>5.4</v>
      </c>
      <c r="BN1041">
        <v>41.38</v>
      </c>
      <c r="BO1041">
        <v>41.38</v>
      </c>
      <c r="BQ1041" t="s">
        <v>78</v>
      </c>
      <c r="BR1041" t="s">
        <v>71</v>
      </c>
      <c r="BS1041" s="1">
        <v>43950</v>
      </c>
      <c r="BT1041" s="2">
        <v>0.41666666666666669</v>
      </c>
      <c r="BU1041" t="s">
        <v>1129</v>
      </c>
      <c r="BV1041" t="s">
        <v>80</v>
      </c>
      <c r="BY1041">
        <v>4271.3500000000004</v>
      </c>
      <c r="CC1041" t="s">
        <v>407</v>
      </c>
      <c r="CD1041">
        <v>2163</v>
      </c>
      <c r="CE1041" t="s">
        <v>91</v>
      </c>
      <c r="CF1041" s="1">
        <v>43951</v>
      </c>
      <c r="CI1041">
        <v>1</v>
      </c>
      <c r="CJ1041">
        <v>1</v>
      </c>
      <c r="CK1041">
        <v>22</v>
      </c>
      <c r="CL1041" t="s">
        <v>74</v>
      </c>
    </row>
    <row r="1042" spans="1:90" x14ac:dyDescent="0.25">
      <c r="A1042" t="s">
        <v>61</v>
      </c>
      <c r="B1042" t="s">
        <v>62</v>
      </c>
      <c r="C1042" t="s">
        <v>63</v>
      </c>
      <c r="E1042" t="str">
        <f>"FES1162745480"</f>
        <v>FES1162745480</v>
      </c>
      <c r="F1042" s="1">
        <v>43949</v>
      </c>
      <c r="G1042">
        <v>202010</v>
      </c>
      <c r="H1042" t="s">
        <v>64</v>
      </c>
      <c r="I1042" t="s">
        <v>65</v>
      </c>
      <c r="J1042" t="s">
        <v>66</v>
      </c>
      <c r="K1042" t="s">
        <v>67</v>
      </c>
      <c r="L1042" t="s">
        <v>456</v>
      </c>
      <c r="M1042" t="s">
        <v>457</v>
      </c>
      <c r="N1042" t="s">
        <v>196</v>
      </c>
      <c r="O1042" t="s">
        <v>69</v>
      </c>
      <c r="P1042" t="str">
        <f>"2170736361                    "</f>
        <v xml:space="preserve">2170736361                    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0</v>
      </c>
      <c r="AM1042">
        <v>5.89</v>
      </c>
      <c r="AN1042">
        <v>0</v>
      </c>
      <c r="AO1042">
        <v>0</v>
      </c>
      <c r="AP1042">
        <v>0</v>
      </c>
      <c r="AQ1042">
        <v>0</v>
      </c>
      <c r="AR1042">
        <v>0</v>
      </c>
      <c r="AS1042">
        <v>0</v>
      </c>
      <c r="AT1042">
        <v>0</v>
      </c>
      <c r="AU1042">
        <v>0</v>
      </c>
      <c r="AV1042">
        <v>0</v>
      </c>
      <c r="AW1042">
        <v>0</v>
      </c>
      <c r="AX1042">
        <v>0</v>
      </c>
      <c r="AY1042">
        <v>0</v>
      </c>
      <c r="AZ1042">
        <v>0</v>
      </c>
      <c r="BA1042">
        <v>0</v>
      </c>
      <c r="BB1042">
        <v>0</v>
      </c>
      <c r="BG1042">
        <v>0</v>
      </c>
      <c r="BH1042">
        <v>1</v>
      </c>
      <c r="BI1042">
        <v>1</v>
      </c>
      <c r="BJ1042">
        <v>0.2</v>
      </c>
      <c r="BK1042">
        <v>1</v>
      </c>
      <c r="BL1042">
        <v>64.77</v>
      </c>
      <c r="BM1042">
        <v>9.7200000000000006</v>
      </c>
      <c r="BN1042">
        <v>74.489999999999995</v>
      </c>
      <c r="BO1042">
        <v>74.489999999999995</v>
      </c>
      <c r="BQ1042" t="s">
        <v>70</v>
      </c>
      <c r="BR1042" t="s">
        <v>71</v>
      </c>
      <c r="BS1042" t="s">
        <v>72</v>
      </c>
      <c r="BY1042">
        <v>1200</v>
      </c>
      <c r="CC1042" t="s">
        <v>457</v>
      </c>
      <c r="CD1042">
        <v>407</v>
      </c>
      <c r="CE1042" t="s">
        <v>73</v>
      </c>
      <c r="CI1042">
        <v>1</v>
      </c>
      <c r="CJ1042" t="s">
        <v>72</v>
      </c>
      <c r="CK1042">
        <v>24</v>
      </c>
      <c r="CL1042" t="s">
        <v>74</v>
      </c>
    </row>
    <row r="1043" spans="1:90" x14ac:dyDescent="0.25">
      <c r="A1043" t="s">
        <v>61</v>
      </c>
      <c r="B1043" t="s">
        <v>62</v>
      </c>
      <c r="C1043" t="s">
        <v>63</v>
      </c>
      <c r="E1043" t="str">
        <f>"FES1162745500"</f>
        <v>FES1162745500</v>
      </c>
      <c r="F1043" s="1">
        <v>43949</v>
      </c>
      <c r="G1043">
        <v>202010</v>
      </c>
      <c r="H1043" t="s">
        <v>64</v>
      </c>
      <c r="I1043" t="s">
        <v>65</v>
      </c>
      <c r="J1043" t="s">
        <v>66</v>
      </c>
      <c r="K1043" t="s">
        <v>67</v>
      </c>
      <c r="L1043" t="s">
        <v>64</v>
      </c>
      <c r="M1043" t="s">
        <v>65</v>
      </c>
      <c r="N1043" t="s">
        <v>812</v>
      </c>
      <c r="O1043" t="s">
        <v>69</v>
      </c>
      <c r="P1043" t="str">
        <f>"2170736221                    "</f>
        <v xml:space="preserve">2170736221                    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7.19</v>
      </c>
      <c r="AN1043">
        <v>0</v>
      </c>
      <c r="AO1043">
        <v>0</v>
      </c>
      <c r="AP1043">
        <v>0</v>
      </c>
      <c r="AQ1043">
        <v>0</v>
      </c>
      <c r="AR1043">
        <v>0</v>
      </c>
      <c r="AS1043">
        <v>0</v>
      </c>
      <c r="AT1043">
        <v>0</v>
      </c>
      <c r="AU1043">
        <v>0</v>
      </c>
      <c r="AV1043">
        <v>0</v>
      </c>
      <c r="AW1043">
        <v>0</v>
      </c>
      <c r="AX1043">
        <v>0</v>
      </c>
      <c r="AY1043">
        <v>0</v>
      </c>
      <c r="AZ1043">
        <v>0</v>
      </c>
      <c r="BA1043">
        <v>0</v>
      </c>
      <c r="BB1043">
        <v>0</v>
      </c>
      <c r="BG1043">
        <v>0</v>
      </c>
      <c r="BH1043">
        <v>1</v>
      </c>
      <c r="BI1043">
        <v>3.2</v>
      </c>
      <c r="BJ1043">
        <v>6.8</v>
      </c>
      <c r="BK1043">
        <v>7</v>
      </c>
      <c r="BL1043">
        <v>79.099999999999994</v>
      </c>
      <c r="BM1043">
        <v>11.87</v>
      </c>
      <c r="BN1043">
        <v>90.97</v>
      </c>
      <c r="BO1043">
        <v>90.97</v>
      </c>
      <c r="BQ1043" t="s">
        <v>70</v>
      </c>
      <c r="BR1043" t="s">
        <v>71</v>
      </c>
      <c r="BS1043" s="1">
        <v>43951</v>
      </c>
      <c r="BT1043" s="2">
        <v>0.67569444444444438</v>
      </c>
      <c r="BU1043" t="s">
        <v>816</v>
      </c>
      <c r="BV1043" t="s">
        <v>74</v>
      </c>
      <c r="BY1043">
        <v>34035.56</v>
      </c>
      <c r="CA1043" t="s">
        <v>310</v>
      </c>
      <c r="CC1043" t="s">
        <v>65</v>
      </c>
      <c r="CD1043">
        <v>1609</v>
      </c>
      <c r="CE1043" t="s">
        <v>91</v>
      </c>
      <c r="CI1043">
        <v>1</v>
      </c>
      <c r="CJ1043">
        <v>2</v>
      </c>
      <c r="CK1043">
        <v>22</v>
      </c>
      <c r="CL1043" t="s">
        <v>74</v>
      </c>
    </row>
    <row r="1044" spans="1:90" x14ac:dyDescent="0.25">
      <c r="A1044" t="s">
        <v>61</v>
      </c>
      <c r="B1044" t="s">
        <v>62</v>
      </c>
      <c r="C1044" t="s">
        <v>63</v>
      </c>
      <c r="E1044" t="str">
        <f>"FES1162745525"</f>
        <v>FES1162745525</v>
      </c>
      <c r="F1044" s="1">
        <v>43949</v>
      </c>
      <c r="G1044">
        <v>202010</v>
      </c>
      <c r="H1044" t="s">
        <v>64</v>
      </c>
      <c r="I1044" t="s">
        <v>65</v>
      </c>
      <c r="J1044" t="s">
        <v>66</v>
      </c>
      <c r="K1044" t="s">
        <v>67</v>
      </c>
      <c r="L1044" t="s">
        <v>254</v>
      </c>
      <c r="M1044" t="s">
        <v>255</v>
      </c>
      <c r="N1044" t="s">
        <v>1042</v>
      </c>
      <c r="O1044" t="s">
        <v>69</v>
      </c>
      <c r="P1044" t="str">
        <f>"2170734918                    "</f>
        <v xml:space="preserve">2170734918                    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4.1900000000000004</v>
      </c>
      <c r="AN1044">
        <v>0</v>
      </c>
      <c r="AO1044">
        <v>0</v>
      </c>
      <c r="AP1044">
        <v>0</v>
      </c>
      <c r="AQ1044">
        <v>0</v>
      </c>
      <c r="AR1044">
        <v>0</v>
      </c>
      <c r="AS1044">
        <v>0</v>
      </c>
      <c r="AT1044">
        <v>0</v>
      </c>
      <c r="AU1044">
        <v>0</v>
      </c>
      <c r="AV1044">
        <v>0</v>
      </c>
      <c r="AW1044">
        <v>0</v>
      </c>
      <c r="AX1044">
        <v>0</v>
      </c>
      <c r="AY1044">
        <v>0</v>
      </c>
      <c r="AZ1044">
        <v>0</v>
      </c>
      <c r="BA1044">
        <v>0</v>
      </c>
      <c r="BB1044">
        <v>0</v>
      </c>
      <c r="BG1044">
        <v>0</v>
      </c>
      <c r="BH1044">
        <v>1</v>
      </c>
      <c r="BI1044">
        <v>1</v>
      </c>
      <c r="BJ1044">
        <v>0.2</v>
      </c>
      <c r="BK1044">
        <v>1</v>
      </c>
      <c r="BL1044">
        <v>46.06</v>
      </c>
      <c r="BM1044">
        <v>6.91</v>
      </c>
      <c r="BN1044">
        <v>52.97</v>
      </c>
      <c r="BO1044">
        <v>52.97</v>
      </c>
      <c r="BQ1044" t="s">
        <v>70</v>
      </c>
      <c r="BR1044" t="s">
        <v>71</v>
      </c>
      <c r="BS1044" t="s">
        <v>72</v>
      </c>
      <c r="BY1044">
        <v>1200</v>
      </c>
      <c r="CC1044" t="s">
        <v>255</v>
      </c>
      <c r="CD1044">
        <v>200</v>
      </c>
      <c r="CE1044" t="s">
        <v>73</v>
      </c>
      <c r="CI1044">
        <v>1</v>
      </c>
      <c r="CJ1044" t="s">
        <v>72</v>
      </c>
      <c r="CK1044">
        <v>21</v>
      </c>
      <c r="CL1044" t="s">
        <v>74</v>
      </c>
    </row>
    <row r="1045" spans="1:90" x14ac:dyDescent="0.25">
      <c r="A1045" t="s">
        <v>61</v>
      </c>
      <c r="B1045" t="s">
        <v>62</v>
      </c>
      <c r="C1045" t="s">
        <v>63</v>
      </c>
      <c r="E1045" t="str">
        <f>"RFES1162745276"</f>
        <v>RFES1162745276</v>
      </c>
      <c r="F1045" s="1">
        <v>43949</v>
      </c>
      <c r="G1045">
        <v>202010</v>
      </c>
      <c r="H1045" t="s">
        <v>64</v>
      </c>
      <c r="I1045" t="s">
        <v>65</v>
      </c>
      <c r="J1045" t="s">
        <v>1004</v>
      </c>
      <c r="K1045" t="s">
        <v>67</v>
      </c>
      <c r="L1045" t="s">
        <v>64</v>
      </c>
      <c r="M1045" t="s">
        <v>65</v>
      </c>
      <c r="N1045" t="s">
        <v>66</v>
      </c>
      <c r="O1045" t="s">
        <v>69</v>
      </c>
      <c r="P1045" t="str">
        <f>"2170734984 client             "</f>
        <v xml:space="preserve">2170734984 client             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3.27</v>
      </c>
      <c r="AN1045">
        <v>0</v>
      </c>
      <c r="AO1045">
        <v>0</v>
      </c>
      <c r="AP1045">
        <v>0</v>
      </c>
      <c r="AQ1045">
        <v>0</v>
      </c>
      <c r="AR1045">
        <v>0</v>
      </c>
      <c r="AS1045">
        <v>0</v>
      </c>
      <c r="AT1045">
        <v>0</v>
      </c>
      <c r="AU1045">
        <v>0</v>
      </c>
      <c r="AV1045">
        <v>0</v>
      </c>
      <c r="AW1045">
        <v>0</v>
      </c>
      <c r="AX1045">
        <v>0</v>
      </c>
      <c r="AY1045">
        <v>0</v>
      </c>
      <c r="AZ1045">
        <v>0</v>
      </c>
      <c r="BA1045">
        <v>0</v>
      </c>
      <c r="BB1045">
        <v>0</v>
      </c>
      <c r="BG1045">
        <v>0</v>
      </c>
      <c r="BH1045">
        <v>1</v>
      </c>
      <c r="BI1045">
        <v>1</v>
      </c>
      <c r="BJ1045">
        <v>0.2</v>
      </c>
      <c r="BK1045">
        <v>1</v>
      </c>
      <c r="BL1045">
        <v>35.979999999999997</v>
      </c>
      <c r="BM1045">
        <v>5.4</v>
      </c>
      <c r="BN1045">
        <v>41.38</v>
      </c>
      <c r="BO1045">
        <v>41.38</v>
      </c>
      <c r="BQ1045" t="s">
        <v>71</v>
      </c>
      <c r="BR1045" t="s">
        <v>78</v>
      </c>
      <c r="BS1045" s="1">
        <v>43950</v>
      </c>
      <c r="BT1045" s="2">
        <v>0.37638888888888888</v>
      </c>
      <c r="BU1045" t="s">
        <v>893</v>
      </c>
      <c r="BV1045" t="s">
        <v>80</v>
      </c>
      <c r="BY1045">
        <v>1200</v>
      </c>
      <c r="CC1045" t="s">
        <v>65</v>
      </c>
      <c r="CD1045">
        <v>1601</v>
      </c>
      <c r="CE1045" t="s">
        <v>73</v>
      </c>
      <c r="CF1045" s="1">
        <v>43951</v>
      </c>
      <c r="CI1045">
        <v>1</v>
      </c>
      <c r="CJ1045">
        <v>1</v>
      </c>
      <c r="CK1045">
        <v>22</v>
      </c>
      <c r="CL1045" t="s">
        <v>74</v>
      </c>
    </row>
    <row r="1046" spans="1:90" x14ac:dyDescent="0.25">
      <c r="A1046" t="s">
        <v>61</v>
      </c>
      <c r="B1046" t="s">
        <v>62</v>
      </c>
      <c r="C1046" t="s">
        <v>63</v>
      </c>
      <c r="E1046" t="str">
        <f>"FES1162745561"</f>
        <v>FES1162745561</v>
      </c>
      <c r="F1046" s="1">
        <v>43949</v>
      </c>
      <c r="G1046">
        <v>202010</v>
      </c>
      <c r="H1046" t="s">
        <v>64</v>
      </c>
      <c r="I1046" t="s">
        <v>65</v>
      </c>
      <c r="J1046" t="s">
        <v>66</v>
      </c>
      <c r="K1046" t="s">
        <v>67</v>
      </c>
      <c r="L1046" t="s">
        <v>254</v>
      </c>
      <c r="M1046" t="s">
        <v>255</v>
      </c>
      <c r="N1046" t="s">
        <v>1130</v>
      </c>
      <c r="O1046" t="s">
        <v>69</v>
      </c>
      <c r="P1046" t="str">
        <f>"2170736655                    "</f>
        <v xml:space="preserve">2170736655                    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4.1900000000000004</v>
      </c>
      <c r="AN1046">
        <v>0</v>
      </c>
      <c r="AO1046">
        <v>0</v>
      </c>
      <c r="AP1046">
        <v>0</v>
      </c>
      <c r="AQ1046">
        <v>0</v>
      </c>
      <c r="AR1046">
        <v>0</v>
      </c>
      <c r="AS1046">
        <v>0</v>
      </c>
      <c r="AT1046">
        <v>0</v>
      </c>
      <c r="AU1046">
        <v>0</v>
      </c>
      <c r="AV1046">
        <v>0</v>
      </c>
      <c r="AW1046">
        <v>0</v>
      </c>
      <c r="AX1046">
        <v>0</v>
      </c>
      <c r="AY1046">
        <v>0</v>
      </c>
      <c r="AZ1046">
        <v>0</v>
      </c>
      <c r="BA1046">
        <v>0</v>
      </c>
      <c r="BB1046">
        <v>0</v>
      </c>
      <c r="BG1046">
        <v>0</v>
      </c>
      <c r="BH1046">
        <v>1</v>
      </c>
      <c r="BI1046">
        <v>1</v>
      </c>
      <c r="BJ1046">
        <v>0.2</v>
      </c>
      <c r="BK1046">
        <v>1</v>
      </c>
      <c r="BL1046">
        <v>46.06</v>
      </c>
      <c r="BM1046">
        <v>6.91</v>
      </c>
      <c r="BN1046">
        <v>52.97</v>
      </c>
      <c r="BO1046">
        <v>52.97</v>
      </c>
      <c r="BQ1046" t="s">
        <v>78</v>
      </c>
      <c r="BR1046" t="s">
        <v>71</v>
      </c>
      <c r="BS1046" s="1">
        <v>43950</v>
      </c>
      <c r="BT1046" s="2">
        <v>0.4375</v>
      </c>
      <c r="BU1046" t="s">
        <v>1131</v>
      </c>
      <c r="BV1046" t="s">
        <v>80</v>
      </c>
      <c r="BY1046">
        <v>1200</v>
      </c>
      <c r="CA1046" t="s">
        <v>1132</v>
      </c>
      <c r="CC1046" t="s">
        <v>255</v>
      </c>
      <c r="CD1046">
        <v>157</v>
      </c>
      <c r="CE1046" t="s">
        <v>73</v>
      </c>
      <c r="CF1046" s="1">
        <v>43951</v>
      </c>
      <c r="CI1046">
        <v>1</v>
      </c>
      <c r="CJ1046">
        <v>1</v>
      </c>
      <c r="CK1046">
        <v>21</v>
      </c>
      <c r="CL1046" t="s">
        <v>74</v>
      </c>
    </row>
    <row r="1047" spans="1:90" x14ac:dyDescent="0.25">
      <c r="A1047" t="s">
        <v>61</v>
      </c>
      <c r="B1047" t="s">
        <v>62</v>
      </c>
      <c r="C1047" t="s">
        <v>63</v>
      </c>
      <c r="E1047" t="str">
        <f>"FES1162745565"</f>
        <v>FES1162745565</v>
      </c>
      <c r="F1047" s="1">
        <v>43949</v>
      </c>
      <c r="G1047">
        <v>202010</v>
      </c>
      <c r="H1047" t="s">
        <v>64</v>
      </c>
      <c r="I1047" t="s">
        <v>65</v>
      </c>
      <c r="J1047" t="s">
        <v>66</v>
      </c>
      <c r="K1047" t="s">
        <v>67</v>
      </c>
      <c r="L1047" t="s">
        <v>104</v>
      </c>
      <c r="M1047" t="s">
        <v>105</v>
      </c>
      <c r="N1047" t="s">
        <v>881</v>
      </c>
      <c r="O1047" t="s">
        <v>69</v>
      </c>
      <c r="P1047" t="str">
        <f>"2170736687                    "</f>
        <v xml:space="preserve">2170736687                    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47.47</v>
      </c>
      <c r="AN1047">
        <v>0</v>
      </c>
      <c r="AO1047">
        <v>0</v>
      </c>
      <c r="AP1047">
        <v>0</v>
      </c>
      <c r="AQ1047">
        <v>0</v>
      </c>
      <c r="AR1047">
        <v>0</v>
      </c>
      <c r="AS1047">
        <v>0</v>
      </c>
      <c r="AT1047">
        <v>0</v>
      </c>
      <c r="AU1047">
        <v>0</v>
      </c>
      <c r="AV1047">
        <v>0</v>
      </c>
      <c r="AW1047">
        <v>0</v>
      </c>
      <c r="AX1047">
        <v>0</v>
      </c>
      <c r="AY1047">
        <v>0</v>
      </c>
      <c r="AZ1047">
        <v>0</v>
      </c>
      <c r="BA1047">
        <v>0</v>
      </c>
      <c r="BB1047">
        <v>0</v>
      </c>
      <c r="BG1047">
        <v>0</v>
      </c>
      <c r="BH1047">
        <v>1</v>
      </c>
      <c r="BI1047">
        <v>8.8000000000000007</v>
      </c>
      <c r="BJ1047">
        <v>16.3</v>
      </c>
      <c r="BK1047">
        <v>16.5</v>
      </c>
      <c r="BL1047">
        <v>522.21</v>
      </c>
      <c r="BM1047">
        <v>78.33</v>
      </c>
      <c r="BN1047">
        <v>600.54</v>
      </c>
      <c r="BO1047">
        <v>600.54</v>
      </c>
      <c r="BQ1047" t="s">
        <v>78</v>
      </c>
      <c r="BR1047" t="s">
        <v>71</v>
      </c>
      <c r="BS1047" s="1">
        <v>43950</v>
      </c>
      <c r="BT1047" s="2">
        <v>0.41666666666666669</v>
      </c>
      <c r="BU1047" t="s">
        <v>882</v>
      </c>
      <c r="BV1047" t="s">
        <v>80</v>
      </c>
      <c r="BY1047">
        <v>81462.789999999994</v>
      </c>
      <c r="CC1047" t="s">
        <v>105</v>
      </c>
      <c r="CD1047">
        <v>1759</v>
      </c>
      <c r="CE1047" t="s">
        <v>91</v>
      </c>
      <c r="CF1047" s="1">
        <v>43951</v>
      </c>
      <c r="CI1047">
        <v>1</v>
      </c>
      <c r="CJ1047">
        <v>1</v>
      </c>
      <c r="CK1047">
        <v>24</v>
      </c>
      <c r="CL1047" t="s">
        <v>74</v>
      </c>
    </row>
    <row r="1048" spans="1:90" x14ac:dyDescent="0.25">
      <c r="A1048" t="s">
        <v>61</v>
      </c>
      <c r="B1048" t="s">
        <v>62</v>
      </c>
      <c r="C1048" t="s">
        <v>63</v>
      </c>
      <c r="E1048" t="str">
        <f>"FES1162745548"</f>
        <v>FES1162745548</v>
      </c>
      <c r="F1048" s="1">
        <v>43949</v>
      </c>
      <c r="G1048">
        <v>202010</v>
      </c>
      <c r="H1048" t="s">
        <v>64</v>
      </c>
      <c r="I1048" t="s">
        <v>65</v>
      </c>
      <c r="J1048" t="s">
        <v>66</v>
      </c>
      <c r="K1048" t="s">
        <v>67</v>
      </c>
      <c r="L1048" t="s">
        <v>212</v>
      </c>
      <c r="M1048" t="s">
        <v>213</v>
      </c>
      <c r="N1048" t="s">
        <v>889</v>
      </c>
      <c r="O1048" t="s">
        <v>69</v>
      </c>
      <c r="P1048" t="str">
        <f>"2170733991                    "</f>
        <v xml:space="preserve">2170733991                    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13.6</v>
      </c>
      <c r="AN1048">
        <v>0</v>
      </c>
      <c r="AO1048">
        <v>0</v>
      </c>
      <c r="AP1048">
        <v>0</v>
      </c>
      <c r="AQ1048">
        <v>0</v>
      </c>
      <c r="AR1048">
        <v>0</v>
      </c>
      <c r="AS1048">
        <v>0</v>
      </c>
      <c r="AT1048">
        <v>0</v>
      </c>
      <c r="AU1048">
        <v>0</v>
      </c>
      <c r="AV1048">
        <v>0</v>
      </c>
      <c r="AW1048">
        <v>0</v>
      </c>
      <c r="AX1048">
        <v>0</v>
      </c>
      <c r="AY1048">
        <v>0</v>
      </c>
      <c r="AZ1048">
        <v>0</v>
      </c>
      <c r="BA1048">
        <v>0</v>
      </c>
      <c r="BB1048">
        <v>0</v>
      </c>
      <c r="BG1048">
        <v>0</v>
      </c>
      <c r="BH1048">
        <v>1</v>
      </c>
      <c r="BI1048">
        <v>5.5</v>
      </c>
      <c r="BJ1048">
        <v>6.1</v>
      </c>
      <c r="BK1048">
        <v>6.5</v>
      </c>
      <c r="BL1048">
        <v>149.61000000000001</v>
      </c>
      <c r="BM1048">
        <v>22.44</v>
      </c>
      <c r="BN1048">
        <v>172.05</v>
      </c>
      <c r="BO1048">
        <v>172.05</v>
      </c>
      <c r="BQ1048" t="s">
        <v>268</v>
      </c>
      <c r="BR1048" t="s">
        <v>71</v>
      </c>
      <c r="BS1048" s="1">
        <v>43950</v>
      </c>
      <c r="BT1048" s="2">
        <v>0.39374999999999999</v>
      </c>
      <c r="BU1048" t="s">
        <v>1133</v>
      </c>
      <c r="BV1048" t="s">
        <v>80</v>
      </c>
      <c r="BY1048">
        <v>30391.21</v>
      </c>
      <c r="CA1048" t="s">
        <v>711</v>
      </c>
      <c r="CC1048" t="s">
        <v>213</v>
      </c>
      <c r="CD1048">
        <v>3610</v>
      </c>
      <c r="CE1048" t="s">
        <v>91</v>
      </c>
      <c r="CF1048" s="1">
        <v>43951</v>
      </c>
      <c r="CI1048">
        <v>1</v>
      </c>
      <c r="CJ1048">
        <v>1</v>
      </c>
      <c r="CK1048">
        <v>21</v>
      </c>
      <c r="CL1048" t="s">
        <v>74</v>
      </c>
    </row>
    <row r="1049" spans="1:90" x14ac:dyDescent="0.25">
      <c r="A1049" t="s">
        <v>61</v>
      </c>
      <c r="B1049" t="s">
        <v>62</v>
      </c>
      <c r="C1049" t="s">
        <v>63</v>
      </c>
      <c r="E1049" t="str">
        <f>"FES1162745545"</f>
        <v>FES1162745545</v>
      </c>
      <c r="F1049" s="1">
        <v>43949</v>
      </c>
      <c r="G1049">
        <v>202010</v>
      </c>
      <c r="H1049" t="s">
        <v>64</v>
      </c>
      <c r="I1049" t="s">
        <v>65</v>
      </c>
      <c r="J1049" t="s">
        <v>66</v>
      </c>
      <c r="K1049" t="s">
        <v>67</v>
      </c>
      <c r="L1049" t="s">
        <v>120</v>
      </c>
      <c r="M1049" t="s">
        <v>121</v>
      </c>
      <c r="N1049" t="s">
        <v>728</v>
      </c>
      <c r="O1049" t="s">
        <v>69</v>
      </c>
      <c r="P1049" t="str">
        <f>"2170733057                    "</f>
        <v xml:space="preserve">2170733057                    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0</v>
      </c>
      <c r="AM1049">
        <v>9.42</v>
      </c>
      <c r="AN1049">
        <v>0</v>
      </c>
      <c r="AO1049">
        <v>0</v>
      </c>
      <c r="AP1049">
        <v>0</v>
      </c>
      <c r="AQ1049">
        <v>0</v>
      </c>
      <c r="AR1049">
        <v>0</v>
      </c>
      <c r="AS1049">
        <v>0</v>
      </c>
      <c r="AT1049">
        <v>0</v>
      </c>
      <c r="AU1049">
        <v>0</v>
      </c>
      <c r="AV1049">
        <v>0</v>
      </c>
      <c r="AW1049">
        <v>0</v>
      </c>
      <c r="AX1049">
        <v>0</v>
      </c>
      <c r="AY1049">
        <v>0</v>
      </c>
      <c r="AZ1049">
        <v>0</v>
      </c>
      <c r="BA1049">
        <v>0</v>
      </c>
      <c r="BB1049">
        <v>0</v>
      </c>
      <c r="BG1049">
        <v>0</v>
      </c>
      <c r="BH1049">
        <v>1</v>
      </c>
      <c r="BI1049">
        <v>2</v>
      </c>
      <c r="BJ1049">
        <v>4.0999999999999996</v>
      </c>
      <c r="BK1049">
        <v>4.5</v>
      </c>
      <c r="BL1049">
        <v>103.59</v>
      </c>
      <c r="BM1049">
        <v>15.54</v>
      </c>
      <c r="BN1049">
        <v>119.13</v>
      </c>
      <c r="BO1049">
        <v>119.13</v>
      </c>
      <c r="BQ1049" t="s">
        <v>109</v>
      </c>
      <c r="BR1049" t="s">
        <v>71</v>
      </c>
      <c r="BS1049" s="1">
        <v>43950</v>
      </c>
      <c r="BT1049" s="2">
        <v>0.49444444444444446</v>
      </c>
      <c r="BU1049" t="s">
        <v>1134</v>
      </c>
      <c r="BV1049" t="s">
        <v>74</v>
      </c>
      <c r="BW1049" t="s">
        <v>85</v>
      </c>
      <c r="BX1049" t="s">
        <v>1046</v>
      </c>
      <c r="BY1049">
        <v>20358</v>
      </c>
      <c r="CA1049" t="s">
        <v>956</v>
      </c>
      <c r="CC1049" t="s">
        <v>121</v>
      </c>
      <c r="CD1049">
        <v>4000</v>
      </c>
      <c r="CE1049" t="s">
        <v>91</v>
      </c>
      <c r="CF1049" s="1">
        <v>43950</v>
      </c>
      <c r="CI1049">
        <v>1</v>
      </c>
      <c r="CJ1049">
        <v>1</v>
      </c>
      <c r="CK1049">
        <v>21</v>
      </c>
      <c r="CL1049" t="s">
        <v>74</v>
      </c>
    </row>
    <row r="1050" spans="1:90" x14ac:dyDescent="0.25">
      <c r="A1050" t="s">
        <v>61</v>
      </c>
      <c r="B1050" t="s">
        <v>62</v>
      </c>
      <c r="C1050" t="s">
        <v>63</v>
      </c>
      <c r="E1050" t="str">
        <f>"FES1162745573"</f>
        <v>FES1162745573</v>
      </c>
      <c r="F1050" s="1">
        <v>43949</v>
      </c>
      <c r="G1050">
        <v>202010</v>
      </c>
      <c r="H1050" t="s">
        <v>64</v>
      </c>
      <c r="I1050" t="s">
        <v>65</v>
      </c>
      <c r="J1050" t="s">
        <v>66</v>
      </c>
      <c r="K1050" t="s">
        <v>67</v>
      </c>
      <c r="L1050" t="s">
        <v>92</v>
      </c>
      <c r="M1050" t="s">
        <v>93</v>
      </c>
      <c r="N1050" t="s">
        <v>165</v>
      </c>
      <c r="O1050" t="s">
        <v>69</v>
      </c>
      <c r="P1050" t="str">
        <f>"2170736698                    "</f>
        <v xml:space="preserve">2170736698                    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0</v>
      </c>
      <c r="AM1050">
        <v>5.23</v>
      </c>
      <c r="AN1050">
        <v>0</v>
      </c>
      <c r="AO1050">
        <v>0</v>
      </c>
      <c r="AP1050">
        <v>0</v>
      </c>
      <c r="AQ1050">
        <v>0</v>
      </c>
      <c r="AR1050">
        <v>0</v>
      </c>
      <c r="AS1050">
        <v>0</v>
      </c>
      <c r="AT1050">
        <v>0</v>
      </c>
      <c r="AU1050">
        <v>0</v>
      </c>
      <c r="AV1050">
        <v>0</v>
      </c>
      <c r="AW1050">
        <v>0</v>
      </c>
      <c r="AX1050">
        <v>0</v>
      </c>
      <c r="AY1050">
        <v>0</v>
      </c>
      <c r="AZ1050">
        <v>0</v>
      </c>
      <c r="BA1050">
        <v>0</v>
      </c>
      <c r="BB1050">
        <v>0</v>
      </c>
      <c r="BG1050">
        <v>0</v>
      </c>
      <c r="BH1050">
        <v>1</v>
      </c>
      <c r="BI1050">
        <v>2.1</v>
      </c>
      <c r="BJ1050">
        <v>0.8</v>
      </c>
      <c r="BK1050">
        <v>2.5</v>
      </c>
      <c r="BL1050">
        <v>57.56</v>
      </c>
      <c r="BM1050">
        <v>8.6300000000000008</v>
      </c>
      <c r="BN1050">
        <v>66.19</v>
      </c>
      <c r="BO1050">
        <v>66.19</v>
      </c>
      <c r="BQ1050" t="s">
        <v>70</v>
      </c>
      <c r="BR1050" t="s">
        <v>71</v>
      </c>
      <c r="BS1050" s="1">
        <v>43950</v>
      </c>
      <c r="BT1050" s="2">
        <v>0.35833333333333334</v>
      </c>
      <c r="BU1050" t="s">
        <v>1135</v>
      </c>
      <c r="BV1050" t="s">
        <v>80</v>
      </c>
      <c r="BY1050">
        <v>4013.41</v>
      </c>
      <c r="CA1050" t="s">
        <v>804</v>
      </c>
      <c r="CC1050" t="s">
        <v>93</v>
      </c>
      <c r="CD1050">
        <v>7530</v>
      </c>
      <c r="CE1050" t="s">
        <v>91</v>
      </c>
      <c r="CF1050" s="1">
        <v>43951</v>
      </c>
      <c r="CI1050">
        <v>1</v>
      </c>
      <c r="CJ1050">
        <v>1</v>
      </c>
      <c r="CK1050">
        <v>21</v>
      </c>
      <c r="CL1050" t="s">
        <v>74</v>
      </c>
    </row>
    <row r="1051" spans="1:90" x14ac:dyDescent="0.25">
      <c r="A1051" t="s">
        <v>61</v>
      </c>
      <c r="B1051" t="s">
        <v>62</v>
      </c>
      <c r="C1051" t="s">
        <v>63</v>
      </c>
      <c r="E1051" t="str">
        <f>"FES1162745549"</f>
        <v>FES1162745549</v>
      </c>
      <c r="F1051" s="1">
        <v>43949</v>
      </c>
      <c r="G1051">
        <v>202010</v>
      </c>
      <c r="H1051" t="s">
        <v>64</v>
      </c>
      <c r="I1051" t="s">
        <v>65</v>
      </c>
      <c r="J1051" t="s">
        <v>66</v>
      </c>
      <c r="K1051" t="s">
        <v>67</v>
      </c>
      <c r="L1051" t="s">
        <v>212</v>
      </c>
      <c r="M1051" t="s">
        <v>213</v>
      </c>
      <c r="N1051" t="s">
        <v>889</v>
      </c>
      <c r="O1051" t="s">
        <v>69</v>
      </c>
      <c r="P1051" t="str">
        <f>"2170734469                    "</f>
        <v xml:space="preserve">2170734469                    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0</v>
      </c>
      <c r="AM1051">
        <v>8.3699999999999992</v>
      </c>
      <c r="AN1051">
        <v>0</v>
      </c>
      <c r="AO1051">
        <v>0</v>
      </c>
      <c r="AP1051">
        <v>0</v>
      </c>
      <c r="AQ1051">
        <v>0</v>
      </c>
      <c r="AR1051">
        <v>0</v>
      </c>
      <c r="AS1051">
        <v>0</v>
      </c>
      <c r="AT1051">
        <v>0</v>
      </c>
      <c r="AU1051">
        <v>0</v>
      </c>
      <c r="AV1051">
        <v>0</v>
      </c>
      <c r="AW1051">
        <v>0</v>
      </c>
      <c r="AX1051">
        <v>0</v>
      </c>
      <c r="AY1051">
        <v>0</v>
      </c>
      <c r="AZ1051">
        <v>0</v>
      </c>
      <c r="BA1051">
        <v>0</v>
      </c>
      <c r="BB1051">
        <v>0</v>
      </c>
      <c r="BG1051">
        <v>0</v>
      </c>
      <c r="BH1051">
        <v>1</v>
      </c>
      <c r="BI1051">
        <v>2</v>
      </c>
      <c r="BJ1051">
        <v>4</v>
      </c>
      <c r="BK1051">
        <v>4</v>
      </c>
      <c r="BL1051">
        <v>92.08</v>
      </c>
      <c r="BM1051">
        <v>13.81</v>
      </c>
      <c r="BN1051">
        <v>105.89</v>
      </c>
      <c r="BO1051">
        <v>105.89</v>
      </c>
      <c r="BQ1051" t="s">
        <v>268</v>
      </c>
      <c r="BR1051" t="s">
        <v>71</v>
      </c>
      <c r="BS1051" s="1">
        <v>43950</v>
      </c>
      <c r="BT1051" s="2">
        <v>0.39374999999999999</v>
      </c>
      <c r="BU1051" t="s">
        <v>1133</v>
      </c>
      <c r="BV1051" t="s">
        <v>80</v>
      </c>
      <c r="BY1051">
        <v>19958.48</v>
      </c>
      <c r="CA1051" t="s">
        <v>711</v>
      </c>
      <c r="CC1051" t="s">
        <v>213</v>
      </c>
      <c r="CD1051">
        <v>3610</v>
      </c>
      <c r="CE1051" t="s">
        <v>91</v>
      </c>
      <c r="CF1051" s="1">
        <v>43951</v>
      </c>
      <c r="CI1051">
        <v>1</v>
      </c>
      <c r="CJ1051">
        <v>1</v>
      </c>
      <c r="CK1051">
        <v>21</v>
      </c>
      <c r="CL1051" t="s">
        <v>74</v>
      </c>
    </row>
    <row r="1052" spans="1:90" x14ac:dyDescent="0.25">
      <c r="A1052" t="s">
        <v>61</v>
      </c>
      <c r="B1052" t="s">
        <v>62</v>
      </c>
      <c r="C1052" t="s">
        <v>63</v>
      </c>
      <c r="E1052" t="str">
        <f>"FES1162745555"</f>
        <v>FES1162745555</v>
      </c>
      <c r="F1052" s="1">
        <v>43949</v>
      </c>
      <c r="G1052">
        <v>202010</v>
      </c>
      <c r="H1052" t="s">
        <v>64</v>
      </c>
      <c r="I1052" t="s">
        <v>65</v>
      </c>
      <c r="J1052" t="s">
        <v>66</v>
      </c>
      <c r="K1052" t="s">
        <v>67</v>
      </c>
      <c r="L1052" t="s">
        <v>104</v>
      </c>
      <c r="M1052" t="s">
        <v>105</v>
      </c>
      <c r="N1052" t="s">
        <v>744</v>
      </c>
      <c r="O1052" t="s">
        <v>69</v>
      </c>
      <c r="P1052" t="str">
        <f>"2170736614                    "</f>
        <v xml:space="preserve">2170736614                    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0</v>
      </c>
      <c r="AI1052">
        <v>0</v>
      </c>
      <c r="AJ1052">
        <v>0</v>
      </c>
      <c r="AK1052">
        <v>0</v>
      </c>
      <c r="AL1052">
        <v>0</v>
      </c>
      <c r="AM1052">
        <v>13.06</v>
      </c>
      <c r="AN1052">
        <v>0</v>
      </c>
      <c r="AO1052">
        <v>0</v>
      </c>
      <c r="AP1052">
        <v>0</v>
      </c>
      <c r="AQ1052">
        <v>0</v>
      </c>
      <c r="AR1052">
        <v>0</v>
      </c>
      <c r="AS1052">
        <v>0</v>
      </c>
      <c r="AT1052">
        <v>0</v>
      </c>
      <c r="AU1052">
        <v>0</v>
      </c>
      <c r="AV1052">
        <v>0</v>
      </c>
      <c r="AW1052">
        <v>0</v>
      </c>
      <c r="AX1052">
        <v>0</v>
      </c>
      <c r="AY1052">
        <v>0</v>
      </c>
      <c r="AZ1052">
        <v>0</v>
      </c>
      <c r="BA1052">
        <v>0</v>
      </c>
      <c r="BB1052">
        <v>0</v>
      </c>
      <c r="BG1052">
        <v>0</v>
      </c>
      <c r="BH1052">
        <v>1</v>
      </c>
      <c r="BI1052">
        <v>4.0999999999999996</v>
      </c>
      <c r="BJ1052">
        <v>2.2000000000000002</v>
      </c>
      <c r="BK1052">
        <v>4.5</v>
      </c>
      <c r="BL1052">
        <v>143.63999999999999</v>
      </c>
      <c r="BM1052">
        <v>21.55</v>
      </c>
      <c r="BN1052">
        <v>165.19</v>
      </c>
      <c r="BO1052">
        <v>165.19</v>
      </c>
      <c r="BQ1052" t="s">
        <v>78</v>
      </c>
      <c r="BR1052" t="s">
        <v>71</v>
      </c>
      <c r="BS1052" s="1">
        <v>43950</v>
      </c>
      <c r="BT1052" s="2">
        <v>0.41666666666666669</v>
      </c>
      <c r="BU1052" t="s">
        <v>1075</v>
      </c>
      <c r="BV1052" t="s">
        <v>80</v>
      </c>
      <c r="BY1052">
        <v>11030.88</v>
      </c>
      <c r="CC1052" t="s">
        <v>105</v>
      </c>
      <c r="CD1052">
        <v>1759</v>
      </c>
      <c r="CE1052" t="s">
        <v>91</v>
      </c>
      <c r="CF1052" s="1">
        <v>43951</v>
      </c>
      <c r="CI1052">
        <v>1</v>
      </c>
      <c r="CJ1052">
        <v>1</v>
      </c>
      <c r="CK1052">
        <v>24</v>
      </c>
      <c r="CL1052" t="s">
        <v>74</v>
      </c>
    </row>
    <row r="1053" spans="1:90" x14ac:dyDescent="0.25">
      <c r="A1053" t="s">
        <v>61</v>
      </c>
      <c r="B1053" t="s">
        <v>62</v>
      </c>
      <c r="C1053" t="s">
        <v>63</v>
      </c>
      <c r="E1053" t="str">
        <f>"FES1162745128"</f>
        <v>FES1162745128</v>
      </c>
      <c r="F1053" s="1">
        <v>43949</v>
      </c>
      <c r="G1053">
        <v>202010</v>
      </c>
      <c r="H1053" t="s">
        <v>64</v>
      </c>
      <c r="I1053" t="s">
        <v>65</v>
      </c>
      <c r="J1053" t="s">
        <v>66</v>
      </c>
      <c r="K1053" t="s">
        <v>67</v>
      </c>
      <c r="L1053" t="s">
        <v>64</v>
      </c>
      <c r="M1053" t="s">
        <v>65</v>
      </c>
      <c r="N1053" t="s">
        <v>219</v>
      </c>
      <c r="O1053" t="s">
        <v>69</v>
      </c>
      <c r="P1053" t="str">
        <f>"2170736262                    "</f>
        <v xml:space="preserve">2170736262                    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0</v>
      </c>
      <c r="AM1053">
        <v>4.45</v>
      </c>
      <c r="AN1053">
        <v>0</v>
      </c>
      <c r="AO1053">
        <v>0</v>
      </c>
      <c r="AP1053">
        <v>0</v>
      </c>
      <c r="AQ1053">
        <v>0</v>
      </c>
      <c r="AR1053">
        <v>0</v>
      </c>
      <c r="AS1053">
        <v>0</v>
      </c>
      <c r="AT1053">
        <v>0</v>
      </c>
      <c r="AU1053">
        <v>0</v>
      </c>
      <c r="AV1053">
        <v>0</v>
      </c>
      <c r="AW1053">
        <v>0</v>
      </c>
      <c r="AX1053">
        <v>0</v>
      </c>
      <c r="AY1053">
        <v>0</v>
      </c>
      <c r="AZ1053">
        <v>0</v>
      </c>
      <c r="BA1053">
        <v>0</v>
      </c>
      <c r="BB1053">
        <v>0</v>
      </c>
      <c r="BG1053">
        <v>0</v>
      </c>
      <c r="BH1053">
        <v>1</v>
      </c>
      <c r="BI1053">
        <v>3.1</v>
      </c>
      <c r="BJ1053">
        <v>2.2000000000000002</v>
      </c>
      <c r="BK1053">
        <v>3.5</v>
      </c>
      <c r="BL1053">
        <v>48.92</v>
      </c>
      <c r="BM1053">
        <v>7.34</v>
      </c>
      <c r="BN1053">
        <v>56.26</v>
      </c>
      <c r="BO1053">
        <v>56.26</v>
      </c>
      <c r="BQ1053" t="s">
        <v>78</v>
      </c>
      <c r="BR1053" t="s">
        <v>71</v>
      </c>
      <c r="BS1053" s="1">
        <v>43950</v>
      </c>
      <c r="BT1053" s="2">
        <v>0.3611111111111111</v>
      </c>
      <c r="BU1053" t="s">
        <v>1052</v>
      </c>
      <c r="BV1053" t="s">
        <v>80</v>
      </c>
      <c r="BY1053">
        <v>11233.35</v>
      </c>
      <c r="CC1053" t="s">
        <v>65</v>
      </c>
      <c r="CD1053">
        <v>1601</v>
      </c>
      <c r="CE1053" t="s">
        <v>91</v>
      </c>
      <c r="CF1053" s="1">
        <v>43951</v>
      </c>
      <c r="CI1053">
        <v>1</v>
      </c>
      <c r="CJ1053">
        <v>1</v>
      </c>
      <c r="CK1053">
        <v>22</v>
      </c>
      <c r="CL1053" t="s">
        <v>74</v>
      </c>
    </row>
    <row r="1054" spans="1:90" x14ac:dyDescent="0.25">
      <c r="A1054" t="s">
        <v>61</v>
      </c>
      <c r="B1054" t="s">
        <v>62</v>
      </c>
      <c r="C1054" t="s">
        <v>63</v>
      </c>
      <c r="E1054" t="str">
        <f>"FES1162744961"</f>
        <v>FES1162744961</v>
      </c>
      <c r="F1054" s="1">
        <v>43949</v>
      </c>
      <c r="G1054">
        <v>202010</v>
      </c>
      <c r="H1054" t="s">
        <v>64</v>
      </c>
      <c r="I1054" t="s">
        <v>65</v>
      </c>
      <c r="J1054" t="s">
        <v>66</v>
      </c>
      <c r="K1054" t="s">
        <v>67</v>
      </c>
      <c r="L1054" t="s">
        <v>64</v>
      </c>
      <c r="M1054" t="s">
        <v>65</v>
      </c>
      <c r="N1054" t="s">
        <v>219</v>
      </c>
      <c r="O1054" t="s">
        <v>69</v>
      </c>
      <c r="P1054" t="str">
        <f>"2170734511                    "</f>
        <v xml:space="preserve">2170734511                    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0</v>
      </c>
      <c r="AM1054">
        <v>4.45</v>
      </c>
      <c r="AN1054">
        <v>0</v>
      </c>
      <c r="AO1054">
        <v>0</v>
      </c>
      <c r="AP1054">
        <v>0</v>
      </c>
      <c r="AQ1054">
        <v>0</v>
      </c>
      <c r="AR1054">
        <v>0</v>
      </c>
      <c r="AS1054">
        <v>0</v>
      </c>
      <c r="AT1054">
        <v>0</v>
      </c>
      <c r="AU1054">
        <v>0</v>
      </c>
      <c r="AV1054">
        <v>0</v>
      </c>
      <c r="AW1054">
        <v>0</v>
      </c>
      <c r="AX1054">
        <v>0</v>
      </c>
      <c r="AY1054">
        <v>0</v>
      </c>
      <c r="AZ1054">
        <v>0</v>
      </c>
      <c r="BA1054">
        <v>0</v>
      </c>
      <c r="BB1054">
        <v>0</v>
      </c>
      <c r="BG1054">
        <v>0</v>
      </c>
      <c r="BH1054">
        <v>1</v>
      </c>
      <c r="BI1054">
        <v>3.4</v>
      </c>
      <c r="BJ1054">
        <v>0.9</v>
      </c>
      <c r="BK1054">
        <v>3.5</v>
      </c>
      <c r="BL1054">
        <v>48.92</v>
      </c>
      <c r="BM1054">
        <v>7.34</v>
      </c>
      <c r="BN1054">
        <v>56.26</v>
      </c>
      <c r="BO1054">
        <v>56.26</v>
      </c>
      <c r="BQ1054" t="s">
        <v>78</v>
      </c>
      <c r="BR1054" t="s">
        <v>71</v>
      </c>
      <c r="BS1054" s="1">
        <v>43950</v>
      </c>
      <c r="BT1054" s="2">
        <v>0.3611111111111111</v>
      </c>
      <c r="BU1054" t="s">
        <v>1052</v>
      </c>
      <c r="BV1054" t="s">
        <v>80</v>
      </c>
      <c r="BY1054">
        <v>4449.9799999999996</v>
      </c>
      <c r="CC1054" t="s">
        <v>65</v>
      </c>
      <c r="CD1054">
        <v>1601</v>
      </c>
      <c r="CE1054" t="s">
        <v>91</v>
      </c>
      <c r="CF1054" s="1">
        <v>43951</v>
      </c>
      <c r="CI1054">
        <v>1</v>
      </c>
      <c r="CJ1054">
        <v>1</v>
      </c>
      <c r="CK1054">
        <v>22</v>
      </c>
      <c r="CL1054" t="s">
        <v>74</v>
      </c>
    </row>
    <row r="1055" spans="1:90" x14ac:dyDescent="0.25">
      <c r="A1055" t="s">
        <v>61</v>
      </c>
      <c r="B1055" t="s">
        <v>62</v>
      </c>
      <c r="C1055" t="s">
        <v>63</v>
      </c>
      <c r="E1055" t="str">
        <f>"FES1162745572"</f>
        <v>FES1162745572</v>
      </c>
      <c r="F1055" s="1">
        <v>43949</v>
      </c>
      <c r="G1055">
        <v>202010</v>
      </c>
      <c r="H1055" t="s">
        <v>64</v>
      </c>
      <c r="I1055" t="s">
        <v>65</v>
      </c>
      <c r="J1055" t="s">
        <v>66</v>
      </c>
      <c r="K1055" t="s">
        <v>67</v>
      </c>
      <c r="L1055" t="s">
        <v>146</v>
      </c>
      <c r="M1055" t="s">
        <v>147</v>
      </c>
      <c r="N1055" t="s">
        <v>173</v>
      </c>
      <c r="O1055" t="s">
        <v>69</v>
      </c>
      <c r="P1055" t="str">
        <f>"2170736669                    "</f>
        <v xml:space="preserve">2170736669                    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0</v>
      </c>
      <c r="AM1055">
        <v>4.1900000000000004</v>
      </c>
      <c r="AN1055">
        <v>0</v>
      </c>
      <c r="AO1055">
        <v>0</v>
      </c>
      <c r="AP1055">
        <v>0</v>
      </c>
      <c r="AQ1055">
        <v>0</v>
      </c>
      <c r="AR1055">
        <v>0</v>
      </c>
      <c r="AS1055">
        <v>0</v>
      </c>
      <c r="AT1055">
        <v>0</v>
      </c>
      <c r="AU1055">
        <v>0</v>
      </c>
      <c r="AV1055">
        <v>0</v>
      </c>
      <c r="AW1055">
        <v>0</v>
      </c>
      <c r="AX1055">
        <v>0</v>
      </c>
      <c r="AY1055">
        <v>0</v>
      </c>
      <c r="AZ1055">
        <v>0</v>
      </c>
      <c r="BA1055">
        <v>0</v>
      </c>
      <c r="BB1055">
        <v>0</v>
      </c>
      <c r="BG1055">
        <v>0</v>
      </c>
      <c r="BH1055">
        <v>1</v>
      </c>
      <c r="BI1055">
        <v>1</v>
      </c>
      <c r="BJ1055">
        <v>0.2</v>
      </c>
      <c r="BK1055">
        <v>1</v>
      </c>
      <c r="BL1055">
        <v>46.06</v>
      </c>
      <c r="BM1055">
        <v>6.91</v>
      </c>
      <c r="BN1055">
        <v>52.97</v>
      </c>
      <c r="BO1055">
        <v>52.97</v>
      </c>
      <c r="BQ1055" t="s">
        <v>70</v>
      </c>
      <c r="BR1055" t="s">
        <v>71</v>
      </c>
      <c r="BS1055" t="s">
        <v>72</v>
      </c>
      <c r="BW1055" t="s">
        <v>258</v>
      </c>
      <c r="BX1055" t="s">
        <v>838</v>
      </c>
      <c r="BY1055">
        <v>1200</v>
      </c>
      <c r="CC1055" t="s">
        <v>147</v>
      </c>
      <c r="CD1055">
        <v>6001</v>
      </c>
      <c r="CE1055" t="s">
        <v>73</v>
      </c>
      <c r="CI1055">
        <v>1</v>
      </c>
      <c r="CJ1055" t="s">
        <v>72</v>
      </c>
      <c r="CK1055">
        <v>21</v>
      </c>
      <c r="CL1055" t="s">
        <v>74</v>
      </c>
    </row>
    <row r="1056" spans="1:90" x14ac:dyDescent="0.25">
      <c r="A1056" t="s">
        <v>61</v>
      </c>
      <c r="B1056" t="s">
        <v>62</v>
      </c>
      <c r="C1056" t="s">
        <v>63</v>
      </c>
      <c r="E1056" t="str">
        <f>"FES1162745118"</f>
        <v>FES1162745118</v>
      </c>
      <c r="F1056" s="1">
        <v>43949</v>
      </c>
      <c r="G1056">
        <v>202010</v>
      </c>
      <c r="H1056" t="s">
        <v>64</v>
      </c>
      <c r="I1056" t="s">
        <v>65</v>
      </c>
      <c r="J1056" t="s">
        <v>66</v>
      </c>
      <c r="K1056" t="s">
        <v>67</v>
      </c>
      <c r="L1056" t="s">
        <v>212</v>
      </c>
      <c r="M1056" t="s">
        <v>213</v>
      </c>
      <c r="N1056" t="s">
        <v>214</v>
      </c>
      <c r="O1056" t="s">
        <v>69</v>
      </c>
      <c r="P1056" t="str">
        <f>"2170734511                    "</f>
        <v xml:space="preserve">2170734511                    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0</v>
      </c>
      <c r="AM1056">
        <v>4.1900000000000004</v>
      </c>
      <c r="AN1056">
        <v>0</v>
      </c>
      <c r="AO1056">
        <v>0</v>
      </c>
      <c r="AP1056">
        <v>0</v>
      </c>
      <c r="AQ1056">
        <v>0</v>
      </c>
      <c r="AR1056">
        <v>0</v>
      </c>
      <c r="AS1056">
        <v>0</v>
      </c>
      <c r="AT1056">
        <v>0</v>
      </c>
      <c r="AU1056">
        <v>0</v>
      </c>
      <c r="AV1056">
        <v>0</v>
      </c>
      <c r="AW1056">
        <v>0</v>
      </c>
      <c r="AX1056">
        <v>0</v>
      </c>
      <c r="AY1056">
        <v>0</v>
      </c>
      <c r="AZ1056">
        <v>0</v>
      </c>
      <c r="BA1056">
        <v>0</v>
      </c>
      <c r="BB1056">
        <v>0</v>
      </c>
      <c r="BG1056">
        <v>0</v>
      </c>
      <c r="BH1056">
        <v>1</v>
      </c>
      <c r="BI1056">
        <v>1</v>
      </c>
      <c r="BJ1056">
        <v>0.2</v>
      </c>
      <c r="BK1056">
        <v>1</v>
      </c>
      <c r="BL1056">
        <v>46.06</v>
      </c>
      <c r="BM1056">
        <v>6.91</v>
      </c>
      <c r="BN1056">
        <v>52.97</v>
      </c>
      <c r="BO1056">
        <v>52.97</v>
      </c>
      <c r="BQ1056" t="s">
        <v>70</v>
      </c>
      <c r="BR1056" t="s">
        <v>71</v>
      </c>
      <c r="BS1056" s="1">
        <v>43951</v>
      </c>
      <c r="BT1056" s="2">
        <v>0.41666666666666669</v>
      </c>
      <c r="BU1056" t="s">
        <v>494</v>
      </c>
      <c r="BV1056" t="s">
        <v>74</v>
      </c>
      <c r="BY1056">
        <v>1200</v>
      </c>
      <c r="CA1056" t="s">
        <v>711</v>
      </c>
      <c r="CC1056" t="s">
        <v>213</v>
      </c>
      <c r="CD1056">
        <v>3610</v>
      </c>
      <c r="CE1056" t="s">
        <v>73</v>
      </c>
      <c r="CI1056">
        <v>1</v>
      </c>
      <c r="CJ1056">
        <v>2</v>
      </c>
      <c r="CK1056">
        <v>21</v>
      </c>
      <c r="CL1056" t="s">
        <v>74</v>
      </c>
    </row>
    <row r="1057" spans="1:90" x14ac:dyDescent="0.25">
      <c r="A1057" t="s">
        <v>61</v>
      </c>
      <c r="B1057" t="s">
        <v>62</v>
      </c>
      <c r="C1057" t="s">
        <v>63</v>
      </c>
      <c r="E1057" t="str">
        <f>"FES1162745539"</f>
        <v>FES1162745539</v>
      </c>
      <c r="F1057" s="1">
        <v>43949</v>
      </c>
      <c r="G1057">
        <v>202010</v>
      </c>
      <c r="H1057" t="s">
        <v>64</v>
      </c>
      <c r="I1057" t="s">
        <v>65</v>
      </c>
      <c r="J1057" t="s">
        <v>66</v>
      </c>
      <c r="K1057" t="s">
        <v>67</v>
      </c>
      <c r="L1057" t="s">
        <v>254</v>
      </c>
      <c r="M1057" t="s">
        <v>255</v>
      </c>
      <c r="N1057" t="s">
        <v>1130</v>
      </c>
      <c r="O1057" t="s">
        <v>69</v>
      </c>
      <c r="P1057" t="str">
        <f>"2170736655                    "</f>
        <v xml:space="preserve">2170736655                    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0</v>
      </c>
      <c r="AM1057">
        <v>4.1900000000000004</v>
      </c>
      <c r="AN1057">
        <v>0</v>
      </c>
      <c r="AO1057">
        <v>0</v>
      </c>
      <c r="AP1057">
        <v>0</v>
      </c>
      <c r="AQ1057">
        <v>0</v>
      </c>
      <c r="AR1057">
        <v>0</v>
      </c>
      <c r="AS1057">
        <v>0</v>
      </c>
      <c r="AT1057">
        <v>0</v>
      </c>
      <c r="AU1057">
        <v>0</v>
      </c>
      <c r="AV1057">
        <v>0</v>
      </c>
      <c r="AW1057">
        <v>0</v>
      </c>
      <c r="AX1057">
        <v>0</v>
      </c>
      <c r="AY1057">
        <v>0</v>
      </c>
      <c r="AZ1057">
        <v>0</v>
      </c>
      <c r="BA1057">
        <v>0</v>
      </c>
      <c r="BB1057">
        <v>0</v>
      </c>
      <c r="BG1057">
        <v>0</v>
      </c>
      <c r="BH1057">
        <v>1</v>
      </c>
      <c r="BI1057">
        <v>1</v>
      </c>
      <c r="BJ1057">
        <v>0.2</v>
      </c>
      <c r="BK1057">
        <v>1</v>
      </c>
      <c r="BL1057">
        <v>46.06</v>
      </c>
      <c r="BM1057">
        <v>6.91</v>
      </c>
      <c r="BN1057">
        <v>52.97</v>
      </c>
      <c r="BO1057">
        <v>52.97</v>
      </c>
      <c r="BQ1057" t="s">
        <v>78</v>
      </c>
      <c r="BR1057" t="s">
        <v>71</v>
      </c>
      <c r="BS1057" s="1">
        <v>43950</v>
      </c>
      <c r="BT1057" s="2">
        <v>0.4375</v>
      </c>
      <c r="BU1057" t="s">
        <v>1131</v>
      </c>
      <c r="BV1057" t="s">
        <v>80</v>
      </c>
      <c r="BY1057">
        <v>1200</v>
      </c>
      <c r="CA1057" t="s">
        <v>1132</v>
      </c>
      <c r="CC1057" t="s">
        <v>255</v>
      </c>
      <c r="CD1057">
        <v>157</v>
      </c>
      <c r="CE1057" t="s">
        <v>73</v>
      </c>
      <c r="CF1057" s="1">
        <v>43951</v>
      </c>
      <c r="CI1057">
        <v>1</v>
      </c>
      <c r="CJ1057">
        <v>1</v>
      </c>
      <c r="CK1057">
        <v>21</v>
      </c>
      <c r="CL1057" t="s">
        <v>74</v>
      </c>
    </row>
    <row r="1058" spans="1:90" x14ac:dyDescent="0.25">
      <c r="A1058" t="s">
        <v>61</v>
      </c>
      <c r="B1058" t="s">
        <v>62</v>
      </c>
      <c r="C1058" t="s">
        <v>63</v>
      </c>
      <c r="E1058" t="str">
        <f>"FES1162745693"</f>
        <v>FES1162745693</v>
      </c>
      <c r="F1058" s="1">
        <v>43950</v>
      </c>
      <c r="G1058">
        <v>202010</v>
      </c>
      <c r="H1058" t="s">
        <v>64</v>
      </c>
      <c r="I1058" t="s">
        <v>65</v>
      </c>
      <c r="J1058" t="s">
        <v>66</v>
      </c>
      <c r="K1058" t="s">
        <v>67</v>
      </c>
      <c r="L1058" t="s">
        <v>262</v>
      </c>
      <c r="M1058" t="s">
        <v>262</v>
      </c>
      <c r="N1058" t="s">
        <v>545</v>
      </c>
      <c r="O1058" t="s">
        <v>69</v>
      </c>
      <c r="P1058" t="str">
        <f>"2170736783                    "</f>
        <v xml:space="preserve">2170736783                    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0</v>
      </c>
      <c r="AM1058">
        <v>8.11</v>
      </c>
      <c r="AN1058">
        <v>0</v>
      </c>
      <c r="AO1058">
        <v>0</v>
      </c>
      <c r="AP1058">
        <v>0</v>
      </c>
      <c r="AQ1058">
        <v>0</v>
      </c>
      <c r="AR1058">
        <v>0</v>
      </c>
      <c r="AS1058">
        <v>0</v>
      </c>
      <c r="AT1058">
        <v>0</v>
      </c>
      <c r="AU1058">
        <v>0</v>
      </c>
      <c r="AV1058">
        <v>0</v>
      </c>
      <c r="AW1058">
        <v>0</v>
      </c>
      <c r="AX1058">
        <v>0</v>
      </c>
      <c r="AY1058">
        <v>0</v>
      </c>
      <c r="AZ1058">
        <v>0</v>
      </c>
      <c r="BA1058">
        <v>0</v>
      </c>
      <c r="BB1058">
        <v>0</v>
      </c>
      <c r="BG1058">
        <v>0</v>
      </c>
      <c r="BH1058">
        <v>1</v>
      </c>
      <c r="BI1058">
        <v>1</v>
      </c>
      <c r="BJ1058">
        <v>0.2</v>
      </c>
      <c r="BK1058">
        <v>1</v>
      </c>
      <c r="BL1058">
        <v>89.23</v>
      </c>
      <c r="BM1058">
        <v>13.38</v>
      </c>
      <c r="BN1058">
        <v>102.61</v>
      </c>
      <c r="BO1058">
        <v>102.61</v>
      </c>
      <c r="BQ1058" t="s">
        <v>70</v>
      </c>
      <c r="BR1058" t="s">
        <v>71</v>
      </c>
      <c r="BS1058" s="1">
        <v>43951</v>
      </c>
      <c r="BT1058" s="2">
        <v>0.52083333333333337</v>
      </c>
      <c r="BU1058" t="s">
        <v>1059</v>
      </c>
      <c r="BV1058" t="s">
        <v>80</v>
      </c>
      <c r="BY1058">
        <v>1200</v>
      </c>
      <c r="CA1058" t="s">
        <v>1060</v>
      </c>
      <c r="CC1058" t="s">
        <v>262</v>
      </c>
      <c r="CD1058">
        <v>7646</v>
      </c>
      <c r="CE1058" t="s">
        <v>73</v>
      </c>
      <c r="CI1058">
        <v>1</v>
      </c>
      <c r="CJ1058">
        <v>1</v>
      </c>
      <c r="CK1058">
        <v>23</v>
      </c>
      <c r="CL1058" t="s">
        <v>74</v>
      </c>
    </row>
    <row r="1059" spans="1:90" x14ac:dyDescent="0.25">
      <c r="A1059" t="s">
        <v>61</v>
      </c>
      <c r="B1059" t="s">
        <v>62</v>
      </c>
      <c r="C1059" t="s">
        <v>63</v>
      </c>
      <c r="E1059" t="str">
        <f>"FES1162745720"</f>
        <v>FES1162745720</v>
      </c>
      <c r="F1059" s="1">
        <v>43951</v>
      </c>
      <c r="G1059">
        <v>202010</v>
      </c>
      <c r="H1059" t="s">
        <v>64</v>
      </c>
      <c r="I1059" t="s">
        <v>65</v>
      </c>
      <c r="J1059" t="s">
        <v>66</v>
      </c>
      <c r="K1059" t="s">
        <v>67</v>
      </c>
      <c r="L1059" t="s">
        <v>270</v>
      </c>
      <c r="M1059" t="s">
        <v>271</v>
      </c>
      <c r="N1059" t="s">
        <v>1136</v>
      </c>
      <c r="O1059" t="s">
        <v>69</v>
      </c>
      <c r="P1059" t="str">
        <f>"2170736808                    "</f>
        <v xml:space="preserve">2170736808                    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0</v>
      </c>
      <c r="AM1059">
        <v>3.27</v>
      </c>
      <c r="AN1059">
        <v>0</v>
      </c>
      <c r="AO1059">
        <v>0</v>
      </c>
      <c r="AP1059">
        <v>0</v>
      </c>
      <c r="AQ1059">
        <v>0</v>
      </c>
      <c r="AR1059">
        <v>0</v>
      </c>
      <c r="AS1059">
        <v>0</v>
      </c>
      <c r="AT1059">
        <v>0</v>
      </c>
      <c r="AU1059">
        <v>0</v>
      </c>
      <c r="AV1059">
        <v>0</v>
      </c>
      <c r="AW1059">
        <v>0</v>
      </c>
      <c r="AX1059">
        <v>0</v>
      </c>
      <c r="AY1059">
        <v>0</v>
      </c>
      <c r="AZ1059">
        <v>0</v>
      </c>
      <c r="BA1059">
        <v>0</v>
      </c>
      <c r="BB1059">
        <v>0</v>
      </c>
      <c r="BG1059">
        <v>0</v>
      </c>
      <c r="BH1059">
        <v>1</v>
      </c>
      <c r="BI1059">
        <v>1</v>
      </c>
      <c r="BJ1059">
        <v>0.2</v>
      </c>
      <c r="BK1059">
        <v>1</v>
      </c>
      <c r="BL1059">
        <v>35.979999999999997</v>
      </c>
      <c r="BM1059">
        <v>5.4</v>
      </c>
      <c r="BN1059">
        <v>41.38</v>
      </c>
      <c r="BO1059">
        <v>41.38</v>
      </c>
      <c r="BQ1059" t="s">
        <v>78</v>
      </c>
      <c r="BR1059" t="s">
        <v>71</v>
      </c>
      <c r="BS1059" t="s">
        <v>72</v>
      </c>
      <c r="BY1059">
        <v>1200</v>
      </c>
      <c r="CC1059" t="s">
        <v>271</v>
      </c>
      <c r="CD1059">
        <v>2013</v>
      </c>
      <c r="CE1059" t="s">
        <v>73</v>
      </c>
      <c r="CI1059">
        <v>1</v>
      </c>
      <c r="CJ1059" t="s">
        <v>72</v>
      </c>
      <c r="CK1059">
        <v>22</v>
      </c>
      <c r="CL1059" t="s">
        <v>74</v>
      </c>
    </row>
    <row r="1060" spans="1:90" x14ac:dyDescent="0.25">
      <c r="A1060" t="s">
        <v>61</v>
      </c>
      <c r="B1060" t="s">
        <v>62</v>
      </c>
      <c r="C1060" t="s">
        <v>63</v>
      </c>
      <c r="E1060" t="str">
        <f>"FES1162745686"</f>
        <v>FES1162745686</v>
      </c>
      <c r="F1060" s="1">
        <v>43950</v>
      </c>
      <c r="G1060">
        <v>202010</v>
      </c>
      <c r="H1060" t="s">
        <v>64</v>
      </c>
      <c r="I1060" t="s">
        <v>65</v>
      </c>
      <c r="J1060" t="s">
        <v>66</v>
      </c>
      <c r="K1060" t="s">
        <v>67</v>
      </c>
      <c r="L1060" t="s">
        <v>120</v>
      </c>
      <c r="M1060" t="s">
        <v>121</v>
      </c>
      <c r="N1060" t="s">
        <v>728</v>
      </c>
      <c r="O1060" t="s">
        <v>69</v>
      </c>
      <c r="P1060" t="str">
        <f>"2170736776                    "</f>
        <v xml:space="preserve">2170736776                    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0</v>
      </c>
      <c r="AM1060">
        <v>4.1900000000000004</v>
      </c>
      <c r="AN1060">
        <v>0</v>
      </c>
      <c r="AO1060">
        <v>0</v>
      </c>
      <c r="AP1060">
        <v>0</v>
      </c>
      <c r="AQ1060">
        <v>0</v>
      </c>
      <c r="AR1060">
        <v>0</v>
      </c>
      <c r="AS1060">
        <v>0</v>
      </c>
      <c r="AT1060">
        <v>0</v>
      </c>
      <c r="AU1060">
        <v>0</v>
      </c>
      <c r="AV1060">
        <v>0</v>
      </c>
      <c r="AW1060">
        <v>0</v>
      </c>
      <c r="AX1060">
        <v>0</v>
      </c>
      <c r="AY1060">
        <v>0</v>
      </c>
      <c r="AZ1060">
        <v>0</v>
      </c>
      <c r="BA1060">
        <v>0</v>
      </c>
      <c r="BB1060">
        <v>0</v>
      </c>
      <c r="BG1060">
        <v>0</v>
      </c>
      <c r="BH1060">
        <v>1</v>
      </c>
      <c r="BI1060">
        <v>1</v>
      </c>
      <c r="BJ1060">
        <v>0.2</v>
      </c>
      <c r="BK1060">
        <v>1</v>
      </c>
      <c r="BL1060">
        <v>46.06</v>
      </c>
      <c r="BM1060">
        <v>6.91</v>
      </c>
      <c r="BN1060">
        <v>52.97</v>
      </c>
      <c r="BO1060">
        <v>52.97</v>
      </c>
      <c r="BQ1060" t="s">
        <v>109</v>
      </c>
      <c r="BR1060" t="s">
        <v>71</v>
      </c>
      <c r="BS1060" s="1">
        <v>43951</v>
      </c>
      <c r="BT1060" s="2">
        <v>0.36041666666666666</v>
      </c>
      <c r="BU1060" t="s">
        <v>1137</v>
      </c>
      <c r="BV1060" t="s">
        <v>80</v>
      </c>
      <c r="BY1060">
        <v>1200</v>
      </c>
      <c r="CA1060" t="s">
        <v>430</v>
      </c>
      <c r="CC1060" t="s">
        <v>121</v>
      </c>
      <c r="CD1060">
        <v>4000</v>
      </c>
      <c r="CE1060" t="s">
        <v>73</v>
      </c>
      <c r="CI1060">
        <v>1</v>
      </c>
      <c r="CJ1060">
        <v>1</v>
      </c>
      <c r="CK1060">
        <v>21</v>
      </c>
      <c r="CL1060" t="s">
        <v>74</v>
      </c>
    </row>
    <row r="1061" spans="1:90" x14ac:dyDescent="0.25">
      <c r="A1061" t="s">
        <v>61</v>
      </c>
      <c r="B1061" t="s">
        <v>62</v>
      </c>
      <c r="C1061" t="s">
        <v>63</v>
      </c>
      <c r="E1061" t="str">
        <f>"FES1162745665"</f>
        <v>FES1162745665</v>
      </c>
      <c r="F1061" s="1">
        <v>43950</v>
      </c>
      <c r="G1061">
        <v>202010</v>
      </c>
      <c r="H1061" t="s">
        <v>64</v>
      </c>
      <c r="I1061" t="s">
        <v>65</v>
      </c>
      <c r="J1061" t="s">
        <v>66</v>
      </c>
      <c r="K1061" t="s">
        <v>67</v>
      </c>
      <c r="L1061" t="s">
        <v>92</v>
      </c>
      <c r="M1061" t="s">
        <v>93</v>
      </c>
      <c r="N1061" t="s">
        <v>365</v>
      </c>
      <c r="O1061" t="s">
        <v>69</v>
      </c>
      <c r="P1061" t="str">
        <f>"2170736750                    "</f>
        <v xml:space="preserve">2170736750                    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0</v>
      </c>
      <c r="AM1061">
        <v>4.1900000000000004</v>
      </c>
      <c r="AN1061">
        <v>0</v>
      </c>
      <c r="AO1061">
        <v>0</v>
      </c>
      <c r="AP1061">
        <v>0</v>
      </c>
      <c r="AQ1061">
        <v>0</v>
      </c>
      <c r="AR1061">
        <v>0</v>
      </c>
      <c r="AS1061">
        <v>0</v>
      </c>
      <c r="AT1061">
        <v>0</v>
      </c>
      <c r="AU1061">
        <v>0</v>
      </c>
      <c r="AV1061">
        <v>0</v>
      </c>
      <c r="AW1061">
        <v>0</v>
      </c>
      <c r="AX1061">
        <v>0</v>
      </c>
      <c r="AY1061">
        <v>0</v>
      </c>
      <c r="AZ1061">
        <v>0</v>
      </c>
      <c r="BA1061">
        <v>0</v>
      </c>
      <c r="BB1061">
        <v>0</v>
      </c>
      <c r="BG1061">
        <v>0</v>
      </c>
      <c r="BH1061">
        <v>1</v>
      </c>
      <c r="BI1061">
        <v>1</v>
      </c>
      <c r="BJ1061">
        <v>0.2</v>
      </c>
      <c r="BK1061">
        <v>1</v>
      </c>
      <c r="BL1061">
        <v>46.06</v>
      </c>
      <c r="BM1061">
        <v>6.91</v>
      </c>
      <c r="BN1061">
        <v>52.97</v>
      </c>
      <c r="BO1061">
        <v>52.97</v>
      </c>
      <c r="BQ1061" t="s">
        <v>78</v>
      </c>
      <c r="BR1061" t="s">
        <v>71</v>
      </c>
      <c r="BS1061" s="1">
        <v>43951</v>
      </c>
      <c r="BT1061" s="2">
        <v>0.38263888888888892</v>
      </c>
      <c r="BU1061" t="s">
        <v>1068</v>
      </c>
      <c r="BV1061" t="s">
        <v>80</v>
      </c>
      <c r="BY1061">
        <v>1200</v>
      </c>
      <c r="CA1061" t="s">
        <v>98</v>
      </c>
      <c r="CC1061" t="s">
        <v>93</v>
      </c>
      <c r="CD1061">
        <v>7460</v>
      </c>
      <c r="CE1061" t="s">
        <v>73</v>
      </c>
      <c r="CI1061">
        <v>1</v>
      </c>
      <c r="CJ1061">
        <v>1</v>
      </c>
      <c r="CK1061">
        <v>21</v>
      </c>
      <c r="CL1061" t="s">
        <v>74</v>
      </c>
    </row>
    <row r="1062" spans="1:90" x14ac:dyDescent="0.25">
      <c r="A1062" t="s">
        <v>61</v>
      </c>
      <c r="B1062" t="s">
        <v>62</v>
      </c>
      <c r="C1062" t="s">
        <v>63</v>
      </c>
      <c r="E1062" t="str">
        <f>"FES1162745647"</f>
        <v>FES1162745647</v>
      </c>
      <c r="F1062" s="1">
        <v>43950</v>
      </c>
      <c r="G1062">
        <v>202010</v>
      </c>
      <c r="H1062" t="s">
        <v>64</v>
      </c>
      <c r="I1062" t="s">
        <v>65</v>
      </c>
      <c r="J1062" t="s">
        <v>66</v>
      </c>
      <c r="K1062" t="s">
        <v>67</v>
      </c>
      <c r="L1062" t="s">
        <v>92</v>
      </c>
      <c r="M1062" t="s">
        <v>93</v>
      </c>
      <c r="N1062" t="s">
        <v>562</v>
      </c>
      <c r="O1062" t="s">
        <v>69</v>
      </c>
      <c r="P1062" t="str">
        <f>"2170736390                    "</f>
        <v xml:space="preserve">2170736390                    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0</v>
      </c>
      <c r="AM1062">
        <v>4.1900000000000004</v>
      </c>
      <c r="AN1062">
        <v>0</v>
      </c>
      <c r="AO1062">
        <v>0</v>
      </c>
      <c r="AP1062">
        <v>0</v>
      </c>
      <c r="AQ1062">
        <v>0</v>
      </c>
      <c r="AR1062">
        <v>0</v>
      </c>
      <c r="AS1062">
        <v>0</v>
      </c>
      <c r="AT1062">
        <v>0</v>
      </c>
      <c r="AU1062">
        <v>0</v>
      </c>
      <c r="AV1062">
        <v>0</v>
      </c>
      <c r="AW1062">
        <v>0</v>
      </c>
      <c r="AX1062">
        <v>0</v>
      </c>
      <c r="AY1062">
        <v>0</v>
      </c>
      <c r="AZ1062">
        <v>0</v>
      </c>
      <c r="BA1062">
        <v>0</v>
      </c>
      <c r="BB1062">
        <v>0</v>
      </c>
      <c r="BG1062">
        <v>0</v>
      </c>
      <c r="BH1062">
        <v>1</v>
      </c>
      <c r="BI1062">
        <v>1</v>
      </c>
      <c r="BJ1062">
        <v>0.2</v>
      </c>
      <c r="BK1062">
        <v>1</v>
      </c>
      <c r="BL1062">
        <v>46.06</v>
      </c>
      <c r="BM1062">
        <v>6.91</v>
      </c>
      <c r="BN1062">
        <v>52.97</v>
      </c>
      <c r="BO1062">
        <v>52.97</v>
      </c>
      <c r="BQ1062" t="s">
        <v>78</v>
      </c>
      <c r="BR1062" t="s">
        <v>71</v>
      </c>
      <c r="BS1062" s="1">
        <v>43951</v>
      </c>
      <c r="BT1062" s="2">
        <v>0.43541666666666662</v>
      </c>
      <c r="BU1062" t="s">
        <v>1138</v>
      </c>
      <c r="BV1062" t="s">
        <v>80</v>
      </c>
      <c r="BY1062">
        <v>1200</v>
      </c>
      <c r="CA1062" t="s">
        <v>1139</v>
      </c>
      <c r="CC1062" t="s">
        <v>93</v>
      </c>
      <c r="CD1062">
        <v>7945</v>
      </c>
      <c r="CE1062" t="s">
        <v>73</v>
      </c>
      <c r="CI1062">
        <v>1</v>
      </c>
      <c r="CJ1062">
        <v>1</v>
      </c>
      <c r="CK1062">
        <v>21</v>
      </c>
      <c r="CL1062" t="s">
        <v>74</v>
      </c>
    </row>
    <row r="1063" spans="1:90" x14ac:dyDescent="0.25">
      <c r="A1063" t="s">
        <v>61</v>
      </c>
      <c r="B1063" t="s">
        <v>62</v>
      </c>
      <c r="C1063" t="s">
        <v>63</v>
      </c>
      <c r="E1063" t="str">
        <f>"FES1162745702"</f>
        <v>FES1162745702</v>
      </c>
      <c r="F1063" s="1">
        <v>43950</v>
      </c>
      <c r="G1063">
        <v>202010</v>
      </c>
      <c r="H1063" t="s">
        <v>64</v>
      </c>
      <c r="I1063" t="s">
        <v>65</v>
      </c>
      <c r="J1063" t="s">
        <v>66</v>
      </c>
      <c r="K1063" t="s">
        <v>67</v>
      </c>
      <c r="L1063" t="s">
        <v>75</v>
      </c>
      <c r="M1063" t="s">
        <v>76</v>
      </c>
      <c r="N1063" t="s">
        <v>155</v>
      </c>
      <c r="O1063" t="s">
        <v>69</v>
      </c>
      <c r="P1063" t="str">
        <f>"2170736798                    "</f>
        <v xml:space="preserve">2170736798                    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0</v>
      </c>
      <c r="AM1063">
        <v>3.27</v>
      </c>
      <c r="AN1063">
        <v>0</v>
      </c>
      <c r="AO1063">
        <v>0</v>
      </c>
      <c r="AP1063">
        <v>0</v>
      </c>
      <c r="AQ1063">
        <v>0</v>
      </c>
      <c r="AR1063">
        <v>0</v>
      </c>
      <c r="AS1063">
        <v>0</v>
      </c>
      <c r="AT1063">
        <v>0</v>
      </c>
      <c r="AU1063">
        <v>0</v>
      </c>
      <c r="AV1063">
        <v>0</v>
      </c>
      <c r="AW1063">
        <v>0</v>
      </c>
      <c r="AX1063">
        <v>0</v>
      </c>
      <c r="AY1063">
        <v>0</v>
      </c>
      <c r="AZ1063">
        <v>0</v>
      </c>
      <c r="BA1063">
        <v>0</v>
      </c>
      <c r="BB1063">
        <v>0</v>
      </c>
      <c r="BG1063">
        <v>0</v>
      </c>
      <c r="BH1063">
        <v>1</v>
      </c>
      <c r="BI1063">
        <v>1</v>
      </c>
      <c r="BJ1063">
        <v>0.2</v>
      </c>
      <c r="BK1063">
        <v>1</v>
      </c>
      <c r="BL1063">
        <v>35.979999999999997</v>
      </c>
      <c r="BM1063">
        <v>5.4</v>
      </c>
      <c r="BN1063">
        <v>41.38</v>
      </c>
      <c r="BO1063">
        <v>41.38</v>
      </c>
      <c r="BQ1063" t="s">
        <v>78</v>
      </c>
      <c r="BR1063" t="s">
        <v>71</v>
      </c>
      <c r="BS1063" t="s">
        <v>72</v>
      </c>
      <c r="BY1063">
        <v>1200</v>
      </c>
      <c r="CC1063" t="s">
        <v>76</v>
      </c>
      <c r="CD1063">
        <v>1459</v>
      </c>
      <c r="CE1063" t="s">
        <v>73</v>
      </c>
      <c r="CI1063">
        <v>1</v>
      </c>
      <c r="CJ1063" t="s">
        <v>72</v>
      </c>
      <c r="CK1063">
        <v>22</v>
      </c>
      <c r="CL1063" t="s">
        <v>74</v>
      </c>
    </row>
    <row r="1064" spans="1:90" x14ac:dyDescent="0.25">
      <c r="A1064" t="s">
        <v>61</v>
      </c>
      <c r="B1064" t="s">
        <v>62</v>
      </c>
      <c r="C1064" t="s">
        <v>63</v>
      </c>
      <c r="E1064" t="str">
        <f>"FES1162745575"</f>
        <v>FES1162745575</v>
      </c>
      <c r="F1064" s="1">
        <v>43950</v>
      </c>
      <c r="G1064">
        <v>202010</v>
      </c>
      <c r="H1064" t="s">
        <v>64</v>
      </c>
      <c r="I1064" t="s">
        <v>65</v>
      </c>
      <c r="J1064" t="s">
        <v>66</v>
      </c>
      <c r="K1064" t="s">
        <v>67</v>
      </c>
      <c r="L1064" t="s">
        <v>64</v>
      </c>
      <c r="M1064" t="s">
        <v>65</v>
      </c>
      <c r="N1064" t="s">
        <v>217</v>
      </c>
      <c r="O1064" t="s">
        <v>69</v>
      </c>
      <c r="P1064" t="str">
        <f>"2170736581                    "</f>
        <v xml:space="preserve">2170736581                    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0</v>
      </c>
      <c r="AM1064">
        <v>5.62</v>
      </c>
      <c r="AN1064">
        <v>0</v>
      </c>
      <c r="AO1064">
        <v>0</v>
      </c>
      <c r="AP1064">
        <v>0</v>
      </c>
      <c r="AQ1064">
        <v>0</v>
      </c>
      <c r="AR1064">
        <v>0</v>
      </c>
      <c r="AS1064">
        <v>0</v>
      </c>
      <c r="AT1064">
        <v>0</v>
      </c>
      <c r="AU1064">
        <v>0</v>
      </c>
      <c r="AV1064">
        <v>0</v>
      </c>
      <c r="AW1064">
        <v>0</v>
      </c>
      <c r="AX1064">
        <v>0</v>
      </c>
      <c r="AY1064">
        <v>0</v>
      </c>
      <c r="AZ1064">
        <v>0</v>
      </c>
      <c r="BA1064">
        <v>0</v>
      </c>
      <c r="BB1064">
        <v>0</v>
      </c>
      <c r="BG1064">
        <v>0</v>
      </c>
      <c r="BH1064">
        <v>1</v>
      </c>
      <c r="BI1064">
        <v>5</v>
      </c>
      <c r="BJ1064">
        <v>2</v>
      </c>
      <c r="BK1064">
        <v>5</v>
      </c>
      <c r="BL1064">
        <v>61.85</v>
      </c>
      <c r="BM1064">
        <v>9.2799999999999994</v>
      </c>
      <c r="BN1064">
        <v>71.13</v>
      </c>
      <c r="BO1064">
        <v>71.13</v>
      </c>
      <c r="BQ1064" t="s">
        <v>70</v>
      </c>
      <c r="BR1064" t="s">
        <v>71</v>
      </c>
      <c r="BS1064" t="s">
        <v>72</v>
      </c>
      <c r="BY1064">
        <v>9918</v>
      </c>
      <c r="CC1064" t="s">
        <v>65</v>
      </c>
      <c r="CD1064">
        <v>1601</v>
      </c>
      <c r="CE1064" t="s">
        <v>91</v>
      </c>
      <c r="CI1064">
        <v>1</v>
      </c>
      <c r="CJ1064" t="s">
        <v>72</v>
      </c>
      <c r="CK1064">
        <v>22</v>
      </c>
      <c r="CL1064" t="s">
        <v>74</v>
      </c>
    </row>
    <row r="1065" spans="1:90" x14ac:dyDescent="0.25">
      <c r="A1065" t="s">
        <v>61</v>
      </c>
      <c r="B1065" t="s">
        <v>62</v>
      </c>
      <c r="C1065" t="s">
        <v>63</v>
      </c>
      <c r="E1065" t="str">
        <f>"FES1162745627"</f>
        <v>FES1162745627</v>
      </c>
      <c r="F1065" s="1">
        <v>43950</v>
      </c>
      <c r="G1065">
        <v>202010</v>
      </c>
      <c r="H1065" t="s">
        <v>64</v>
      </c>
      <c r="I1065" t="s">
        <v>65</v>
      </c>
      <c r="J1065" t="s">
        <v>66</v>
      </c>
      <c r="K1065" t="s">
        <v>67</v>
      </c>
      <c r="L1065" t="s">
        <v>64</v>
      </c>
      <c r="M1065" t="s">
        <v>65</v>
      </c>
      <c r="N1065" t="s">
        <v>219</v>
      </c>
      <c r="O1065" t="s">
        <v>69</v>
      </c>
      <c r="P1065" t="str">
        <f>"2170735623                    "</f>
        <v xml:space="preserve">2170735623                    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0</v>
      </c>
      <c r="AM1065">
        <v>4.0599999999999996</v>
      </c>
      <c r="AN1065">
        <v>0</v>
      </c>
      <c r="AO1065">
        <v>0</v>
      </c>
      <c r="AP1065">
        <v>0</v>
      </c>
      <c r="AQ1065">
        <v>0</v>
      </c>
      <c r="AR1065">
        <v>0</v>
      </c>
      <c r="AS1065">
        <v>0</v>
      </c>
      <c r="AT1065">
        <v>0</v>
      </c>
      <c r="AU1065">
        <v>0</v>
      </c>
      <c r="AV1065">
        <v>0</v>
      </c>
      <c r="AW1065">
        <v>0</v>
      </c>
      <c r="AX1065">
        <v>0</v>
      </c>
      <c r="AY1065">
        <v>0</v>
      </c>
      <c r="AZ1065">
        <v>0</v>
      </c>
      <c r="BA1065">
        <v>0</v>
      </c>
      <c r="BB1065">
        <v>0</v>
      </c>
      <c r="BG1065">
        <v>0</v>
      </c>
      <c r="BH1065">
        <v>1</v>
      </c>
      <c r="BI1065">
        <v>2.8</v>
      </c>
      <c r="BJ1065">
        <v>1.4</v>
      </c>
      <c r="BK1065">
        <v>3</v>
      </c>
      <c r="BL1065">
        <v>44.61</v>
      </c>
      <c r="BM1065">
        <v>6.69</v>
      </c>
      <c r="BN1065">
        <v>51.3</v>
      </c>
      <c r="BO1065">
        <v>51.3</v>
      </c>
      <c r="BQ1065" t="s">
        <v>78</v>
      </c>
      <c r="BR1065" t="s">
        <v>71</v>
      </c>
      <c r="BS1065" t="s">
        <v>72</v>
      </c>
      <c r="BY1065">
        <v>7063.12</v>
      </c>
      <c r="CC1065" t="s">
        <v>65</v>
      </c>
      <c r="CD1065">
        <v>1601</v>
      </c>
      <c r="CE1065" t="s">
        <v>91</v>
      </c>
      <c r="CI1065">
        <v>1</v>
      </c>
      <c r="CJ1065" t="s">
        <v>72</v>
      </c>
      <c r="CK1065">
        <v>22</v>
      </c>
      <c r="CL1065" t="s">
        <v>74</v>
      </c>
    </row>
    <row r="1066" spans="1:90" x14ac:dyDescent="0.25">
      <c r="A1066" t="s">
        <v>61</v>
      </c>
      <c r="B1066" t="s">
        <v>62</v>
      </c>
      <c r="C1066" t="s">
        <v>63</v>
      </c>
      <c r="E1066" t="str">
        <f>"FES1162745625"</f>
        <v>FES1162745625</v>
      </c>
      <c r="F1066" s="1">
        <v>43950</v>
      </c>
      <c r="G1066">
        <v>202010</v>
      </c>
      <c r="H1066" t="s">
        <v>64</v>
      </c>
      <c r="I1066" t="s">
        <v>65</v>
      </c>
      <c r="J1066" t="s">
        <v>66</v>
      </c>
      <c r="K1066" t="s">
        <v>67</v>
      </c>
      <c r="L1066" t="s">
        <v>199</v>
      </c>
      <c r="M1066" t="s">
        <v>200</v>
      </c>
      <c r="N1066" t="s">
        <v>488</v>
      </c>
      <c r="O1066" t="s">
        <v>69</v>
      </c>
      <c r="P1066" t="str">
        <f>"2170735614                    "</f>
        <v xml:space="preserve">2170735614                    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6.02</v>
      </c>
      <c r="AN1066">
        <v>0</v>
      </c>
      <c r="AO1066">
        <v>0</v>
      </c>
      <c r="AP1066">
        <v>0</v>
      </c>
      <c r="AQ1066">
        <v>0</v>
      </c>
      <c r="AR1066">
        <v>0</v>
      </c>
      <c r="AS1066">
        <v>0</v>
      </c>
      <c r="AT1066">
        <v>0</v>
      </c>
      <c r="AU1066">
        <v>0</v>
      </c>
      <c r="AV1066">
        <v>0</v>
      </c>
      <c r="AW1066">
        <v>0</v>
      </c>
      <c r="AX1066">
        <v>0</v>
      </c>
      <c r="AY1066">
        <v>0</v>
      </c>
      <c r="AZ1066">
        <v>0</v>
      </c>
      <c r="BA1066">
        <v>0</v>
      </c>
      <c r="BB1066">
        <v>0</v>
      </c>
      <c r="BG1066">
        <v>0</v>
      </c>
      <c r="BH1066">
        <v>1</v>
      </c>
      <c r="BI1066">
        <v>5.3</v>
      </c>
      <c r="BJ1066">
        <v>1.6</v>
      </c>
      <c r="BK1066">
        <v>5.5</v>
      </c>
      <c r="BL1066">
        <v>66.17</v>
      </c>
      <c r="BM1066">
        <v>9.93</v>
      </c>
      <c r="BN1066">
        <v>76.099999999999994</v>
      </c>
      <c r="BO1066">
        <v>76.099999999999994</v>
      </c>
      <c r="BQ1066" t="s">
        <v>78</v>
      </c>
      <c r="BR1066" t="s">
        <v>71</v>
      </c>
      <c r="BS1066" s="1">
        <v>43951</v>
      </c>
      <c r="BT1066" s="2">
        <v>0.375</v>
      </c>
      <c r="BU1066" t="s">
        <v>1140</v>
      </c>
      <c r="BV1066" t="s">
        <v>80</v>
      </c>
      <c r="BY1066">
        <v>7872.29</v>
      </c>
      <c r="CA1066" t="s">
        <v>437</v>
      </c>
      <c r="CC1066" t="s">
        <v>200</v>
      </c>
      <c r="CD1066">
        <v>1559</v>
      </c>
      <c r="CE1066" t="s">
        <v>91</v>
      </c>
      <c r="CI1066">
        <v>1</v>
      </c>
      <c r="CJ1066">
        <v>1</v>
      </c>
      <c r="CK1066">
        <v>22</v>
      </c>
      <c r="CL1066" t="s">
        <v>74</v>
      </c>
    </row>
    <row r="1067" spans="1:90" x14ac:dyDescent="0.25">
      <c r="A1067" t="s">
        <v>61</v>
      </c>
      <c r="B1067" t="s">
        <v>62</v>
      </c>
      <c r="C1067" t="s">
        <v>63</v>
      </c>
      <c r="E1067" t="str">
        <f>"FES1162745620"</f>
        <v>FES1162745620</v>
      </c>
      <c r="F1067" s="1">
        <v>43950</v>
      </c>
      <c r="G1067">
        <v>202010</v>
      </c>
      <c r="H1067" t="s">
        <v>64</v>
      </c>
      <c r="I1067" t="s">
        <v>65</v>
      </c>
      <c r="J1067" t="s">
        <v>66</v>
      </c>
      <c r="K1067" t="s">
        <v>67</v>
      </c>
      <c r="L1067" t="s">
        <v>177</v>
      </c>
      <c r="M1067" t="s">
        <v>178</v>
      </c>
      <c r="N1067" t="s">
        <v>179</v>
      </c>
      <c r="O1067" t="s">
        <v>69</v>
      </c>
      <c r="P1067" t="str">
        <f>"2170735406                    "</f>
        <v xml:space="preserve">2170735406                    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0</v>
      </c>
      <c r="AM1067">
        <v>4.1900000000000004</v>
      </c>
      <c r="AN1067">
        <v>0</v>
      </c>
      <c r="AO1067">
        <v>0</v>
      </c>
      <c r="AP1067">
        <v>0</v>
      </c>
      <c r="AQ1067">
        <v>0</v>
      </c>
      <c r="AR1067">
        <v>0</v>
      </c>
      <c r="AS1067">
        <v>0</v>
      </c>
      <c r="AT1067">
        <v>0</v>
      </c>
      <c r="AU1067">
        <v>0</v>
      </c>
      <c r="AV1067">
        <v>0</v>
      </c>
      <c r="AW1067">
        <v>0</v>
      </c>
      <c r="AX1067">
        <v>0</v>
      </c>
      <c r="AY1067">
        <v>0</v>
      </c>
      <c r="AZ1067">
        <v>0</v>
      </c>
      <c r="BA1067">
        <v>0</v>
      </c>
      <c r="BB1067">
        <v>0</v>
      </c>
      <c r="BG1067">
        <v>0</v>
      </c>
      <c r="BH1067">
        <v>1</v>
      </c>
      <c r="BI1067">
        <v>1</v>
      </c>
      <c r="BJ1067">
        <v>0.2</v>
      </c>
      <c r="BK1067">
        <v>1</v>
      </c>
      <c r="BL1067">
        <v>46.06</v>
      </c>
      <c r="BM1067">
        <v>6.91</v>
      </c>
      <c r="BN1067">
        <v>52.97</v>
      </c>
      <c r="BO1067">
        <v>52.97</v>
      </c>
      <c r="BQ1067" t="s">
        <v>70</v>
      </c>
      <c r="BR1067" t="s">
        <v>71</v>
      </c>
      <c r="BS1067" s="1">
        <v>43951</v>
      </c>
      <c r="BT1067" s="2">
        <v>0.52847222222222223</v>
      </c>
      <c r="BU1067" t="s">
        <v>1037</v>
      </c>
      <c r="BV1067" t="s">
        <v>80</v>
      </c>
      <c r="BY1067">
        <v>1200</v>
      </c>
      <c r="CA1067" t="s">
        <v>741</v>
      </c>
      <c r="CC1067" t="s">
        <v>178</v>
      </c>
      <c r="CD1067">
        <v>4302</v>
      </c>
      <c r="CE1067" t="s">
        <v>73</v>
      </c>
      <c r="CI1067">
        <v>1</v>
      </c>
      <c r="CJ1067">
        <v>1</v>
      </c>
      <c r="CK1067">
        <v>21</v>
      </c>
      <c r="CL1067" t="s">
        <v>74</v>
      </c>
    </row>
    <row r="1068" spans="1:90" x14ac:dyDescent="0.25">
      <c r="A1068" t="s">
        <v>61</v>
      </c>
      <c r="B1068" t="s">
        <v>62</v>
      </c>
      <c r="C1068" t="s">
        <v>63</v>
      </c>
      <c r="E1068" t="str">
        <f>"FES1162745619"</f>
        <v>FES1162745619</v>
      </c>
      <c r="F1068" s="1">
        <v>43950</v>
      </c>
      <c r="G1068">
        <v>202010</v>
      </c>
      <c r="H1068" t="s">
        <v>64</v>
      </c>
      <c r="I1068" t="s">
        <v>65</v>
      </c>
      <c r="J1068" t="s">
        <v>66</v>
      </c>
      <c r="K1068" t="s">
        <v>67</v>
      </c>
      <c r="L1068" t="s">
        <v>120</v>
      </c>
      <c r="M1068" t="s">
        <v>121</v>
      </c>
      <c r="N1068" t="s">
        <v>412</v>
      </c>
      <c r="O1068" t="s">
        <v>69</v>
      </c>
      <c r="P1068" t="str">
        <f>"2170735348                    "</f>
        <v xml:space="preserve">2170735348                    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4.1900000000000004</v>
      </c>
      <c r="AN1068">
        <v>0</v>
      </c>
      <c r="AO1068">
        <v>0</v>
      </c>
      <c r="AP1068">
        <v>0</v>
      </c>
      <c r="AQ1068">
        <v>0</v>
      </c>
      <c r="AR1068">
        <v>0</v>
      </c>
      <c r="AS1068">
        <v>0</v>
      </c>
      <c r="AT1068">
        <v>0</v>
      </c>
      <c r="AU1068">
        <v>0</v>
      </c>
      <c r="AV1068">
        <v>0</v>
      </c>
      <c r="AW1068">
        <v>0</v>
      </c>
      <c r="AX1068">
        <v>0</v>
      </c>
      <c r="AY1068">
        <v>0</v>
      </c>
      <c r="AZ1068">
        <v>0</v>
      </c>
      <c r="BA1068">
        <v>0</v>
      </c>
      <c r="BB1068">
        <v>0</v>
      </c>
      <c r="BG1068">
        <v>0</v>
      </c>
      <c r="BH1068">
        <v>1</v>
      </c>
      <c r="BI1068">
        <v>1</v>
      </c>
      <c r="BJ1068">
        <v>0.2</v>
      </c>
      <c r="BK1068">
        <v>1</v>
      </c>
      <c r="BL1068">
        <v>46.06</v>
      </c>
      <c r="BM1068">
        <v>6.91</v>
      </c>
      <c r="BN1068">
        <v>52.97</v>
      </c>
      <c r="BO1068">
        <v>52.97</v>
      </c>
      <c r="BQ1068" t="s">
        <v>78</v>
      </c>
      <c r="BR1068" t="s">
        <v>71</v>
      </c>
      <c r="BS1068" t="s">
        <v>72</v>
      </c>
      <c r="BW1068" t="s">
        <v>1010</v>
      </c>
      <c r="BX1068" t="s">
        <v>838</v>
      </c>
      <c r="BY1068">
        <v>1200</v>
      </c>
      <c r="CC1068" t="s">
        <v>121</v>
      </c>
      <c r="CD1068">
        <v>4072</v>
      </c>
      <c r="CE1068" t="s">
        <v>73</v>
      </c>
      <c r="CI1068">
        <v>1</v>
      </c>
      <c r="CJ1068" t="s">
        <v>72</v>
      </c>
      <c r="CK1068">
        <v>21</v>
      </c>
      <c r="CL1068" t="s">
        <v>74</v>
      </c>
    </row>
    <row r="1069" spans="1:90" x14ac:dyDescent="0.25">
      <c r="A1069" t="s">
        <v>61</v>
      </c>
      <c r="B1069" t="s">
        <v>62</v>
      </c>
      <c r="C1069" t="s">
        <v>63</v>
      </c>
      <c r="E1069" t="str">
        <f>"FES1162745617"</f>
        <v>FES1162745617</v>
      </c>
      <c r="F1069" s="1">
        <v>43950</v>
      </c>
      <c r="G1069">
        <v>202010</v>
      </c>
      <c r="H1069" t="s">
        <v>64</v>
      </c>
      <c r="I1069" t="s">
        <v>65</v>
      </c>
      <c r="J1069" t="s">
        <v>66</v>
      </c>
      <c r="K1069" t="s">
        <v>67</v>
      </c>
      <c r="L1069" t="s">
        <v>120</v>
      </c>
      <c r="M1069" t="s">
        <v>121</v>
      </c>
      <c r="N1069" t="s">
        <v>728</v>
      </c>
      <c r="O1069" t="s">
        <v>69</v>
      </c>
      <c r="P1069" t="str">
        <f>"2170735155                    "</f>
        <v xml:space="preserve">2170735155                    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0</v>
      </c>
      <c r="AM1069">
        <v>4.1900000000000004</v>
      </c>
      <c r="AN1069">
        <v>0</v>
      </c>
      <c r="AO1069">
        <v>0</v>
      </c>
      <c r="AP1069">
        <v>0</v>
      </c>
      <c r="AQ1069">
        <v>0</v>
      </c>
      <c r="AR1069">
        <v>0</v>
      </c>
      <c r="AS1069">
        <v>0</v>
      </c>
      <c r="AT1069">
        <v>0</v>
      </c>
      <c r="AU1069">
        <v>0</v>
      </c>
      <c r="AV1069">
        <v>0</v>
      </c>
      <c r="AW1069">
        <v>0</v>
      </c>
      <c r="AX1069">
        <v>0</v>
      </c>
      <c r="AY1069">
        <v>0</v>
      </c>
      <c r="AZ1069">
        <v>0</v>
      </c>
      <c r="BA1069">
        <v>0</v>
      </c>
      <c r="BB1069">
        <v>0</v>
      </c>
      <c r="BG1069">
        <v>0</v>
      </c>
      <c r="BH1069">
        <v>1</v>
      </c>
      <c r="BI1069">
        <v>1</v>
      </c>
      <c r="BJ1069">
        <v>0.2</v>
      </c>
      <c r="BK1069">
        <v>1</v>
      </c>
      <c r="BL1069">
        <v>46.06</v>
      </c>
      <c r="BM1069">
        <v>6.91</v>
      </c>
      <c r="BN1069">
        <v>52.97</v>
      </c>
      <c r="BO1069">
        <v>52.97</v>
      </c>
      <c r="BQ1069" t="s">
        <v>109</v>
      </c>
      <c r="BR1069" t="s">
        <v>71</v>
      </c>
      <c r="BS1069" s="1">
        <v>43951</v>
      </c>
      <c r="BT1069" s="2">
        <v>0.35972222222222222</v>
      </c>
      <c r="BU1069" t="s">
        <v>480</v>
      </c>
      <c r="BV1069" t="s">
        <v>80</v>
      </c>
      <c r="BY1069">
        <v>1200</v>
      </c>
      <c r="CA1069" t="s">
        <v>430</v>
      </c>
      <c r="CC1069" t="s">
        <v>121</v>
      </c>
      <c r="CD1069">
        <v>4000</v>
      </c>
      <c r="CE1069" t="s">
        <v>73</v>
      </c>
      <c r="CI1069">
        <v>1</v>
      </c>
      <c r="CJ1069">
        <v>1</v>
      </c>
      <c r="CK1069">
        <v>21</v>
      </c>
      <c r="CL1069" t="s">
        <v>74</v>
      </c>
    </row>
    <row r="1070" spans="1:90" x14ac:dyDescent="0.25">
      <c r="A1070" t="s">
        <v>61</v>
      </c>
      <c r="B1070" t="s">
        <v>62</v>
      </c>
      <c r="C1070" t="s">
        <v>63</v>
      </c>
      <c r="E1070" t="str">
        <f>"FES1162745658"</f>
        <v>FES1162745658</v>
      </c>
      <c r="F1070" s="1">
        <v>43950</v>
      </c>
      <c r="G1070">
        <v>202010</v>
      </c>
      <c r="H1070" t="s">
        <v>64</v>
      </c>
      <c r="I1070" t="s">
        <v>65</v>
      </c>
      <c r="J1070" t="s">
        <v>66</v>
      </c>
      <c r="K1070" t="s">
        <v>67</v>
      </c>
      <c r="L1070" t="s">
        <v>146</v>
      </c>
      <c r="M1070" t="s">
        <v>147</v>
      </c>
      <c r="N1070" t="s">
        <v>341</v>
      </c>
      <c r="O1070" t="s">
        <v>69</v>
      </c>
      <c r="P1070" t="str">
        <f>"2170736746                    "</f>
        <v xml:space="preserve">2170736746                    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4.1900000000000004</v>
      </c>
      <c r="AN1070">
        <v>0</v>
      </c>
      <c r="AO1070">
        <v>0</v>
      </c>
      <c r="AP1070">
        <v>0</v>
      </c>
      <c r="AQ1070">
        <v>0</v>
      </c>
      <c r="AR1070">
        <v>0</v>
      </c>
      <c r="AS1070">
        <v>0</v>
      </c>
      <c r="AT1070">
        <v>0</v>
      </c>
      <c r="AU1070">
        <v>0</v>
      </c>
      <c r="AV1070">
        <v>0</v>
      </c>
      <c r="AW1070">
        <v>0</v>
      </c>
      <c r="AX1070">
        <v>0</v>
      </c>
      <c r="AY1070">
        <v>0</v>
      </c>
      <c r="AZ1070">
        <v>0</v>
      </c>
      <c r="BA1070">
        <v>0</v>
      </c>
      <c r="BB1070">
        <v>0</v>
      </c>
      <c r="BG1070">
        <v>0</v>
      </c>
      <c r="BH1070">
        <v>1</v>
      </c>
      <c r="BI1070">
        <v>1</v>
      </c>
      <c r="BJ1070">
        <v>0.2</v>
      </c>
      <c r="BK1070">
        <v>1</v>
      </c>
      <c r="BL1070">
        <v>46.06</v>
      </c>
      <c r="BM1070">
        <v>6.91</v>
      </c>
      <c r="BN1070">
        <v>52.97</v>
      </c>
      <c r="BO1070">
        <v>52.97</v>
      </c>
      <c r="BQ1070" t="s">
        <v>78</v>
      </c>
      <c r="BR1070" t="s">
        <v>71</v>
      </c>
      <c r="BS1070" s="1">
        <v>43951</v>
      </c>
      <c r="BT1070" s="2">
        <v>0.4861111111111111</v>
      </c>
      <c r="BU1070" t="s">
        <v>1141</v>
      </c>
      <c r="BV1070" t="s">
        <v>74</v>
      </c>
      <c r="BW1070" t="s">
        <v>96</v>
      </c>
      <c r="BX1070" t="s">
        <v>962</v>
      </c>
      <c r="BY1070">
        <v>1200</v>
      </c>
      <c r="CA1070" t="s">
        <v>150</v>
      </c>
      <c r="CC1070" t="s">
        <v>147</v>
      </c>
      <c r="CD1070">
        <v>6045</v>
      </c>
      <c r="CE1070" t="s">
        <v>73</v>
      </c>
      <c r="CI1070">
        <v>1</v>
      </c>
      <c r="CJ1070">
        <v>1</v>
      </c>
      <c r="CK1070">
        <v>21</v>
      </c>
      <c r="CL1070" t="s">
        <v>74</v>
      </c>
    </row>
    <row r="1071" spans="1:90" x14ac:dyDescent="0.25">
      <c r="A1071" t="s">
        <v>61</v>
      </c>
      <c r="B1071" t="s">
        <v>62</v>
      </c>
      <c r="C1071" t="s">
        <v>63</v>
      </c>
      <c r="E1071" t="str">
        <f>"FES1162745605"</f>
        <v>FES1162745605</v>
      </c>
      <c r="F1071" s="1">
        <v>43950</v>
      </c>
      <c r="G1071">
        <v>202010</v>
      </c>
      <c r="H1071" t="s">
        <v>64</v>
      </c>
      <c r="I1071" t="s">
        <v>65</v>
      </c>
      <c r="J1071" t="s">
        <v>66</v>
      </c>
      <c r="K1071" t="s">
        <v>67</v>
      </c>
      <c r="L1071" t="s">
        <v>385</v>
      </c>
      <c r="M1071" t="s">
        <v>386</v>
      </c>
      <c r="N1071" t="s">
        <v>1142</v>
      </c>
      <c r="O1071" t="s">
        <v>69</v>
      </c>
      <c r="P1071" t="str">
        <f>"2170736595                    "</f>
        <v xml:space="preserve">2170736595                    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0</v>
      </c>
      <c r="AM1071">
        <v>5.89</v>
      </c>
      <c r="AN1071">
        <v>0</v>
      </c>
      <c r="AO1071">
        <v>0</v>
      </c>
      <c r="AP1071">
        <v>0</v>
      </c>
      <c r="AQ1071">
        <v>0</v>
      </c>
      <c r="AR1071">
        <v>0</v>
      </c>
      <c r="AS1071">
        <v>0</v>
      </c>
      <c r="AT1071">
        <v>0</v>
      </c>
      <c r="AU1071">
        <v>0</v>
      </c>
      <c r="AV1071">
        <v>0</v>
      </c>
      <c r="AW1071">
        <v>0</v>
      </c>
      <c r="AX1071">
        <v>0</v>
      </c>
      <c r="AY1071">
        <v>0</v>
      </c>
      <c r="AZ1071">
        <v>0</v>
      </c>
      <c r="BA1071">
        <v>0</v>
      </c>
      <c r="BB1071">
        <v>0</v>
      </c>
      <c r="BG1071">
        <v>0</v>
      </c>
      <c r="BH1071">
        <v>1</v>
      </c>
      <c r="BI1071">
        <v>1</v>
      </c>
      <c r="BJ1071">
        <v>0.2</v>
      </c>
      <c r="BK1071">
        <v>1</v>
      </c>
      <c r="BL1071">
        <v>64.77</v>
      </c>
      <c r="BM1071">
        <v>9.7200000000000006</v>
      </c>
      <c r="BN1071">
        <v>74.489999999999995</v>
      </c>
      <c r="BO1071">
        <v>74.489999999999995</v>
      </c>
      <c r="BQ1071" t="s">
        <v>78</v>
      </c>
      <c r="BR1071" t="s">
        <v>71</v>
      </c>
      <c r="BS1071" t="s">
        <v>72</v>
      </c>
      <c r="BY1071">
        <v>1200</v>
      </c>
      <c r="CC1071" t="s">
        <v>386</v>
      </c>
      <c r="CD1071">
        <v>1960</v>
      </c>
      <c r="CE1071" t="s">
        <v>73</v>
      </c>
      <c r="CI1071">
        <v>1</v>
      </c>
      <c r="CJ1071" t="s">
        <v>72</v>
      </c>
      <c r="CK1071">
        <v>24</v>
      </c>
      <c r="CL1071" t="s">
        <v>74</v>
      </c>
    </row>
    <row r="1072" spans="1:90" x14ac:dyDescent="0.25">
      <c r="A1072" t="s">
        <v>61</v>
      </c>
      <c r="B1072" t="s">
        <v>62</v>
      </c>
      <c r="C1072" t="s">
        <v>63</v>
      </c>
      <c r="E1072" t="str">
        <f>"FES1162745604"</f>
        <v>FES1162745604</v>
      </c>
      <c r="F1072" s="1">
        <v>43950</v>
      </c>
      <c r="G1072">
        <v>202010</v>
      </c>
      <c r="H1072" t="s">
        <v>64</v>
      </c>
      <c r="I1072" t="s">
        <v>65</v>
      </c>
      <c r="J1072" t="s">
        <v>66</v>
      </c>
      <c r="K1072" t="s">
        <v>67</v>
      </c>
      <c r="L1072" t="s">
        <v>1143</v>
      </c>
      <c r="M1072" t="s">
        <v>1144</v>
      </c>
      <c r="N1072" t="s">
        <v>1145</v>
      </c>
      <c r="O1072" t="s">
        <v>69</v>
      </c>
      <c r="P1072" t="str">
        <f>"2170736717                    "</f>
        <v xml:space="preserve">2170736717                    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8.11</v>
      </c>
      <c r="AN1072">
        <v>0</v>
      </c>
      <c r="AO1072">
        <v>0</v>
      </c>
      <c r="AP1072">
        <v>0</v>
      </c>
      <c r="AQ1072">
        <v>0</v>
      </c>
      <c r="AR1072">
        <v>0</v>
      </c>
      <c r="AS1072">
        <v>0</v>
      </c>
      <c r="AT1072">
        <v>0</v>
      </c>
      <c r="AU1072">
        <v>0</v>
      </c>
      <c r="AV1072">
        <v>0</v>
      </c>
      <c r="AW1072">
        <v>0</v>
      </c>
      <c r="AX1072">
        <v>0</v>
      </c>
      <c r="AY1072">
        <v>0</v>
      </c>
      <c r="AZ1072">
        <v>0</v>
      </c>
      <c r="BA1072">
        <v>0</v>
      </c>
      <c r="BB1072">
        <v>0</v>
      </c>
      <c r="BG1072">
        <v>0</v>
      </c>
      <c r="BH1072">
        <v>1</v>
      </c>
      <c r="BI1072">
        <v>1</v>
      </c>
      <c r="BJ1072">
        <v>0.2</v>
      </c>
      <c r="BK1072">
        <v>1</v>
      </c>
      <c r="BL1072">
        <v>89.23</v>
      </c>
      <c r="BM1072">
        <v>13.38</v>
      </c>
      <c r="BN1072">
        <v>102.61</v>
      </c>
      <c r="BO1072">
        <v>102.61</v>
      </c>
      <c r="BQ1072" t="s">
        <v>78</v>
      </c>
      <c r="BR1072" t="s">
        <v>71</v>
      </c>
      <c r="BS1072" s="1">
        <v>43951</v>
      </c>
      <c r="BT1072" s="2">
        <v>0.71388888888888891</v>
      </c>
      <c r="BU1072" t="s">
        <v>1146</v>
      </c>
      <c r="BV1072" t="s">
        <v>80</v>
      </c>
      <c r="BY1072">
        <v>1200</v>
      </c>
      <c r="CA1072" t="s">
        <v>1147</v>
      </c>
      <c r="CC1072" t="s">
        <v>1144</v>
      </c>
      <c r="CD1072">
        <v>9730</v>
      </c>
      <c r="CE1072" t="s">
        <v>73</v>
      </c>
      <c r="CI1072">
        <v>1</v>
      </c>
      <c r="CJ1072">
        <v>1</v>
      </c>
      <c r="CK1072">
        <v>23</v>
      </c>
      <c r="CL1072" t="s">
        <v>74</v>
      </c>
    </row>
    <row r="1073" spans="1:90" x14ac:dyDescent="0.25">
      <c r="A1073" t="s">
        <v>61</v>
      </c>
      <c r="B1073" t="s">
        <v>62</v>
      </c>
      <c r="C1073" t="s">
        <v>63</v>
      </c>
      <c r="E1073" t="str">
        <f>"FES1162745612"</f>
        <v>FES1162745612</v>
      </c>
      <c r="F1073" s="1">
        <v>43950</v>
      </c>
      <c r="G1073">
        <v>202010</v>
      </c>
      <c r="H1073" t="s">
        <v>64</v>
      </c>
      <c r="I1073" t="s">
        <v>65</v>
      </c>
      <c r="J1073" t="s">
        <v>66</v>
      </c>
      <c r="K1073" t="s">
        <v>67</v>
      </c>
      <c r="L1073" t="s">
        <v>64</v>
      </c>
      <c r="M1073" t="s">
        <v>65</v>
      </c>
      <c r="N1073" t="s">
        <v>68</v>
      </c>
      <c r="O1073" t="s">
        <v>69</v>
      </c>
      <c r="P1073" t="str">
        <f>"2170734523                    "</f>
        <v xml:space="preserve">2170734523                    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0</v>
      </c>
      <c r="AM1073">
        <v>3.27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0</v>
      </c>
      <c r="AT1073">
        <v>0</v>
      </c>
      <c r="AU1073">
        <v>0</v>
      </c>
      <c r="AV1073">
        <v>0</v>
      </c>
      <c r="AW1073">
        <v>0</v>
      </c>
      <c r="AX1073">
        <v>0</v>
      </c>
      <c r="AY1073">
        <v>0</v>
      </c>
      <c r="AZ1073">
        <v>0</v>
      </c>
      <c r="BA1073">
        <v>0</v>
      </c>
      <c r="BB1073">
        <v>0</v>
      </c>
      <c r="BG1073">
        <v>0</v>
      </c>
      <c r="BH1073">
        <v>1</v>
      </c>
      <c r="BI1073">
        <v>1</v>
      </c>
      <c r="BJ1073">
        <v>0.2</v>
      </c>
      <c r="BK1073">
        <v>1</v>
      </c>
      <c r="BL1073">
        <v>35.979999999999997</v>
      </c>
      <c r="BM1073">
        <v>5.4</v>
      </c>
      <c r="BN1073">
        <v>41.38</v>
      </c>
      <c r="BO1073">
        <v>41.38</v>
      </c>
      <c r="BQ1073" t="s">
        <v>70</v>
      </c>
      <c r="BR1073" t="s">
        <v>71</v>
      </c>
      <c r="BS1073" t="s">
        <v>72</v>
      </c>
      <c r="BY1073">
        <v>1200</v>
      </c>
      <c r="CC1073" t="s">
        <v>65</v>
      </c>
      <c r="CD1073">
        <v>1645</v>
      </c>
      <c r="CE1073" t="s">
        <v>73</v>
      </c>
      <c r="CI1073">
        <v>1</v>
      </c>
      <c r="CJ1073" t="s">
        <v>72</v>
      </c>
      <c r="CK1073">
        <v>22</v>
      </c>
      <c r="CL1073" t="s">
        <v>74</v>
      </c>
    </row>
    <row r="1074" spans="1:90" x14ac:dyDescent="0.25">
      <c r="A1074" t="s">
        <v>61</v>
      </c>
      <c r="B1074" t="s">
        <v>62</v>
      </c>
      <c r="C1074" t="s">
        <v>63</v>
      </c>
      <c r="E1074" t="str">
        <f>"FES1162745653"</f>
        <v>FES1162745653</v>
      </c>
      <c r="F1074" s="1">
        <v>43950</v>
      </c>
      <c r="G1074">
        <v>202010</v>
      </c>
      <c r="H1074" t="s">
        <v>64</v>
      </c>
      <c r="I1074" t="s">
        <v>65</v>
      </c>
      <c r="J1074" t="s">
        <v>66</v>
      </c>
      <c r="K1074" t="s">
        <v>67</v>
      </c>
      <c r="L1074" t="s">
        <v>270</v>
      </c>
      <c r="M1074" t="s">
        <v>271</v>
      </c>
      <c r="N1074" t="s">
        <v>526</v>
      </c>
      <c r="O1074" t="s">
        <v>69</v>
      </c>
      <c r="P1074" t="str">
        <f>"2170736662                    "</f>
        <v xml:space="preserve">2170736662                    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3.27</v>
      </c>
      <c r="AN1074">
        <v>0</v>
      </c>
      <c r="AO1074">
        <v>0</v>
      </c>
      <c r="AP1074">
        <v>0</v>
      </c>
      <c r="AQ1074">
        <v>0</v>
      </c>
      <c r="AR1074">
        <v>0</v>
      </c>
      <c r="AS1074">
        <v>0</v>
      </c>
      <c r="AT1074">
        <v>0</v>
      </c>
      <c r="AU1074">
        <v>0</v>
      </c>
      <c r="AV1074">
        <v>0</v>
      </c>
      <c r="AW1074">
        <v>0</v>
      </c>
      <c r="AX1074">
        <v>0</v>
      </c>
      <c r="AY1074">
        <v>0</v>
      </c>
      <c r="AZ1074">
        <v>0</v>
      </c>
      <c r="BA1074">
        <v>0</v>
      </c>
      <c r="BB1074">
        <v>0</v>
      </c>
      <c r="BG1074">
        <v>0</v>
      </c>
      <c r="BH1074">
        <v>1</v>
      </c>
      <c r="BI1074">
        <v>1</v>
      </c>
      <c r="BJ1074">
        <v>0.2</v>
      </c>
      <c r="BK1074">
        <v>1</v>
      </c>
      <c r="BL1074">
        <v>35.979999999999997</v>
      </c>
      <c r="BM1074">
        <v>5.4</v>
      </c>
      <c r="BN1074">
        <v>41.38</v>
      </c>
      <c r="BO1074">
        <v>41.38</v>
      </c>
      <c r="BQ1074" t="s">
        <v>268</v>
      </c>
      <c r="BR1074" t="s">
        <v>71</v>
      </c>
      <c r="BS1074" s="1">
        <v>43951</v>
      </c>
      <c r="BT1074" s="2">
        <v>0.38958333333333334</v>
      </c>
      <c r="BU1074" t="s">
        <v>1148</v>
      </c>
      <c r="BV1074" t="s">
        <v>80</v>
      </c>
      <c r="BY1074">
        <v>1200</v>
      </c>
      <c r="CA1074" t="s">
        <v>719</v>
      </c>
      <c r="CC1074" t="s">
        <v>271</v>
      </c>
      <c r="CD1074">
        <v>2013</v>
      </c>
      <c r="CE1074" t="s">
        <v>73</v>
      </c>
      <c r="CI1074">
        <v>1</v>
      </c>
      <c r="CJ1074">
        <v>1</v>
      </c>
      <c r="CK1074">
        <v>22</v>
      </c>
      <c r="CL1074" t="s">
        <v>74</v>
      </c>
    </row>
    <row r="1075" spans="1:90" x14ac:dyDescent="0.25">
      <c r="A1075" t="s">
        <v>61</v>
      </c>
      <c r="B1075" t="s">
        <v>62</v>
      </c>
      <c r="C1075" t="s">
        <v>63</v>
      </c>
      <c r="E1075" t="str">
        <f>"FES1162745638"</f>
        <v>FES1162745638</v>
      </c>
      <c r="F1075" s="1">
        <v>43950</v>
      </c>
      <c r="G1075">
        <v>202010</v>
      </c>
      <c r="H1075" t="s">
        <v>64</v>
      </c>
      <c r="I1075" t="s">
        <v>65</v>
      </c>
      <c r="J1075" t="s">
        <v>66</v>
      </c>
      <c r="K1075" t="s">
        <v>67</v>
      </c>
      <c r="L1075" t="s">
        <v>532</v>
      </c>
      <c r="M1075" t="s">
        <v>533</v>
      </c>
      <c r="N1075" t="s">
        <v>534</v>
      </c>
      <c r="O1075" t="s">
        <v>69</v>
      </c>
      <c r="P1075" t="str">
        <f>"2170735771                    "</f>
        <v xml:space="preserve">2170735771                    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19.88</v>
      </c>
      <c r="AN1075">
        <v>0</v>
      </c>
      <c r="AO1075">
        <v>0</v>
      </c>
      <c r="AP1075">
        <v>0</v>
      </c>
      <c r="AQ1075">
        <v>0</v>
      </c>
      <c r="AR1075">
        <v>0</v>
      </c>
      <c r="AS1075">
        <v>0</v>
      </c>
      <c r="AT1075">
        <v>0</v>
      </c>
      <c r="AU1075">
        <v>0</v>
      </c>
      <c r="AV1075">
        <v>0</v>
      </c>
      <c r="AW1075">
        <v>0</v>
      </c>
      <c r="AX1075">
        <v>0</v>
      </c>
      <c r="AY1075">
        <v>0</v>
      </c>
      <c r="AZ1075">
        <v>0</v>
      </c>
      <c r="BA1075">
        <v>0</v>
      </c>
      <c r="BB1075">
        <v>0</v>
      </c>
      <c r="BG1075">
        <v>0</v>
      </c>
      <c r="BH1075">
        <v>1</v>
      </c>
      <c r="BI1075">
        <v>4.5</v>
      </c>
      <c r="BJ1075">
        <v>9.5</v>
      </c>
      <c r="BK1075">
        <v>9.5</v>
      </c>
      <c r="BL1075">
        <v>218.65</v>
      </c>
      <c r="BM1075">
        <v>32.799999999999997</v>
      </c>
      <c r="BN1075">
        <v>251.45</v>
      </c>
      <c r="BO1075">
        <v>251.45</v>
      </c>
      <c r="BQ1075" t="s">
        <v>70</v>
      </c>
      <c r="BR1075" t="s">
        <v>71</v>
      </c>
      <c r="BS1075" t="s">
        <v>72</v>
      </c>
      <c r="BY1075">
        <v>47593.22</v>
      </c>
      <c r="CC1075" t="s">
        <v>533</v>
      </c>
      <c r="CD1075">
        <v>6536</v>
      </c>
      <c r="CE1075" t="s">
        <v>91</v>
      </c>
      <c r="CI1075">
        <v>1</v>
      </c>
      <c r="CJ1075" t="s">
        <v>72</v>
      </c>
      <c r="CK1075">
        <v>21</v>
      </c>
      <c r="CL1075" t="s">
        <v>74</v>
      </c>
    </row>
    <row r="1076" spans="1:90" x14ac:dyDescent="0.25">
      <c r="A1076" t="s">
        <v>61</v>
      </c>
      <c r="B1076" t="s">
        <v>62</v>
      </c>
      <c r="C1076" t="s">
        <v>63</v>
      </c>
      <c r="E1076" t="str">
        <f>"FES1162745453"</f>
        <v>FES1162745453</v>
      </c>
      <c r="F1076" s="1">
        <v>43950</v>
      </c>
      <c r="G1076">
        <v>202010</v>
      </c>
      <c r="H1076" t="s">
        <v>64</v>
      </c>
      <c r="I1076" t="s">
        <v>65</v>
      </c>
      <c r="J1076" t="s">
        <v>66</v>
      </c>
      <c r="K1076" t="s">
        <v>67</v>
      </c>
      <c r="L1076" t="s">
        <v>92</v>
      </c>
      <c r="M1076" t="s">
        <v>93</v>
      </c>
      <c r="N1076" t="s">
        <v>562</v>
      </c>
      <c r="O1076" t="s">
        <v>69</v>
      </c>
      <c r="P1076" t="str">
        <f>"2170736390                    "</f>
        <v xml:space="preserve">2170736390                    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4.1900000000000004</v>
      </c>
      <c r="AN1076">
        <v>0</v>
      </c>
      <c r="AO1076">
        <v>0</v>
      </c>
      <c r="AP1076">
        <v>0</v>
      </c>
      <c r="AQ1076">
        <v>0</v>
      </c>
      <c r="AR1076">
        <v>0</v>
      </c>
      <c r="AS1076">
        <v>0</v>
      </c>
      <c r="AT1076">
        <v>0</v>
      </c>
      <c r="AU1076">
        <v>0</v>
      </c>
      <c r="AV1076">
        <v>0</v>
      </c>
      <c r="AW1076">
        <v>0</v>
      </c>
      <c r="AX1076">
        <v>0</v>
      </c>
      <c r="AY1076">
        <v>0</v>
      </c>
      <c r="AZ1076">
        <v>0</v>
      </c>
      <c r="BA1076">
        <v>0</v>
      </c>
      <c r="BB1076">
        <v>0</v>
      </c>
      <c r="BG1076">
        <v>0</v>
      </c>
      <c r="BH1076">
        <v>1</v>
      </c>
      <c r="BI1076">
        <v>1</v>
      </c>
      <c r="BJ1076">
        <v>0.2</v>
      </c>
      <c r="BK1076">
        <v>1</v>
      </c>
      <c r="BL1076">
        <v>46.06</v>
      </c>
      <c r="BM1076">
        <v>6.91</v>
      </c>
      <c r="BN1076">
        <v>52.97</v>
      </c>
      <c r="BO1076">
        <v>52.97</v>
      </c>
      <c r="BQ1076" t="s">
        <v>78</v>
      </c>
      <c r="BR1076" t="s">
        <v>71</v>
      </c>
      <c r="BS1076" s="1">
        <v>43951</v>
      </c>
      <c r="BT1076" s="2">
        <v>0.43541666666666662</v>
      </c>
      <c r="BU1076" t="s">
        <v>1138</v>
      </c>
      <c r="BV1076" t="s">
        <v>80</v>
      </c>
      <c r="BY1076">
        <v>1200</v>
      </c>
      <c r="CA1076" t="s">
        <v>1139</v>
      </c>
      <c r="CC1076" t="s">
        <v>93</v>
      </c>
      <c r="CD1076">
        <v>7945</v>
      </c>
      <c r="CE1076" t="s">
        <v>73</v>
      </c>
      <c r="CI1076">
        <v>1</v>
      </c>
      <c r="CJ1076">
        <v>1</v>
      </c>
      <c r="CK1076">
        <v>21</v>
      </c>
      <c r="CL1076" t="s">
        <v>74</v>
      </c>
    </row>
    <row r="1077" spans="1:90" x14ac:dyDescent="0.25">
      <c r="A1077" t="s">
        <v>61</v>
      </c>
      <c r="B1077" t="s">
        <v>62</v>
      </c>
      <c r="C1077" t="s">
        <v>63</v>
      </c>
      <c r="E1077" t="str">
        <f>"FES1162745589"</f>
        <v>FES1162745589</v>
      </c>
      <c r="F1077" s="1">
        <v>43950</v>
      </c>
      <c r="G1077">
        <v>202010</v>
      </c>
      <c r="H1077" t="s">
        <v>64</v>
      </c>
      <c r="I1077" t="s">
        <v>65</v>
      </c>
      <c r="J1077" t="s">
        <v>66</v>
      </c>
      <c r="K1077" t="s">
        <v>67</v>
      </c>
      <c r="L1077" t="s">
        <v>262</v>
      </c>
      <c r="M1077" t="s">
        <v>262</v>
      </c>
      <c r="N1077" t="s">
        <v>545</v>
      </c>
      <c r="O1077" t="s">
        <v>69</v>
      </c>
      <c r="P1077" t="str">
        <f>"2170736699                    "</f>
        <v xml:space="preserve">2170736699                    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8.11</v>
      </c>
      <c r="AN1077">
        <v>0</v>
      </c>
      <c r="AO1077">
        <v>0</v>
      </c>
      <c r="AP1077">
        <v>0</v>
      </c>
      <c r="AQ1077">
        <v>0</v>
      </c>
      <c r="AR1077">
        <v>0</v>
      </c>
      <c r="AS1077">
        <v>0</v>
      </c>
      <c r="AT1077">
        <v>0</v>
      </c>
      <c r="AU1077">
        <v>0</v>
      </c>
      <c r="AV1077">
        <v>0</v>
      </c>
      <c r="AW1077">
        <v>0</v>
      </c>
      <c r="AX1077">
        <v>0</v>
      </c>
      <c r="AY1077">
        <v>0</v>
      </c>
      <c r="AZ1077">
        <v>0</v>
      </c>
      <c r="BA1077">
        <v>0</v>
      </c>
      <c r="BB1077">
        <v>0</v>
      </c>
      <c r="BG1077">
        <v>0</v>
      </c>
      <c r="BH1077">
        <v>1</v>
      </c>
      <c r="BI1077">
        <v>1</v>
      </c>
      <c r="BJ1077">
        <v>0.2</v>
      </c>
      <c r="BK1077">
        <v>1</v>
      </c>
      <c r="BL1077">
        <v>89.23</v>
      </c>
      <c r="BM1077">
        <v>13.38</v>
      </c>
      <c r="BN1077">
        <v>102.61</v>
      </c>
      <c r="BO1077">
        <v>102.61</v>
      </c>
      <c r="BQ1077" t="s">
        <v>70</v>
      </c>
      <c r="BR1077" t="s">
        <v>71</v>
      </c>
      <c r="BS1077" s="1">
        <v>43951</v>
      </c>
      <c r="BT1077" s="2">
        <v>0.51597222222222217</v>
      </c>
      <c r="BU1077" t="s">
        <v>1059</v>
      </c>
      <c r="BV1077" t="s">
        <v>80</v>
      </c>
      <c r="BY1077">
        <v>1200</v>
      </c>
      <c r="CA1077" t="s">
        <v>1060</v>
      </c>
      <c r="CC1077" t="s">
        <v>262</v>
      </c>
      <c r="CD1077">
        <v>7646</v>
      </c>
      <c r="CE1077" t="s">
        <v>73</v>
      </c>
      <c r="CI1077">
        <v>1</v>
      </c>
      <c r="CJ1077">
        <v>1</v>
      </c>
      <c r="CK1077">
        <v>23</v>
      </c>
      <c r="CL1077" t="s">
        <v>74</v>
      </c>
    </row>
    <row r="1078" spans="1:90" x14ac:dyDescent="0.25">
      <c r="A1078" t="s">
        <v>61</v>
      </c>
      <c r="B1078" t="s">
        <v>62</v>
      </c>
      <c r="C1078" t="s">
        <v>63</v>
      </c>
      <c r="E1078" t="str">
        <f>"FES1162745596"</f>
        <v>FES1162745596</v>
      </c>
      <c r="F1078" s="1">
        <v>43950</v>
      </c>
      <c r="G1078">
        <v>202010</v>
      </c>
      <c r="H1078" t="s">
        <v>64</v>
      </c>
      <c r="I1078" t="s">
        <v>65</v>
      </c>
      <c r="J1078" t="s">
        <v>66</v>
      </c>
      <c r="K1078" t="s">
        <v>67</v>
      </c>
      <c r="L1078" t="s">
        <v>270</v>
      </c>
      <c r="M1078" t="s">
        <v>271</v>
      </c>
      <c r="N1078" t="s">
        <v>1149</v>
      </c>
      <c r="O1078" t="s">
        <v>69</v>
      </c>
      <c r="P1078" t="str">
        <f>"2170736712                    "</f>
        <v xml:space="preserve">2170736712                    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0</v>
      </c>
      <c r="AM1078">
        <v>3.27</v>
      </c>
      <c r="AN1078">
        <v>0</v>
      </c>
      <c r="AO1078">
        <v>0</v>
      </c>
      <c r="AP1078">
        <v>0</v>
      </c>
      <c r="AQ1078">
        <v>0</v>
      </c>
      <c r="AR1078">
        <v>0</v>
      </c>
      <c r="AS1078">
        <v>0</v>
      </c>
      <c r="AT1078">
        <v>0</v>
      </c>
      <c r="AU1078">
        <v>0</v>
      </c>
      <c r="AV1078">
        <v>0</v>
      </c>
      <c r="AW1078">
        <v>0</v>
      </c>
      <c r="AX1078">
        <v>0</v>
      </c>
      <c r="AY1078">
        <v>0</v>
      </c>
      <c r="AZ1078">
        <v>0</v>
      </c>
      <c r="BA1078">
        <v>0</v>
      </c>
      <c r="BB1078">
        <v>0</v>
      </c>
      <c r="BG1078">
        <v>0</v>
      </c>
      <c r="BH1078">
        <v>1</v>
      </c>
      <c r="BI1078">
        <v>1</v>
      </c>
      <c r="BJ1078">
        <v>0.2</v>
      </c>
      <c r="BK1078">
        <v>1</v>
      </c>
      <c r="BL1078">
        <v>35.979999999999997</v>
      </c>
      <c r="BM1078">
        <v>5.4</v>
      </c>
      <c r="BN1078">
        <v>41.38</v>
      </c>
      <c r="BO1078">
        <v>41.38</v>
      </c>
      <c r="BQ1078" t="s">
        <v>78</v>
      </c>
      <c r="BR1078" t="s">
        <v>71</v>
      </c>
      <c r="BS1078" t="s">
        <v>72</v>
      </c>
      <c r="BY1078">
        <v>1200</v>
      </c>
      <c r="CC1078" t="s">
        <v>271</v>
      </c>
      <c r="CD1078">
        <v>2049</v>
      </c>
      <c r="CE1078" t="s">
        <v>73</v>
      </c>
      <c r="CI1078">
        <v>1</v>
      </c>
      <c r="CJ1078" t="s">
        <v>72</v>
      </c>
      <c r="CK1078">
        <v>22</v>
      </c>
      <c r="CL1078" t="s">
        <v>74</v>
      </c>
    </row>
    <row r="1079" spans="1:90" x14ac:dyDescent="0.25">
      <c r="A1079" t="s">
        <v>61</v>
      </c>
      <c r="B1079" t="s">
        <v>62</v>
      </c>
      <c r="C1079" t="s">
        <v>63</v>
      </c>
      <c r="E1079" t="str">
        <f>"FES1162745628"</f>
        <v>FES1162745628</v>
      </c>
      <c r="F1079" s="1">
        <v>43950</v>
      </c>
      <c r="G1079">
        <v>202010</v>
      </c>
      <c r="H1079" t="s">
        <v>64</v>
      </c>
      <c r="I1079" t="s">
        <v>65</v>
      </c>
      <c r="J1079" t="s">
        <v>66</v>
      </c>
      <c r="K1079" t="s">
        <v>67</v>
      </c>
      <c r="L1079" t="s">
        <v>92</v>
      </c>
      <c r="M1079" t="s">
        <v>93</v>
      </c>
      <c r="N1079" t="s">
        <v>94</v>
      </c>
      <c r="O1079" t="s">
        <v>69</v>
      </c>
      <c r="P1079" t="str">
        <f>"2170735624                    "</f>
        <v xml:space="preserve">2170735624                    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0</v>
      </c>
      <c r="AM1079">
        <v>4.1900000000000004</v>
      </c>
      <c r="AN1079">
        <v>0</v>
      </c>
      <c r="AO1079">
        <v>0</v>
      </c>
      <c r="AP1079">
        <v>0</v>
      </c>
      <c r="AQ1079">
        <v>0</v>
      </c>
      <c r="AR1079">
        <v>0</v>
      </c>
      <c r="AS1079">
        <v>0</v>
      </c>
      <c r="AT1079">
        <v>0</v>
      </c>
      <c r="AU1079">
        <v>0</v>
      </c>
      <c r="AV1079">
        <v>0</v>
      </c>
      <c r="AW1079">
        <v>0</v>
      </c>
      <c r="AX1079">
        <v>0</v>
      </c>
      <c r="AY1079">
        <v>0</v>
      </c>
      <c r="AZ1079">
        <v>0</v>
      </c>
      <c r="BA1079">
        <v>0</v>
      </c>
      <c r="BB1079">
        <v>0</v>
      </c>
      <c r="BG1079">
        <v>0</v>
      </c>
      <c r="BH1079">
        <v>1</v>
      </c>
      <c r="BI1079">
        <v>1</v>
      </c>
      <c r="BJ1079">
        <v>0.2</v>
      </c>
      <c r="BK1079">
        <v>1</v>
      </c>
      <c r="BL1079">
        <v>46.06</v>
      </c>
      <c r="BM1079">
        <v>6.91</v>
      </c>
      <c r="BN1079">
        <v>52.97</v>
      </c>
      <c r="BO1079">
        <v>52.97</v>
      </c>
      <c r="BQ1079" t="s">
        <v>70</v>
      </c>
      <c r="BR1079" t="s">
        <v>71</v>
      </c>
      <c r="BS1079" s="1">
        <v>43951</v>
      </c>
      <c r="BT1079" s="2">
        <v>0.48680555555555555</v>
      </c>
      <c r="BU1079" t="s">
        <v>590</v>
      </c>
      <c r="BV1079" t="s">
        <v>74</v>
      </c>
      <c r="BW1079" t="s">
        <v>96</v>
      </c>
      <c r="BX1079" t="s">
        <v>97</v>
      </c>
      <c r="BY1079">
        <v>1200</v>
      </c>
      <c r="CA1079" t="s">
        <v>98</v>
      </c>
      <c r="CC1079" t="s">
        <v>93</v>
      </c>
      <c r="CD1079">
        <v>7441</v>
      </c>
      <c r="CE1079" t="s">
        <v>73</v>
      </c>
      <c r="CI1079">
        <v>1</v>
      </c>
      <c r="CJ1079">
        <v>1</v>
      </c>
      <c r="CK1079">
        <v>21</v>
      </c>
      <c r="CL1079" t="s">
        <v>74</v>
      </c>
    </row>
    <row r="1080" spans="1:90" x14ac:dyDescent="0.25">
      <c r="A1080" t="s">
        <v>61</v>
      </c>
      <c r="B1080" t="s">
        <v>62</v>
      </c>
      <c r="C1080" t="s">
        <v>63</v>
      </c>
      <c r="E1080" t="str">
        <f>"FES1162745581"</f>
        <v>FES1162745581</v>
      </c>
      <c r="F1080" s="1">
        <v>43950</v>
      </c>
      <c r="G1080">
        <v>202010</v>
      </c>
      <c r="H1080" t="s">
        <v>64</v>
      </c>
      <c r="I1080" t="s">
        <v>65</v>
      </c>
      <c r="J1080" t="s">
        <v>66</v>
      </c>
      <c r="K1080" t="s">
        <v>67</v>
      </c>
      <c r="L1080" t="s">
        <v>151</v>
      </c>
      <c r="M1080" t="s">
        <v>152</v>
      </c>
      <c r="N1080" t="s">
        <v>208</v>
      </c>
      <c r="O1080" t="s">
        <v>69</v>
      </c>
      <c r="P1080" t="str">
        <f>"2170736043                    "</f>
        <v xml:space="preserve">2170736043                    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0</v>
      </c>
      <c r="AM1080">
        <v>4.1900000000000004</v>
      </c>
      <c r="AN1080">
        <v>0</v>
      </c>
      <c r="AO1080">
        <v>0</v>
      </c>
      <c r="AP1080">
        <v>0</v>
      </c>
      <c r="AQ1080">
        <v>0</v>
      </c>
      <c r="AR1080">
        <v>0</v>
      </c>
      <c r="AS1080">
        <v>0</v>
      </c>
      <c r="AT1080">
        <v>0</v>
      </c>
      <c r="AU1080">
        <v>0</v>
      </c>
      <c r="AV1080">
        <v>0</v>
      </c>
      <c r="AW1080">
        <v>0</v>
      </c>
      <c r="AX1080">
        <v>0</v>
      </c>
      <c r="AY1080">
        <v>0</v>
      </c>
      <c r="AZ1080">
        <v>0</v>
      </c>
      <c r="BA1080">
        <v>0</v>
      </c>
      <c r="BB1080">
        <v>0</v>
      </c>
      <c r="BG1080">
        <v>0</v>
      </c>
      <c r="BH1080">
        <v>1</v>
      </c>
      <c r="BI1080">
        <v>1</v>
      </c>
      <c r="BJ1080">
        <v>0.2</v>
      </c>
      <c r="BK1080">
        <v>1</v>
      </c>
      <c r="BL1080">
        <v>46.06</v>
      </c>
      <c r="BM1080">
        <v>6.91</v>
      </c>
      <c r="BN1080">
        <v>52.97</v>
      </c>
      <c r="BO1080">
        <v>52.97</v>
      </c>
      <c r="BQ1080" t="s">
        <v>78</v>
      </c>
      <c r="BR1080" t="s">
        <v>71</v>
      </c>
      <c r="BS1080" t="s">
        <v>72</v>
      </c>
      <c r="BY1080">
        <v>1200</v>
      </c>
      <c r="CC1080" t="s">
        <v>152</v>
      </c>
      <c r="CD1080">
        <v>3201</v>
      </c>
      <c r="CE1080" t="s">
        <v>73</v>
      </c>
      <c r="CI1080">
        <v>1</v>
      </c>
      <c r="CJ1080" t="s">
        <v>72</v>
      </c>
      <c r="CK1080">
        <v>21</v>
      </c>
      <c r="CL1080" t="s">
        <v>74</v>
      </c>
    </row>
    <row r="1081" spans="1:90" x14ac:dyDescent="0.25">
      <c r="A1081" t="s">
        <v>61</v>
      </c>
      <c r="B1081" t="s">
        <v>62</v>
      </c>
      <c r="C1081" t="s">
        <v>63</v>
      </c>
      <c r="E1081" t="str">
        <f>"FES1162745688"</f>
        <v>FES1162745688</v>
      </c>
      <c r="F1081" s="1">
        <v>43950</v>
      </c>
      <c r="G1081">
        <v>202010</v>
      </c>
      <c r="H1081" t="s">
        <v>64</v>
      </c>
      <c r="I1081" t="s">
        <v>65</v>
      </c>
      <c r="J1081" t="s">
        <v>66</v>
      </c>
      <c r="K1081" t="s">
        <v>67</v>
      </c>
      <c r="L1081" t="s">
        <v>64</v>
      </c>
      <c r="M1081" t="s">
        <v>65</v>
      </c>
      <c r="N1081" t="s">
        <v>829</v>
      </c>
      <c r="O1081" t="s">
        <v>69</v>
      </c>
      <c r="P1081" t="str">
        <f>"2170733911                    "</f>
        <v xml:space="preserve">2170733911                    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3.27</v>
      </c>
      <c r="AN1081">
        <v>0</v>
      </c>
      <c r="AO1081">
        <v>0</v>
      </c>
      <c r="AP1081">
        <v>0</v>
      </c>
      <c r="AQ1081">
        <v>0</v>
      </c>
      <c r="AR1081">
        <v>0</v>
      </c>
      <c r="AS1081">
        <v>0</v>
      </c>
      <c r="AT1081">
        <v>0</v>
      </c>
      <c r="AU1081">
        <v>0</v>
      </c>
      <c r="AV1081">
        <v>0</v>
      </c>
      <c r="AW1081">
        <v>0</v>
      </c>
      <c r="AX1081">
        <v>0</v>
      </c>
      <c r="AY1081">
        <v>0</v>
      </c>
      <c r="AZ1081">
        <v>0</v>
      </c>
      <c r="BA1081">
        <v>0</v>
      </c>
      <c r="BB1081">
        <v>0</v>
      </c>
      <c r="BG1081">
        <v>0</v>
      </c>
      <c r="BH1081">
        <v>1</v>
      </c>
      <c r="BI1081">
        <v>1</v>
      </c>
      <c r="BJ1081">
        <v>0.2</v>
      </c>
      <c r="BK1081">
        <v>1</v>
      </c>
      <c r="BL1081">
        <v>35.979999999999997</v>
      </c>
      <c r="BM1081">
        <v>5.4</v>
      </c>
      <c r="BN1081">
        <v>41.38</v>
      </c>
      <c r="BO1081">
        <v>41.38</v>
      </c>
      <c r="BQ1081" t="s">
        <v>78</v>
      </c>
      <c r="BR1081" t="s">
        <v>71</v>
      </c>
      <c r="BS1081" t="s">
        <v>72</v>
      </c>
      <c r="BY1081">
        <v>1200</v>
      </c>
      <c r="CC1081" t="s">
        <v>65</v>
      </c>
      <c r="CD1081">
        <v>1619</v>
      </c>
      <c r="CE1081" t="s">
        <v>73</v>
      </c>
      <c r="CI1081">
        <v>1</v>
      </c>
      <c r="CJ1081" t="s">
        <v>72</v>
      </c>
      <c r="CK1081">
        <v>22</v>
      </c>
      <c r="CL1081" t="s">
        <v>74</v>
      </c>
    </row>
    <row r="1082" spans="1:90" x14ac:dyDescent="0.25">
      <c r="A1082" t="s">
        <v>61</v>
      </c>
      <c r="B1082" t="s">
        <v>62</v>
      </c>
      <c r="C1082" t="s">
        <v>63</v>
      </c>
      <c r="E1082" t="str">
        <f>"FES1162745593"</f>
        <v>FES1162745593</v>
      </c>
      <c r="F1082" s="1">
        <v>43950</v>
      </c>
      <c r="G1082">
        <v>202010</v>
      </c>
      <c r="H1082" t="s">
        <v>64</v>
      </c>
      <c r="I1082" t="s">
        <v>65</v>
      </c>
      <c r="J1082" t="s">
        <v>66</v>
      </c>
      <c r="K1082" t="s">
        <v>67</v>
      </c>
      <c r="L1082" t="s">
        <v>92</v>
      </c>
      <c r="M1082" t="s">
        <v>93</v>
      </c>
      <c r="N1082" t="s">
        <v>320</v>
      </c>
      <c r="O1082" t="s">
        <v>69</v>
      </c>
      <c r="P1082" t="str">
        <f>"2170736706                    "</f>
        <v xml:space="preserve">2170736706                    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4.1900000000000004</v>
      </c>
      <c r="AN1082">
        <v>0</v>
      </c>
      <c r="AO1082">
        <v>0</v>
      </c>
      <c r="AP1082">
        <v>0</v>
      </c>
      <c r="AQ1082">
        <v>0</v>
      </c>
      <c r="AR1082">
        <v>0</v>
      </c>
      <c r="AS1082">
        <v>0</v>
      </c>
      <c r="AT1082">
        <v>0</v>
      </c>
      <c r="AU1082">
        <v>0</v>
      </c>
      <c r="AV1082">
        <v>0</v>
      </c>
      <c r="AW1082">
        <v>0</v>
      </c>
      <c r="AX1082">
        <v>0</v>
      </c>
      <c r="AY1082">
        <v>0</v>
      </c>
      <c r="AZ1082">
        <v>0</v>
      </c>
      <c r="BA1082">
        <v>0</v>
      </c>
      <c r="BB1082">
        <v>0</v>
      </c>
      <c r="BG1082">
        <v>0</v>
      </c>
      <c r="BH1082">
        <v>1</v>
      </c>
      <c r="BI1082">
        <v>1</v>
      </c>
      <c r="BJ1082">
        <v>0.2</v>
      </c>
      <c r="BK1082">
        <v>1</v>
      </c>
      <c r="BL1082">
        <v>46.06</v>
      </c>
      <c r="BM1082">
        <v>6.91</v>
      </c>
      <c r="BN1082">
        <v>52.97</v>
      </c>
      <c r="BO1082">
        <v>52.97</v>
      </c>
      <c r="BQ1082" t="s">
        <v>70</v>
      </c>
      <c r="BR1082" t="s">
        <v>71</v>
      </c>
      <c r="BS1082" s="1">
        <v>43951</v>
      </c>
      <c r="BT1082" s="2">
        <v>0.49722222222222223</v>
      </c>
      <c r="BU1082" t="s">
        <v>1150</v>
      </c>
      <c r="BV1082" t="s">
        <v>74</v>
      </c>
      <c r="BW1082" t="s">
        <v>96</v>
      </c>
      <c r="BX1082" t="s">
        <v>97</v>
      </c>
      <c r="BY1082">
        <v>1200</v>
      </c>
      <c r="CA1082" t="s">
        <v>164</v>
      </c>
      <c r="CC1082" t="s">
        <v>93</v>
      </c>
      <c r="CD1082">
        <v>7925</v>
      </c>
      <c r="CE1082" t="s">
        <v>73</v>
      </c>
      <c r="CI1082">
        <v>1</v>
      </c>
      <c r="CJ1082">
        <v>1</v>
      </c>
      <c r="CK1082">
        <v>21</v>
      </c>
      <c r="CL1082" t="s">
        <v>74</v>
      </c>
    </row>
    <row r="1083" spans="1:90" x14ac:dyDescent="0.25">
      <c r="A1083" t="s">
        <v>61</v>
      </c>
      <c r="B1083" t="s">
        <v>62</v>
      </c>
      <c r="C1083" t="s">
        <v>63</v>
      </c>
      <c r="E1083" t="str">
        <f>"FES1162745598"</f>
        <v>FES1162745598</v>
      </c>
      <c r="F1083" s="1">
        <v>43950</v>
      </c>
      <c r="G1083">
        <v>202010</v>
      </c>
      <c r="H1083" t="s">
        <v>64</v>
      </c>
      <c r="I1083" t="s">
        <v>65</v>
      </c>
      <c r="J1083" t="s">
        <v>66</v>
      </c>
      <c r="K1083" t="s">
        <v>67</v>
      </c>
      <c r="L1083" t="s">
        <v>92</v>
      </c>
      <c r="M1083" t="s">
        <v>93</v>
      </c>
      <c r="N1083" t="s">
        <v>1151</v>
      </c>
      <c r="O1083" t="s">
        <v>69</v>
      </c>
      <c r="P1083" t="str">
        <f>"2170736720                    "</f>
        <v xml:space="preserve">2170736720                    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0</v>
      </c>
      <c r="AM1083">
        <v>4.1900000000000004</v>
      </c>
      <c r="AN1083">
        <v>0</v>
      </c>
      <c r="AO1083">
        <v>0</v>
      </c>
      <c r="AP1083">
        <v>0</v>
      </c>
      <c r="AQ1083">
        <v>0</v>
      </c>
      <c r="AR1083">
        <v>0</v>
      </c>
      <c r="AS1083">
        <v>0</v>
      </c>
      <c r="AT1083">
        <v>0</v>
      </c>
      <c r="AU1083">
        <v>0</v>
      </c>
      <c r="AV1083">
        <v>0</v>
      </c>
      <c r="AW1083">
        <v>0</v>
      </c>
      <c r="AX1083">
        <v>0</v>
      </c>
      <c r="AY1083">
        <v>0</v>
      </c>
      <c r="AZ1083">
        <v>0</v>
      </c>
      <c r="BA1083">
        <v>0</v>
      </c>
      <c r="BB1083">
        <v>0</v>
      </c>
      <c r="BG1083">
        <v>0</v>
      </c>
      <c r="BH1083">
        <v>1</v>
      </c>
      <c r="BI1083">
        <v>1</v>
      </c>
      <c r="BJ1083">
        <v>0.2</v>
      </c>
      <c r="BK1083">
        <v>1</v>
      </c>
      <c r="BL1083">
        <v>46.06</v>
      </c>
      <c r="BM1083">
        <v>6.91</v>
      </c>
      <c r="BN1083">
        <v>52.97</v>
      </c>
      <c r="BO1083">
        <v>52.97</v>
      </c>
      <c r="BQ1083" t="s">
        <v>268</v>
      </c>
      <c r="BR1083" t="s">
        <v>71</v>
      </c>
      <c r="BS1083" s="1">
        <v>43951</v>
      </c>
      <c r="BT1083" s="2">
        <v>0.51944444444444449</v>
      </c>
      <c r="BU1083" t="s">
        <v>1152</v>
      </c>
      <c r="BV1083" t="s">
        <v>74</v>
      </c>
      <c r="BW1083" t="s">
        <v>96</v>
      </c>
      <c r="BX1083" t="s">
        <v>97</v>
      </c>
      <c r="BY1083">
        <v>1200</v>
      </c>
      <c r="CA1083" t="s">
        <v>331</v>
      </c>
      <c r="CC1083" t="s">
        <v>93</v>
      </c>
      <c r="CD1083">
        <v>7441</v>
      </c>
      <c r="CE1083" t="s">
        <v>73</v>
      </c>
      <c r="CI1083">
        <v>1</v>
      </c>
      <c r="CJ1083">
        <v>1</v>
      </c>
      <c r="CK1083">
        <v>21</v>
      </c>
      <c r="CL1083" t="s">
        <v>74</v>
      </c>
    </row>
    <row r="1084" spans="1:90" x14ac:dyDescent="0.25">
      <c r="A1084" t="s">
        <v>61</v>
      </c>
      <c r="B1084" t="s">
        <v>62</v>
      </c>
      <c r="C1084" t="s">
        <v>63</v>
      </c>
      <c r="E1084" t="str">
        <f>"FES1162745602"</f>
        <v>FES1162745602</v>
      </c>
      <c r="F1084" s="1">
        <v>43950</v>
      </c>
      <c r="G1084">
        <v>202010</v>
      </c>
      <c r="H1084" t="s">
        <v>64</v>
      </c>
      <c r="I1084" t="s">
        <v>65</v>
      </c>
      <c r="J1084" t="s">
        <v>66</v>
      </c>
      <c r="K1084" t="s">
        <v>67</v>
      </c>
      <c r="L1084" t="s">
        <v>120</v>
      </c>
      <c r="M1084" t="s">
        <v>121</v>
      </c>
      <c r="N1084" t="s">
        <v>910</v>
      </c>
      <c r="O1084" t="s">
        <v>69</v>
      </c>
      <c r="P1084" t="str">
        <f>"2170736728                    "</f>
        <v xml:space="preserve">2170736728                    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4.1900000000000004</v>
      </c>
      <c r="AN1084">
        <v>0</v>
      </c>
      <c r="AO1084">
        <v>0</v>
      </c>
      <c r="AP1084">
        <v>0</v>
      </c>
      <c r="AQ1084">
        <v>0</v>
      </c>
      <c r="AR1084">
        <v>0</v>
      </c>
      <c r="AS1084">
        <v>0</v>
      </c>
      <c r="AT1084">
        <v>0</v>
      </c>
      <c r="AU1084">
        <v>0</v>
      </c>
      <c r="AV1084">
        <v>0</v>
      </c>
      <c r="AW1084">
        <v>0</v>
      </c>
      <c r="AX1084">
        <v>0</v>
      </c>
      <c r="AY1084">
        <v>0</v>
      </c>
      <c r="AZ1084">
        <v>0</v>
      </c>
      <c r="BA1084">
        <v>0</v>
      </c>
      <c r="BB1084">
        <v>0</v>
      </c>
      <c r="BG1084">
        <v>0</v>
      </c>
      <c r="BH1084">
        <v>1</v>
      </c>
      <c r="BI1084">
        <v>1.5</v>
      </c>
      <c r="BJ1084">
        <v>1</v>
      </c>
      <c r="BK1084">
        <v>1.5</v>
      </c>
      <c r="BL1084">
        <v>46.06</v>
      </c>
      <c r="BM1084">
        <v>6.91</v>
      </c>
      <c r="BN1084">
        <v>52.97</v>
      </c>
      <c r="BO1084">
        <v>52.97</v>
      </c>
      <c r="BQ1084" t="s">
        <v>78</v>
      </c>
      <c r="BR1084" t="s">
        <v>71</v>
      </c>
      <c r="BS1084" s="1">
        <v>43951</v>
      </c>
      <c r="BT1084" s="2">
        <v>0.54305555555555551</v>
      </c>
      <c r="BU1084" t="s">
        <v>1153</v>
      </c>
      <c r="BV1084" t="s">
        <v>74</v>
      </c>
      <c r="BY1084">
        <v>5085.5200000000004</v>
      </c>
      <c r="CA1084" t="s">
        <v>1154</v>
      </c>
      <c r="CC1084" t="s">
        <v>121</v>
      </c>
      <c r="CD1084">
        <v>4052</v>
      </c>
      <c r="CE1084" t="s">
        <v>91</v>
      </c>
      <c r="CI1084">
        <v>1</v>
      </c>
      <c r="CJ1084">
        <v>1</v>
      </c>
      <c r="CK1084">
        <v>21</v>
      </c>
      <c r="CL1084" t="s">
        <v>74</v>
      </c>
    </row>
    <row r="1085" spans="1:90" x14ac:dyDescent="0.25">
      <c r="A1085" t="s">
        <v>61</v>
      </c>
      <c r="B1085" t="s">
        <v>62</v>
      </c>
      <c r="C1085" t="s">
        <v>63</v>
      </c>
      <c r="E1085" t="str">
        <f>"FES1162745691"</f>
        <v>FES1162745691</v>
      </c>
      <c r="F1085" s="1">
        <v>43950</v>
      </c>
      <c r="G1085">
        <v>202010</v>
      </c>
      <c r="H1085" t="s">
        <v>64</v>
      </c>
      <c r="I1085" t="s">
        <v>65</v>
      </c>
      <c r="J1085" t="s">
        <v>66</v>
      </c>
      <c r="K1085" t="s">
        <v>67</v>
      </c>
      <c r="L1085" t="s">
        <v>270</v>
      </c>
      <c r="M1085" t="s">
        <v>271</v>
      </c>
      <c r="N1085" t="s">
        <v>778</v>
      </c>
      <c r="O1085" t="s">
        <v>69</v>
      </c>
      <c r="P1085" t="str">
        <f>"2170736779                    "</f>
        <v xml:space="preserve">2170736779                    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0</v>
      </c>
      <c r="AM1085">
        <v>3.27</v>
      </c>
      <c r="AN1085">
        <v>0</v>
      </c>
      <c r="AO1085">
        <v>0</v>
      </c>
      <c r="AP1085">
        <v>0</v>
      </c>
      <c r="AQ1085">
        <v>0</v>
      </c>
      <c r="AR1085">
        <v>0</v>
      </c>
      <c r="AS1085">
        <v>0</v>
      </c>
      <c r="AT1085">
        <v>0</v>
      </c>
      <c r="AU1085">
        <v>0</v>
      </c>
      <c r="AV1085">
        <v>0</v>
      </c>
      <c r="AW1085">
        <v>0</v>
      </c>
      <c r="AX1085">
        <v>0</v>
      </c>
      <c r="AY1085">
        <v>0</v>
      </c>
      <c r="AZ1085">
        <v>0</v>
      </c>
      <c r="BA1085">
        <v>0</v>
      </c>
      <c r="BB1085">
        <v>0</v>
      </c>
      <c r="BG1085">
        <v>0</v>
      </c>
      <c r="BH1085">
        <v>1</v>
      </c>
      <c r="BI1085">
        <v>1</v>
      </c>
      <c r="BJ1085">
        <v>0.2</v>
      </c>
      <c r="BK1085">
        <v>1</v>
      </c>
      <c r="BL1085">
        <v>35.979999999999997</v>
      </c>
      <c r="BM1085">
        <v>5.4</v>
      </c>
      <c r="BN1085">
        <v>41.38</v>
      </c>
      <c r="BO1085">
        <v>41.38</v>
      </c>
      <c r="BQ1085" t="s">
        <v>78</v>
      </c>
      <c r="BR1085" t="s">
        <v>71</v>
      </c>
      <c r="BS1085" s="1">
        <v>43951</v>
      </c>
      <c r="BT1085" s="2">
        <v>0.42499999999999999</v>
      </c>
      <c r="BU1085" t="s">
        <v>1155</v>
      </c>
      <c r="BV1085" t="s">
        <v>80</v>
      </c>
      <c r="BY1085">
        <v>1200</v>
      </c>
      <c r="CA1085" t="s">
        <v>486</v>
      </c>
      <c r="CC1085" t="s">
        <v>271</v>
      </c>
      <c r="CD1085">
        <v>2110</v>
      </c>
      <c r="CE1085" t="s">
        <v>73</v>
      </c>
      <c r="CI1085">
        <v>1</v>
      </c>
      <c r="CJ1085">
        <v>1</v>
      </c>
      <c r="CK1085">
        <v>22</v>
      </c>
      <c r="CL1085" t="s">
        <v>74</v>
      </c>
    </row>
    <row r="1086" spans="1:90" x14ac:dyDescent="0.25">
      <c r="A1086" t="s">
        <v>61</v>
      </c>
      <c r="B1086" t="s">
        <v>62</v>
      </c>
      <c r="C1086" t="s">
        <v>63</v>
      </c>
      <c r="E1086" t="str">
        <f>"FES1162745689"</f>
        <v>FES1162745689</v>
      </c>
      <c r="F1086" s="1">
        <v>43950</v>
      </c>
      <c r="G1086">
        <v>202010</v>
      </c>
      <c r="H1086" t="s">
        <v>64</v>
      </c>
      <c r="I1086" t="s">
        <v>65</v>
      </c>
      <c r="J1086" t="s">
        <v>66</v>
      </c>
      <c r="K1086" t="s">
        <v>67</v>
      </c>
      <c r="L1086" t="s">
        <v>64</v>
      </c>
      <c r="M1086" t="s">
        <v>65</v>
      </c>
      <c r="N1086" t="s">
        <v>1156</v>
      </c>
      <c r="O1086" t="s">
        <v>69</v>
      </c>
      <c r="P1086" t="str">
        <f>"2170736701                    "</f>
        <v xml:space="preserve">2170736701                    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0</v>
      </c>
      <c r="AM1086">
        <v>3.27</v>
      </c>
      <c r="AN1086">
        <v>0</v>
      </c>
      <c r="AO1086">
        <v>0</v>
      </c>
      <c r="AP1086">
        <v>0</v>
      </c>
      <c r="AQ1086">
        <v>0</v>
      </c>
      <c r="AR1086">
        <v>0</v>
      </c>
      <c r="AS1086">
        <v>0</v>
      </c>
      <c r="AT1086">
        <v>0</v>
      </c>
      <c r="AU1086">
        <v>0</v>
      </c>
      <c r="AV1086">
        <v>0</v>
      </c>
      <c r="AW1086">
        <v>0</v>
      </c>
      <c r="AX1086">
        <v>0</v>
      </c>
      <c r="AY1086">
        <v>0</v>
      </c>
      <c r="AZ1086">
        <v>0</v>
      </c>
      <c r="BA1086">
        <v>0</v>
      </c>
      <c r="BB1086">
        <v>0</v>
      </c>
      <c r="BG1086">
        <v>0</v>
      </c>
      <c r="BH1086">
        <v>1</v>
      </c>
      <c r="BI1086">
        <v>1</v>
      </c>
      <c r="BJ1086">
        <v>0.2</v>
      </c>
      <c r="BK1086">
        <v>1</v>
      </c>
      <c r="BL1086">
        <v>35.979999999999997</v>
      </c>
      <c r="BM1086">
        <v>5.4</v>
      </c>
      <c r="BN1086">
        <v>41.38</v>
      </c>
      <c r="BO1086">
        <v>41.38</v>
      </c>
      <c r="BQ1086" t="s">
        <v>78</v>
      </c>
      <c r="BR1086" t="s">
        <v>71</v>
      </c>
      <c r="BS1086" t="s">
        <v>72</v>
      </c>
      <c r="BY1086">
        <v>1200</v>
      </c>
      <c r="CC1086" t="s">
        <v>65</v>
      </c>
      <c r="CD1086">
        <v>1600</v>
      </c>
      <c r="CE1086" t="s">
        <v>73</v>
      </c>
      <c r="CI1086">
        <v>1</v>
      </c>
      <c r="CJ1086" t="s">
        <v>72</v>
      </c>
      <c r="CK1086">
        <v>22</v>
      </c>
      <c r="CL1086" t="s">
        <v>74</v>
      </c>
    </row>
    <row r="1087" spans="1:90" x14ac:dyDescent="0.25">
      <c r="A1087" t="s">
        <v>61</v>
      </c>
      <c r="B1087" t="s">
        <v>62</v>
      </c>
      <c r="C1087" t="s">
        <v>63</v>
      </c>
      <c r="E1087" t="str">
        <f>"FES1162745599"</f>
        <v>FES1162745599</v>
      </c>
      <c r="F1087" s="1">
        <v>43950</v>
      </c>
      <c r="G1087">
        <v>202010</v>
      </c>
      <c r="H1087" t="s">
        <v>64</v>
      </c>
      <c r="I1087" t="s">
        <v>65</v>
      </c>
      <c r="J1087" t="s">
        <v>66</v>
      </c>
      <c r="K1087" t="s">
        <v>67</v>
      </c>
      <c r="L1087" t="s">
        <v>262</v>
      </c>
      <c r="M1087" t="s">
        <v>262</v>
      </c>
      <c r="N1087" t="s">
        <v>551</v>
      </c>
      <c r="O1087" t="s">
        <v>69</v>
      </c>
      <c r="P1087" t="str">
        <f>"2170736723                    "</f>
        <v xml:space="preserve">2170736723                    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0</v>
      </c>
      <c r="AM1087">
        <v>8.11</v>
      </c>
      <c r="AN1087">
        <v>0</v>
      </c>
      <c r="AO1087">
        <v>0</v>
      </c>
      <c r="AP1087">
        <v>0</v>
      </c>
      <c r="AQ1087">
        <v>0</v>
      </c>
      <c r="AR1087">
        <v>0</v>
      </c>
      <c r="AS1087">
        <v>0</v>
      </c>
      <c r="AT1087">
        <v>0</v>
      </c>
      <c r="AU1087">
        <v>0</v>
      </c>
      <c r="AV1087">
        <v>0</v>
      </c>
      <c r="AW1087">
        <v>0</v>
      </c>
      <c r="AX1087">
        <v>0</v>
      </c>
      <c r="AY1087">
        <v>0</v>
      </c>
      <c r="AZ1087">
        <v>0</v>
      </c>
      <c r="BA1087">
        <v>0</v>
      </c>
      <c r="BB1087">
        <v>0</v>
      </c>
      <c r="BG1087">
        <v>0</v>
      </c>
      <c r="BH1087">
        <v>1</v>
      </c>
      <c r="BI1087">
        <v>1</v>
      </c>
      <c r="BJ1087">
        <v>0.2</v>
      </c>
      <c r="BK1087">
        <v>1</v>
      </c>
      <c r="BL1087">
        <v>89.23</v>
      </c>
      <c r="BM1087">
        <v>13.38</v>
      </c>
      <c r="BN1087">
        <v>102.61</v>
      </c>
      <c r="BO1087">
        <v>102.61</v>
      </c>
      <c r="BQ1087" t="s">
        <v>78</v>
      </c>
      <c r="BR1087" t="s">
        <v>71</v>
      </c>
      <c r="BS1087" s="1">
        <v>43951</v>
      </c>
      <c r="BT1087" s="2">
        <v>0.54166666666666663</v>
      </c>
      <c r="BU1087" t="s">
        <v>1157</v>
      </c>
      <c r="BV1087" t="s">
        <v>80</v>
      </c>
      <c r="BY1087">
        <v>1200</v>
      </c>
      <c r="CA1087" t="s">
        <v>1060</v>
      </c>
      <c r="CC1087" t="s">
        <v>262</v>
      </c>
      <c r="CD1087">
        <v>7655</v>
      </c>
      <c r="CE1087" t="s">
        <v>73</v>
      </c>
      <c r="CI1087">
        <v>1</v>
      </c>
      <c r="CJ1087">
        <v>1</v>
      </c>
      <c r="CK1087">
        <v>23</v>
      </c>
      <c r="CL1087" t="s">
        <v>74</v>
      </c>
    </row>
    <row r="1088" spans="1:90" x14ac:dyDescent="0.25">
      <c r="A1088" t="s">
        <v>61</v>
      </c>
      <c r="B1088" t="s">
        <v>62</v>
      </c>
      <c r="C1088" t="s">
        <v>63</v>
      </c>
      <c r="E1088" t="str">
        <f>"FES1162745643"</f>
        <v>FES1162745643</v>
      </c>
      <c r="F1088" s="1">
        <v>43950</v>
      </c>
      <c r="G1088">
        <v>202010</v>
      </c>
      <c r="H1088" t="s">
        <v>64</v>
      </c>
      <c r="I1088" t="s">
        <v>65</v>
      </c>
      <c r="J1088" t="s">
        <v>66</v>
      </c>
      <c r="K1088" t="s">
        <v>67</v>
      </c>
      <c r="L1088" t="s">
        <v>151</v>
      </c>
      <c r="M1088" t="s">
        <v>152</v>
      </c>
      <c r="N1088" t="s">
        <v>1158</v>
      </c>
      <c r="O1088" t="s">
        <v>69</v>
      </c>
      <c r="P1088" t="str">
        <f>"2170735914                    "</f>
        <v xml:space="preserve">2170735914                    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0</v>
      </c>
      <c r="AM1088">
        <v>4.1900000000000004</v>
      </c>
      <c r="AN1088">
        <v>0</v>
      </c>
      <c r="AO1088">
        <v>0</v>
      </c>
      <c r="AP1088">
        <v>0</v>
      </c>
      <c r="AQ1088">
        <v>0</v>
      </c>
      <c r="AR1088">
        <v>0</v>
      </c>
      <c r="AS1088">
        <v>0</v>
      </c>
      <c r="AT1088">
        <v>0</v>
      </c>
      <c r="AU1088">
        <v>0</v>
      </c>
      <c r="AV1088">
        <v>0</v>
      </c>
      <c r="AW1088">
        <v>0</v>
      </c>
      <c r="AX1088">
        <v>0</v>
      </c>
      <c r="AY1088">
        <v>0</v>
      </c>
      <c r="AZ1088">
        <v>0</v>
      </c>
      <c r="BA1088">
        <v>0</v>
      </c>
      <c r="BB1088">
        <v>0</v>
      </c>
      <c r="BG1088">
        <v>0</v>
      </c>
      <c r="BH1088">
        <v>1</v>
      </c>
      <c r="BI1088">
        <v>1</v>
      </c>
      <c r="BJ1088">
        <v>0.2</v>
      </c>
      <c r="BK1088">
        <v>1</v>
      </c>
      <c r="BL1088">
        <v>46.06</v>
      </c>
      <c r="BM1088">
        <v>6.91</v>
      </c>
      <c r="BN1088">
        <v>52.97</v>
      </c>
      <c r="BO1088">
        <v>52.97</v>
      </c>
      <c r="BQ1088" t="s">
        <v>78</v>
      </c>
      <c r="BR1088" t="s">
        <v>71</v>
      </c>
      <c r="BS1088" t="s">
        <v>72</v>
      </c>
      <c r="BY1088">
        <v>1200</v>
      </c>
      <c r="CC1088" t="s">
        <v>152</v>
      </c>
      <c r="CD1088">
        <v>3212</v>
      </c>
      <c r="CE1088" t="s">
        <v>73</v>
      </c>
      <c r="CI1088">
        <v>1</v>
      </c>
      <c r="CJ1088" t="s">
        <v>72</v>
      </c>
      <c r="CK1088">
        <v>21</v>
      </c>
      <c r="CL1088" t="s">
        <v>74</v>
      </c>
    </row>
    <row r="1089" spans="1:90" x14ac:dyDescent="0.25">
      <c r="A1089" t="s">
        <v>61</v>
      </c>
      <c r="B1089" t="s">
        <v>62</v>
      </c>
      <c r="C1089" t="s">
        <v>63</v>
      </c>
      <c r="E1089" t="str">
        <f>"FES1162745676"</f>
        <v>FES1162745676</v>
      </c>
      <c r="F1089" s="1">
        <v>43950</v>
      </c>
      <c r="G1089">
        <v>202010</v>
      </c>
      <c r="H1089" t="s">
        <v>64</v>
      </c>
      <c r="I1089" t="s">
        <v>65</v>
      </c>
      <c r="J1089" t="s">
        <v>66</v>
      </c>
      <c r="K1089" t="s">
        <v>67</v>
      </c>
      <c r="L1089" t="s">
        <v>92</v>
      </c>
      <c r="M1089" t="s">
        <v>93</v>
      </c>
      <c r="N1089" t="s">
        <v>204</v>
      </c>
      <c r="O1089" t="s">
        <v>69</v>
      </c>
      <c r="P1089" t="str">
        <f>"2170736367                    "</f>
        <v xml:space="preserve">2170736367                    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4.1900000000000004</v>
      </c>
      <c r="AN1089">
        <v>0</v>
      </c>
      <c r="AO1089">
        <v>0</v>
      </c>
      <c r="AP1089">
        <v>0</v>
      </c>
      <c r="AQ1089">
        <v>0</v>
      </c>
      <c r="AR1089">
        <v>0</v>
      </c>
      <c r="AS1089">
        <v>0</v>
      </c>
      <c r="AT1089">
        <v>0</v>
      </c>
      <c r="AU1089">
        <v>0</v>
      </c>
      <c r="AV1089">
        <v>0</v>
      </c>
      <c r="AW1089">
        <v>0</v>
      </c>
      <c r="AX1089">
        <v>0</v>
      </c>
      <c r="AY1089">
        <v>0</v>
      </c>
      <c r="AZ1089">
        <v>0</v>
      </c>
      <c r="BA1089">
        <v>0</v>
      </c>
      <c r="BB1089">
        <v>0</v>
      </c>
      <c r="BG1089">
        <v>0</v>
      </c>
      <c r="BH1089">
        <v>1</v>
      </c>
      <c r="BI1089">
        <v>1</v>
      </c>
      <c r="BJ1089">
        <v>0.2</v>
      </c>
      <c r="BK1089">
        <v>1</v>
      </c>
      <c r="BL1089">
        <v>46.06</v>
      </c>
      <c r="BM1089">
        <v>6.91</v>
      </c>
      <c r="BN1089">
        <v>52.97</v>
      </c>
      <c r="BO1089">
        <v>52.97</v>
      </c>
      <c r="BQ1089" t="s">
        <v>78</v>
      </c>
      <c r="BR1089" t="s">
        <v>71</v>
      </c>
      <c r="BS1089" s="1">
        <v>43951</v>
      </c>
      <c r="BT1089" s="2">
        <v>0.35486111111111113</v>
      </c>
      <c r="BU1089" t="s">
        <v>1159</v>
      </c>
      <c r="BV1089" t="s">
        <v>80</v>
      </c>
      <c r="BY1089">
        <v>1200</v>
      </c>
      <c r="CC1089" t="s">
        <v>93</v>
      </c>
      <c r="CD1089">
        <v>7530</v>
      </c>
      <c r="CE1089" t="s">
        <v>73</v>
      </c>
      <c r="CI1089">
        <v>1</v>
      </c>
      <c r="CJ1089">
        <v>1</v>
      </c>
      <c r="CK1089">
        <v>21</v>
      </c>
      <c r="CL1089" t="s">
        <v>74</v>
      </c>
    </row>
    <row r="1090" spans="1:90" x14ac:dyDescent="0.25">
      <c r="A1090" t="s">
        <v>61</v>
      </c>
      <c r="B1090" t="s">
        <v>62</v>
      </c>
      <c r="C1090" t="s">
        <v>63</v>
      </c>
      <c r="E1090" t="str">
        <f>"FES1162745592"</f>
        <v>FES1162745592</v>
      </c>
      <c r="F1090" s="1">
        <v>43950</v>
      </c>
      <c r="G1090">
        <v>202010</v>
      </c>
      <c r="H1090" t="s">
        <v>64</v>
      </c>
      <c r="I1090" t="s">
        <v>65</v>
      </c>
      <c r="J1090" t="s">
        <v>66</v>
      </c>
      <c r="K1090" t="s">
        <v>67</v>
      </c>
      <c r="L1090" t="s">
        <v>151</v>
      </c>
      <c r="M1090" t="s">
        <v>152</v>
      </c>
      <c r="N1090" t="s">
        <v>823</v>
      </c>
      <c r="O1090" t="s">
        <v>69</v>
      </c>
      <c r="P1090" t="str">
        <f>"2170736704                    "</f>
        <v xml:space="preserve">2170736704                    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4.1900000000000004</v>
      </c>
      <c r="AN1090">
        <v>0</v>
      </c>
      <c r="AO1090">
        <v>0</v>
      </c>
      <c r="AP1090">
        <v>0</v>
      </c>
      <c r="AQ1090">
        <v>0</v>
      </c>
      <c r="AR1090">
        <v>0</v>
      </c>
      <c r="AS1090">
        <v>0</v>
      </c>
      <c r="AT1090">
        <v>0</v>
      </c>
      <c r="AU1090">
        <v>0</v>
      </c>
      <c r="AV1090">
        <v>0</v>
      </c>
      <c r="AW1090">
        <v>0</v>
      </c>
      <c r="AX1090">
        <v>0</v>
      </c>
      <c r="AY1090">
        <v>0</v>
      </c>
      <c r="AZ1090">
        <v>0</v>
      </c>
      <c r="BA1090">
        <v>0</v>
      </c>
      <c r="BB1090">
        <v>0</v>
      </c>
      <c r="BG1090">
        <v>0</v>
      </c>
      <c r="BH1090">
        <v>1</v>
      </c>
      <c r="BI1090">
        <v>1</v>
      </c>
      <c r="BJ1090">
        <v>0.2</v>
      </c>
      <c r="BK1090">
        <v>1</v>
      </c>
      <c r="BL1090">
        <v>46.06</v>
      </c>
      <c r="BM1090">
        <v>6.91</v>
      </c>
      <c r="BN1090">
        <v>52.97</v>
      </c>
      <c r="BO1090">
        <v>52.97</v>
      </c>
      <c r="BQ1090" t="s">
        <v>78</v>
      </c>
      <c r="BR1090" t="s">
        <v>71</v>
      </c>
      <c r="BS1090" t="s">
        <v>72</v>
      </c>
      <c r="BY1090">
        <v>1200</v>
      </c>
      <c r="CC1090" t="s">
        <v>152</v>
      </c>
      <c r="CD1090">
        <v>3201</v>
      </c>
      <c r="CE1090" t="s">
        <v>73</v>
      </c>
      <c r="CI1090">
        <v>1</v>
      </c>
      <c r="CJ1090" t="s">
        <v>72</v>
      </c>
      <c r="CK1090">
        <v>21</v>
      </c>
      <c r="CL1090" t="s">
        <v>74</v>
      </c>
    </row>
    <row r="1091" spans="1:90" x14ac:dyDescent="0.25">
      <c r="A1091" t="s">
        <v>61</v>
      </c>
      <c r="B1091" t="s">
        <v>62</v>
      </c>
      <c r="C1091" t="s">
        <v>63</v>
      </c>
      <c r="E1091" t="str">
        <f>"FES1162745684"</f>
        <v>FES1162745684</v>
      </c>
      <c r="F1091" s="1">
        <v>43950</v>
      </c>
      <c r="G1091">
        <v>202010</v>
      </c>
      <c r="H1091" t="s">
        <v>64</v>
      </c>
      <c r="I1091" t="s">
        <v>65</v>
      </c>
      <c r="J1091" t="s">
        <v>66</v>
      </c>
      <c r="K1091" t="s">
        <v>67</v>
      </c>
      <c r="L1091" t="s">
        <v>99</v>
      </c>
      <c r="M1091" t="s">
        <v>100</v>
      </c>
      <c r="N1091" t="s">
        <v>859</v>
      </c>
      <c r="O1091" t="s">
        <v>69</v>
      </c>
      <c r="P1091" t="str">
        <f>"2170736771                    "</f>
        <v xml:space="preserve">2170736771                    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39.26</v>
      </c>
      <c r="AN1091">
        <v>0</v>
      </c>
      <c r="AO1091">
        <v>0</v>
      </c>
      <c r="AP1091">
        <v>0</v>
      </c>
      <c r="AQ1091">
        <v>0</v>
      </c>
      <c r="AR1091">
        <v>0</v>
      </c>
      <c r="AS1091">
        <v>0</v>
      </c>
      <c r="AT1091">
        <v>0</v>
      </c>
      <c r="AU1091">
        <v>0</v>
      </c>
      <c r="AV1091">
        <v>0</v>
      </c>
      <c r="AW1091">
        <v>0</v>
      </c>
      <c r="AX1091">
        <v>0</v>
      </c>
      <c r="AY1091">
        <v>0</v>
      </c>
      <c r="AZ1091">
        <v>0</v>
      </c>
      <c r="BA1091">
        <v>0</v>
      </c>
      <c r="BB1091">
        <v>0</v>
      </c>
      <c r="BG1091">
        <v>0</v>
      </c>
      <c r="BH1091">
        <v>2</v>
      </c>
      <c r="BI1091">
        <v>10.199999999999999</v>
      </c>
      <c r="BJ1091">
        <v>6.5</v>
      </c>
      <c r="BK1091">
        <v>10.5</v>
      </c>
      <c r="BL1091">
        <v>431.82</v>
      </c>
      <c r="BM1091">
        <v>64.77</v>
      </c>
      <c r="BN1091">
        <v>496.59</v>
      </c>
      <c r="BO1091">
        <v>496.59</v>
      </c>
      <c r="BQ1091" t="s">
        <v>78</v>
      </c>
      <c r="BR1091" t="s">
        <v>71</v>
      </c>
      <c r="BS1091" t="s">
        <v>72</v>
      </c>
      <c r="BY1091">
        <v>32598.89</v>
      </c>
      <c r="CC1091" t="s">
        <v>100</v>
      </c>
      <c r="CD1091">
        <v>6850</v>
      </c>
      <c r="CE1091" t="s">
        <v>381</v>
      </c>
      <c r="CI1091">
        <v>3</v>
      </c>
      <c r="CJ1091" t="s">
        <v>72</v>
      </c>
      <c r="CK1091">
        <v>23</v>
      </c>
      <c r="CL1091" t="s">
        <v>74</v>
      </c>
    </row>
    <row r="1092" spans="1:90" x14ac:dyDescent="0.25">
      <c r="A1092" t="s">
        <v>61</v>
      </c>
      <c r="B1092" t="s">
        <v>62</v>
      </c>
      <c r="C1092" t="s">
        <v>63</v>
      </c>
      <c r="E1092" t="str">
        <f>"FES1162744705"</f>
        <v>FES1162744705</v>
      </c>
      <c r="F1092" s="1">
        <v>43950</v>
      </c>
      <c r="G1092">
        <v>202010</v>
      </c>
      <c r="H1092" t="s">
        <v>64</v>
      </c>
      <c r="I1092" t="s">
        <v>65</v>
      </c>
      <c r="J1092" t="s">
        <v>66</v>
      </c>
      <c r="K1092" t="s">
        <v>67</v>
      </c>
      <c r="L1092" t="s">
        <v>92</v>
      </c>
      <c r="M1092" t="s">
        <v>93</v>
      </c>
      <c r="N1092" t="s">
        <v>1151</v>
      </c>
      <c r="O1092" t="s">
        <v>69</v>
      </c>
      <c r="P1092" t="str">
        <f>"2170735159                    "</f>
        <v xml:space="preserve">2170735159                    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4.1900000000000004</v>
      </c>
      <c r="AN1092">
        <v>0</v>
      </c>
      <c r="AO1092">
        <v>0</v>
      </c>
      <c r="AP1092">
        <v>0</v>
      </c>
      <c r="AQ1092">
        <v>0</v>
      </c>
      <c r="AR1092">
        <v>0</v>
      </c>
      <c r="AS1092">
        <v>0</v>
      </c>
      <c r="AT1092">
        <v>0</v>
      </c>
      <c r="AU1092">
        <v>0</v>
      </c>
      <c r="AV1092">
        <v>0</v>
      </c>
      <c r="AW1092">
        <v>0</v>
      </c>
      <c r="AX1092">
        <v>0</v>
      </c>
      <c r="AY1092">
        <v>0</v>
      </c>
      <c r="AZ1092">
        <v>0</v>
      </c>
      <c r="BA1092">
        <v>0</v>
      </c>
      <c r="BB1092">
        <v>0</v>
      </c>
      <c r="BG1092">
        <v>0</v>
      </c>
      <c r="BH1092">
        <v>1</v>
      </c>
      <c r="BI1092">
        <v>1.7</v>
      </c>
      <c r="BJ1092">
        <v>0.9</v>
      </c>
      <c r="BK1092">
        <v>2</v>
      </c>
      <c r="BL1092">
        <v>46.06</v>
      </c>
      <c r="BM1092">
        <v>6.91</v>
      </c>
      <c r="BN1092">
        <v>52.97</v>
      </c>
      <c r="BO1092">
        <v>52.97</v>
      </c>
      <c r="BQ1092" t="s">
        <v>78</v>
      </c>
      <c r="BR1092" t="s">
        <v>71</v>
      </c>
      <c r="BS1092" s="1">
        <v>43951</v>
      </c>
      <c r="BT1092" s="2">
        <v>0.51944444444444449</v>
      </c>
      <c r="BU1092" t="s">
        <v>1152</v>
      </c>
      <c r="BV1092" t="s">
        <v>74</v>
      </c>
      <c r="BW1092" t="s">
        <v>96</v>
      </c>
      <c r="BX1092" t="s">
        <v>97</v>
      </c>
      <c r="BY1092">
        <v>4422.7299999999996</v>
      </c>
      <c r="CA1092" t="s">
        <v>331</v>
      </c>
      <c r="CC1092" t="s">
        <v>93</v>
      </c>
      <c r="CD1092">
        <v>7441</v>
      </c>
      <c r="CE1092" t="s">
        <v>91</v>
      </c>
      <c r="CI1092">
        <v>1</v>
      </c>
      <c r="CJ1092">
        <v>1</v>
      </c>
      <c r="CK1092">
        <v>21</v>
      </c>
      <c r="CL1092" t="s">
        <v>74</v>
      </c>
    </row>
    <row r="1093" spans="1:90" x14ac:dyDescent="0.25">
      <c r="A1093" t="s">
        <v>61</v>
      </c>
      <c r="B1093" t="s">
        <v>62</v>
      </c>
      <c r="C1093" t="s">
        <v>63</v>
      </c>
      <c r="E1093" t="str">
        <f>"FES1162745637"</f>
        <v>FES1162745637</v>
      </c>
      <c r="F1093" s="1">
        <v>43950</v>
      </c>
      <c r="G1093">
        <v>202010</v>
      </c>
      <c r="H1093" t="s">
        <v>64</v>
      </c>
      <c r="I1093" t="s">
        <v>65</v>
      </c>
      <c r="J1093" t="s">
        <v>66</v>
      </c>
      <c r="K1093" t="s">
        <v>67</v>
      </c>
      <c r="L1093" t="s">
        <v>146</v>
      </c>
      <c r="M1093" t="s">
        <v>147</v>
      </c>
      <c r="N1093" t="s">
        <v>341</v>
      </c>
      <c r="O1093" t="s">
        <v>69</v>
      </c>
      <c r="P1093" t="str">
        <f>"2170735750                    "</f>
        <v xml:space="preserve">2170735750                    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4.1900000000000004</v>
      </c>
      <c r="AN1093">
        <v>0</v>
      </c>
      <c r="AO1093">
        <v>0</v>
      </c>
      <c r="AP1093">
        <v>0</v>
      </c>
      <c r="AQ1093">
        <v>0</v>
      </c>
      <c r="AR1093">
        <v>0</v>
      </c>
      <c r="AS1093">
        <v>0</v>
      </c>
      <c r="AT1093">
        <v>0</v>
      </c>
      <c r="AU1093">
        <v>0</v>
      </c>
      <c r="AV1093">
        <v>0</v>
      </c>
      <c r="AW1093">
        <v>0</v>
      </c>
      <c r="AX1093">
        <v>0</v>
      </c>
      <c r="AY1093">
        <v>0</v>
      </c>
      <c r="AZ1093">
        <v>0</v>
      </c>
      <c r="BA1093">
        <v>0</v>
      </c>
      <c r="BB1093">
        <v>0</v>
      </c>
      <c r="BG1093">
        <v>0</v>
      </c>
      <c r="BH1093">
        <v>1</v>
      </c>
      <c r="BI1093">
        <v>1</v>
      </c>
      <c r="BJ1093">
        <v>0.2</v>
      </c>
      <c r="BK1093">
        <v>1</v>
      </c>
      <c r="BL1093">
        <v>46.06</v>
      </c>
      <c r="BM1093">
        <v>6.91</v>
      </c>
      <c r="BN1093">
        <v>52.97</v>
      </c>
      <c r="BO1093">
        <v>52.97</v>
      </c>
      <c r="BQ1093" t="s">
        <v>78</v>
      </c>
      <c r="BR1093" t="s">
        <v>71</v>
      </c>
      <c r="BS1093" s="1">
        <v>43951</v>
      </c>
      <c r="BT1093" s="2">
        <v>0.48749999999999999</v>
      </c>
      <c r="BU1093" t="s">
        <v>1141</v>
      </c>
      <c r="BV1093" t="s">
        <v>74</v>
      </c>
      <c r="BW1093" t="s">
        <v>96</v>
      </c>
      <c r="BX1093" t="s">
        <v>962</v>
      </c>
      <c r="BY1093">
        <v>1200</v>
      </c>
      <c r="CA1093" t="s">
        <v>150</v>
      </c>
      <c r="CC1093" t="s">
        <v>147</v>
      </c>
      <c r="CD1093">
        <v>6045</v>
      </c>
      <c r="CE1093" t="s">
        <v>73</v>
      </c>
      <c r="CI1093">
        <v>1</v>
      </c>
      <c r="CJ1093">
        <v>1</v>
      </c>
      <c r="CK1093">
        <v>21</v>
      </c>
      <c r="CL1093" t="s">
        <v>74</v>
      </c>
    </row>
    <row r="1094" spans="1:90" x14ac:dyDescent="0.25">
      <c r="A1094" t="s">
        <v>61</v>
      </c>
      <c r="B1094" t="s">
        <v>62</v>
      </c>
      <c r="C1094" t="s">
        <v>63</v>
      </c>
      <c r="E1094" t="str">
        <f>"FES1162745661"</f>
        <v>FES1162745661</v>
      </c>
      <c r="F1094" s="1">
        <v>43950</v>
      </c>
      <c r="G1094">
        <v>202010</v>
      </c>
      <c r="H1094" t="s">
        <v>64</v>
      </c>
      <c r="I1094" t="s">
        <v>65</v>
      </c>
      <c r="J1094" t="s">
        <v>66</v>
      </c>
      <c r="K1094" t="s">
        <v>67</v>
      </c>
      <c r="L1094" t="s">
        <v>146</v>
      </c>
      <c r="M1094" t="s">
        <v>147</v>
      </c>
      <c r="N1094" t="s">
        <v>173</v>
      </c>
      <c r="O1094" t="s">
        <v>69</v>
      </c>
      <c r="P1094" t="str">
        <f>"2170736733                    "</f>
        <v xml:space="preserve">2170736733                    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0</v>
      </c>
      <c r="AM1094">
        <v>4.1900000000000004</v>
      </c>
      <c r="AN1094">
        <v>0</v>
      </c>
      <c r="AO1094">
        <v>0</v>
      </c>
      <c r="AP1094">
        <v>0</v>
      </c>
      <c r="AQ1094">
        <v>0</v>
      </c>
      <c r="AR1094">
        <v>0</v>
      </c>
      <c r="AS1094">
        <v>0</v>
      </c>
      <c r="AT1094">
        <v>0</v>
      </c>
      <c r="AU1094">
        <v>0</v>
      </c>
      <c r="AV1094">
        <v>0</v>
      </c>
      <c r="AW1094">
        <v>0</v>
      </c>
      <c r="AX1094">
        <v>0</v>
      </c>
      <c r="AY1094">
        <v>0</v>
      </c>
      <c r="AZ1094">
        <v>0</v>
      </c>
      <c r="BA1094">
        <v>0</v>
      </c>
      <c r="BB1094">
        <v>0</v>
      </c>
      <c r="BG1094">
        <v>0</v>
      </c>
      <c r="BH1094">
        <v>1</v>
      </c>
      <c r="BI1094">
        <v>1</v>
      </c>
      <c r="BJ1094">
        <v>0.2</v>
      </c>
      <c r="BK1094">
        <v>1</v>
      </c>
      <c r="BL1094">
        <v>46.06</v>
      </c>
      <c r="BM1094">
        <v>6.91</v>
      </c>
      <c r="BN1094">
        <v>52.97</v>
      </c>
      <c r="BO1094">
        <v>52.97</v>
      </c>
      <c r="BQ1094" t="s">
        <v>70</v>
      </c>
      <c r="BR1094" t="s">
        <v>71</v>
      </c>
      <c r="BS1094" t="s">
        <v>72</v>
      </c>
      <c r="BY1094">
        <v>1200</v>
      </c>
      <c r="CC1094" t="s">
        <v>147</v>
      </c>
      <c r="CD1094">
        <v>6001</v>
      </c>
      <c r="CE1094" t="s">
        <v>73</v>
      </c>
      <c r="CI1094">
        <v>1</v>
      </c>
      <c r="CJ1094" t="s">
        <v>72</v>
      </c>
      <c r="CK1094">
        <v>21</v>
      </c>
      <c r="CL1094" t="s">
        <v>74</v>
      </c>
    </row>
    <row r="1095" spans="1:90" x14ac:dyDescent="0.25">
      <c r="A1095" t="s">
        <v>61</v>
      </c>
      <c r="B1095" t="s">
        <v>62</v>
      </c>
      <c r="C1095" t="s">
        <v>63</v>
      </c>
      <c r="E1095" t="str">
        <f>"FES1162745690"</f>
        <v>FES1162745690</v>
      </c>
      <c r="F1095" s="1">
        <v>43950</v>
      </c>
      <c r="G1095">
        <v>202010</v>
      </c>
      <c r="H1095" t="s">
        <v>64</v>
      </c>
      <c r="I1095" t="s">
        <v>65</v>
      </c>
      <c r="J1095" t="s">
        <v>66</v>
      </c>
      <c r="K1095" t="s">
        <v>67</v>
      </c>
      <c r="L1095" t="s">
        <v>146</v>
      </c>
      <c r="M1095" t="s">
        <v>147</v>
      </c>
      <c r="N1095" t="s">
        <v>1160</v>
      </c>
      <c r="O1095" t="s">
        <v>69</v>
      </c>
      <c r="P1095" t="str">
        <f>"2170736778                    "</f>
        <v xml:space="preserve">2170736778                    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0</v>
      </c>
      <c r="AM1095">
        <v>4.1900000000000004</v>
      </c>
      <c r="AN1095">
        <v>0</v>
      </c>
      <c r="AO1095">
        <v>0</v>
      </c>
      <c r="AP1095">
        <v>0</v>
      </c>
      <c r="AQ1095">
        <v>0</v>
      </c>
      <c r="AR1095">
        <v>0</v>
      </c>
      <c r="AS1095">
        <v>0</v>
      </c>
      <c r="AT1095">
        <v>0</v>
      </c>
      <c r="AU1095">
        <v>0</v>
      </c>
      <c r="AV1095">
        <v>0</v>
      </c>
      <c r="AW1095">
        <v>0</v>
      </c>
      <c r="AX1095">
        <v>0</v>
      </c>
      <c r="AY1095">
        <v>0</v>
      </c>
      <c r="AZ1095">
        <v>0</v>
      </c>
      <c r="BA1095">
        <v>0</v>
      </c>
      <c r="BB1095">
        <v>0</v>
      </c>
      <c r="BG1095">
        <v>0</v>
      </c>
      <c r="BH1095">
        <v>1</v>
      </c>
      <c r="BI1095">
        <v>1</v>
      </c>
      <c r="BJ1095">
        <v>0.2</v>
      </c>
      <c r="BK1095">
        <v>1</v>
      </c>
      <c r="BL1095">
        <v>46.06</v>
      </c>
      <c r="BM1095">
        <v>6.91</v>
      </c>
      <c r="BN1095">
        <v>52.97</v>
      </c>
      <c r="BO1095">
        <v>52.97</v>
      </c>
      <c r="BQ1095" t="s">
        <v>78</v>
      </c>
      <c r="BR1095" t="s">
        <v>71</v>
      </c>
      <c r="BS1095" s="1">
        <v>43951</v>
      </c>
      <c r="BT1095" s="2">
        <v>0.3979166666666667</v>
      </c>
      <c r="BU1095" t="s">
        <v>1161</v>
      </c>
      <c r="BV1095" t="s">
        <v>80</v>
      </c>
      <c r="BY1095">
        <v>1200</v>
      </c>
      <c r="CA1095" t="s">
        <v>150</v>
      </c>
      <c r="CC1095" t="s">
        <v>147</v>
      </c>
      <c r="CD1095">
        <v>6001</v>
      </c>
      <c r="CE1095" t="s">
        <v>73</v>
      </c>
      <c r="CI1095">
        <v>1</v>
      </c>
      <c r="CJ1095">
        <v>1</v>
      </c>
      <c r="CK1095">
        <v>21</v>
      </c>
      <c r="CL1095" t="s">
        <v>74</v>
      </c>
    </row>
    <row r="1096" spans="1:90" x14ac:dyDescent="0.25">
      <c r="A1096" t="s">
        <v>61</v>
      </c>
      <c r="B1096" t="s">
        <v>62</v>
      </c>
      <c r="C1096" t="s">
        <v>63</v>
      </c>
      <c r="E1096" t="str">
        <f>"FES1162745696"</f>
        <v>FES1162745696</v>
      </c>
      <c r="F1096" s="1">
        <v>43950</v>
      </c>
      <c r="G1096">
        <v>202010</v>
      </c>
      <c r="H1096" t="s">
        <v>64</v>
      </c>
      <c r="I1096" t="s">
        <v>65</v>
      </c>
      <c r="J1096" t="s">
        <v>66</v>
      </c>
      <c r="K1096" t="s">
        <v>67</v>
      </c>
      <c r="L1096" t="s">
        <v>120</v>
      </c>
      <c r="M1096" t="s">
        <v>121</v>
      </c>
      <c r="N1096" t="s">
        <v>138</v>
      </c>
      <c r="O1096" t="s">
        <v>69</v>
      </c>
      <c r="P1096" t="str">
        <f>"2170736725                    "</f>
        <v xml:space="preserve">2170736725                    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0</v>
      </c>
      <c r="AM1096">
        <v>31.38</v>
      </c>
      <c r="AN1096">
        <v>0</v>
      </c>
      <c r="AO1096">
        <v>0</v>
      </c>
      <c r="AP1096">
        <v>0</v>
      </c>
      <c r="AQ1096">
        <v>0</v>
      </c>
      <c r="AR1096">
        <v>0</v>
      </c>
      <c r="AS1096">
        <v>0</v>
      </c>
      <c r="AT1096">
        <v>0</v>
      </c>
      <c r="AU1096">
        <v>0</v>
      </c>
      <c r="AV1096">
        <v>0</v>
      </c>
      <c r="AW1096">
        <v>0</v>
      </c>
      <c r="AX1096">
        <v>0</v>
      </c>
      <c r="AY1096">
        <v>0</v>
      </c>
      <c r="AZ1096">
        <v>0</v>
      </c>
      <c r="BA1096">
        <v>0</v>
      </c>
      <c r="BB1096">
        <v>0</v>
      </c>
      <c r="BG1096">
        <v>0</v>
      </c>
      <c r="BH1096">
        <v>1</v>
      </c>
      <c r="BI1096">
        <v>15</v>
      </c>
      <c r="BJ1096">
        <v>4.8</v>
      </c>
      <c r="BK1096">
        <v>15</v>
      </c>
      <c r="BL1096">
        <v>345.21</v>
      </c>
      <c r="BM1096">
        <v>51.78</v>
      </c>
      <c r="BN1096">
        <v>396.99</v>
      </c>
      <c r="BO1096">
        <v>396.99</v>
      </c>
      <c r="BQ1096" t="s">
        <v>78</v>
      </c>
      <c r="BR1096" t="s">
        <v>71</v>
      </c>
      <c r="BS1096" s="1">
        <v>43951</v>
      </c>
      <c r="BT1096" s="2">
        <v>0.47430555555555554</v>
      </c>
      <c r="BU1096" t="s">
        <v>139</v>
      </c>
      <c r="BV1096" t="s">
        <v>74</v>
      </c>
      <c r="BY1096">
        <v>24059.41</v>
      </c>
      <c r="CA1096" t="s">
        <v>140</v>
      </c>
      <c r="CC1096" t="s">
        <v>121</v>
      </c>
      <c r="CD1096">
        <v>4001</v>
      </c>
      <c r="CE1096" t="s">
        <v>91</v>
      </c>
      <c r="CI1096">
        <v>1</v>
      </c>
      <c r="CJ1096">
        <v>1</v>
      </c>
      <c r="CK1096">
        <v>21</v>
      </c>
      <c r="CL1096" t="s">
        <v>74</v>
      </c>
    </row>
    <row r="1097" spans="1:90" x14ac:dyDescent="0.25">
      <c r="A1097" t="s">
        <v>61</v>
      </c>
      <c r="B1097" t="s">
        <v>62</v>
      </c>
      <c r="C1097" t="s">
        <v>63</v>
      </c>
      <c r="E1097" t="str">
        <f>"FES1162745615"</f>
        <v>FES1162745615</v>
      </c>
      <c r="F1097" s="1">
        <v>43950</v>
      </c>
      <c r="G1097">
        <v>202010</v>
      </c>
      <c r="H1097" t="s">
        <v>64</v>
      </c>
      <c r="I1097" t="s">
        <v>65</v>
      </c>
      <c r="J1097" t="s">
        <v>66</v>
      </c>
      <c r="K1097" t="s">
        <v>67</v>
      </c>
      <c r="L1097" t="s">
        <v>92</v>
      </c>
      <c r="M1097" t="s">
        <v>93</v>
      </c>
      <c r="N1097" t="s">
        <v>94</v>
      </c>
      <c r="O1097" t="s">
        <v>69</v>
      </c>
      <c r="P1097" t="str">
        <f>"2170734975                    "</f>
        <v xml:space="preserve">2170734975                    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0</v>
      </c>
      <c r="AM1097">
        <v>4.1900000000000004</v>
      </c>
      <c r="AN1097">
        <v>0</v>
      </c>
      <c r="AO1097">
        <v>0</v>
      </c>
      <c r="AP1097">
        <v>0</v>
      </c>
      <c r="AQ1097">
        <v>0</v>
      </c>
      <c r="AR1097">
        <v>0</v>
      </c>
      <c r="AS1097">
        <v>0</v>
      </c>
      <c r="AT1097">
        <v>0</v>
      </c>
      <c r="AU1097">
        <v>0</v>
      </c>
      <c r="AV1097">
        <v>0</v>
      </c>
      <c r="AW1097">
        <v>0</v>
      </c>
      <c r="AX1097">
        <v>0</v>
      </c>
      <c r="AY1097">
        <v>0</v>
      </c>
      <c r="AZ1097">
        <v>0</v>
      </c>
      <c r="BA1097">
        <v>0</v>
      </c>
      <c r="BB1097">
        <v>0</v>
      </c>
      <c r="BG1097">
        <v>0</v>
      </c>
      <c r="BH1097">
        <v>1</v>
      </c>
      <c r="BI1097">
        <v>0.9</v>
      </c>
      <c r="BJ1097">
        <v>1</v>
      </c>
      <c r="BK1097">
        <v>1</v>
      </c>
      <c r="BL1097">
        <v>46.06</v>
      </c>
      <c r="BM1097">
        <v>6.91</v>
      </c>
      <c r="BN1097">
        <v>52.97</v>
      </c>
      <c r="BO1097">
        <v>52.97</v>
      </c>
      <c r="BQ1097" t="s">
        <v>70</v>
      </c>
      <c r="BR1097" t="s">
        <v>71</v>
      </c>
      <c r="BS1097" s="1">
        <v>43951</v>
      </c>
      <c r="BT1097" s="2">
        <v>0.48680555555555555</v>
      </c>
      <c r="BU1097" t="s">
        <v>590</v>
      </c>
      <c r="BV1097" t="s">
        <v>74</v>
      </c>
      <c r="BW1097" t="s">
        <v>96</v>
      </c>
      <c r="BX1097" t="s">
        <v>97</v>
      </c>
      <c r="BY1097">
        <v>4752.49</v>
      </c>
      <c r="CA1097" t="s">
        <v>98</v>
      </c>
      <c r="CC1097" t="s">
        <v>93</v>
      </c>
      <c r="CD1097">
        <v>7441</v>
      </c>
      <c r="CE1097" t="s">
        <v>91</v>
      </c>
      <c r="CI1097">
        <v>1</v>
      </c>
      <c r="CJ1097">
        <v>1</v>
      </c>
      <c r="CK1097">
        <v>21</v>
      </c>
      <c r="CL1097" t="s">
        <v>74</v>
      </c>
    </row>
    <row r="1098" spans="1:90" x14ac:dyDescent="0.25">
      <c r="A1098" t="s">
        <v>61</v>
      </c>
      <c r="B1098" t="s">
        <v>62</v>
      </c>
      <c r="C1098" t="s">
        <v>63</v>
      </c>
      <c r="E1098" t="str">
        <f>"FES1162745700"</f>
        <v>FES1162745700</v>
      </c>
      <c r="F1098" s="1">
        <v>43950</v>
      </c>
      <c r="G1098">
        <v>202010</v>
      </c>
      <c r="H1098" t="s">
        <v>64</v>
      </c>
      <c r="I1098" t="s">
        <v>65</v>
      </c>
      <c r="J1098" t="s">
        <v>66</v>
      </c>
      <c r="K1098" t="s">
        <v>67</v>
      </c>
      <c r="L1098" t="s">
        <v>212</v>
      </c>
      <c r="M1098" t="s">
        <v>213</v>
      </c>
      <c r="N1098" t="s">
        <v>1069</v>
      </c>
      <c r="O1098" t="s">
        <v>69</v>
      </c>
      <c r="P1098" t="str">
        <f>"2170736794                    "</f>
        <v xml:space="preserve">2170736794                    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4.1900000000000004</v>
      </c>
      <c r="AN1098">
        <v>0</v>
      </c>
      <c r="AO1098">
        <v>0</v>
      </c>
      <c r="AP1098">
        <v>0</v>
      </c>
      <c r="AQ1098">
        <v>0</v>
      </c>
      <c r="AR1098">
        <v>0</v>
      </c>
      <c r="AS1098">
        <v>0</v>
      </c>
      <c r="AT1098">
        <v>0</v>
      </c>
      <c r="AU1098">
        <v>0</v>
      </c>
      <c r="AV1098">
        <v>0</v>
      </c>
      <c r="AW1098">
        <v>0</v>
      </c>
      <c r="AX1098">
        <v>0</v>
      </c>
      <c r="AY1098">
        <v>0</v>
      </c>
      <c r="AZ1098">
        <v>0</v>
      </c>
      <c r="BA1098">
        <v>0</v>
      </c>
      <c r="BB1098">
        <v>0</v>
      </c>
      <c r="BG1098">
        <v>0</v>
      </c>
      <c r="BH1098">
        <v>1</v>
      </c>
      <c r="BI1098">
        <v>1</v>
      </c>
      <c r="BJ1098">
        <v>0.2</v>
      </c>
      <c r="BK1098">
        <v>1</v>
      </c>
      <c r="BL1098">
        <v>46.06</v>
      </c>
      <c r="BM1098">
        <v>6.91</v>
      </c>
      <c r="BN1098">
        <v>52.97</v>
      </c>
      <c r="BO1098">
        <v>52.97</v>
      </c>
      <c r="BQ1098" t="s">
        <v>268</v>
      </c>
      <c r="BR1098" t="s">
        <v>71</v>
      </c>
      <c r="BS1098" t="s">
        <v>72</v>
      </c>
      <c r="BY1098">
        <v>1200</v>
      </c>
      <c r="CC1098" t="s">
        <v>213</v>
      </c>
      <c r="CD1098">
        <v>3610</v>
      </c>
      <c r="CE1098" t="s">
        <v>73</v>
      </c>
      <c r="CI1098">
        <v>1</v>
      </c>
      <c r="CJ1098" t="s">
        <v>72</v>
      </c>
      <c r="CK1098">
        <v>21</v>
      </c>
      <c r="CL1098" t="s">
        <v>74</v>
      </c>
    </row>
    <row r="1099" spans="1:90" x14ac:dyDescent="0.25">
      <c r="A1099" t="s">
        <v>61</v>
      </c>
      <c r="B1099" t="s">
        <v>62</v>
      </c>
      <c r="C1099" t="s">
        <v>63</v>
      </c>
      <c r="E1099" t="str">
        <f>"FES1162745616"</f>
        <v>FES1162745616</v>
      </c>
      <c r="F1099" s="1">
        <v>43950</v>
      </c>
      <c r="G1099">
        <v>202010</v>
      </c>
      <c r="H1099" t="s">
        <v>64</v>
      </c>
      <c r="I1099" t="s">
        <v>65</v>
      </c>
      <c r="J1099" t="s">
        <v>66</v>
      </c>
      <c r="K1099" t="s">
        <v>67</v>
      </c>
      <c r="L1099" t="s">
        <v>92</v>
      </c>
      <c r="M1099" t="s">
        <v>93</v>
      </c>
      <c r="N1099" t="s">
        <v>1162</v>
      </c>
      <c r="O1099" t="s">
        <v>69</v>
      </c>
      <c r="P1099" t="str">
        <f>"2170735153                    "</f>
        <v xml:space="preserve">2170735153                    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0</v>
      </c>
      <c r="AM1099">
        <v>27.2</v>
      </c>
      <c r="AN1099">
        <v>0</v>
      </c>
      <c r="AO1099">
        <v>0</v>
      </c>
      <c r="AP1099">
        <v>0</v>
      </c>
      <c r="AQ1099">
        <v>0</v>
      </c>
      <c r="AR1099">
        <v>0</v>
      </c>
      <c r="AS1099">
        <v>0</v>
      </c>
      <c r="AT1099">
        <v>0</v>
      </c>
      <c r="AU1099">
        <v>0</v>
      </c>
      <c r="AV1099">
        <v>0</v>
      </c>
      <c r="AW1099">
        <v>0</v>
      </c>
      <c r="AX1099">
        <v>0</v>
      </c>
      <c r="AY1099">
        <v>0</v>
      </c>
      <c r="AZ1099">
        <v>0</v>
      </c>
      <c r="BA1099">
        <v>0</v>
      </c>
      <c r="BB1099">
        <v>0</v>
      </c>
      <c r="BG1099">
        <v>0</v>
      </c>
      <c r="BH1099">
        <v>1</v>
      </c>
      <c r="BI1099">
        <v>12.9</v>
      </c>
      <c r="BJ1099">
        <v>6.3</v>
      </c>
      <c r="BK1099">
        <v>13</v>
      </c>
      <c r="BL1099">
        <v>299.19</v>
      </c>
      <c r="BM1099">
        <v>44.88</v>
      </c>
      <c r="BN1099">
        <v>344.07</v>
      </c>
      <c r="BO1099">
        <v>344.07</v>
      </c>
      <c r="BQ1099" t="s">
        <v>78</v>
      </c>
      <c r="BR1099" t="s">
        <v>71</v>
      </c>
      <c r="BS1099" s="1">
        <v>43951</v>
      </c>
      <c r="BT1099" s="2">
        <v>0.47291666666666665</v>
      </c>
      <c r="BU1099" t="s">
        <v>1163</v>
      </c>
      <c r="BV1099" t="s">
        <v>74</v>
      </c>
      <c r="BW1099" t="s">
        <v>96</v>
      </c>
      <c r="BX1099" t="s">
        <v>97</v>
      </c>
      <c r="BY1099">
        <v>31259.96</v>
      </c>
      <c r="CA1099" t="s">
        <v>331</v>
      </c>
      <c r="CC1099" t="s">
        <v>93</v>
      </c>
      <c r="CD1099">
        <v>7405</v>
      </c>
      <c r="CE1099" t="s">
        <v>91</v>
      </c>
      <c r="CI1099">
        <v>1</v>
      </c>
      <c r="CJ1099">
        <v>1</v>
      </c>
      <c r="CK1099">
        <v>21</v>
      </c>
      <c r="CL1099" t="s">
        <v>74</v>
      </c>
    </row>
    <row r="1100" spans="1:90" x14ac:dyDescent="0.25">
      <c r="A1100" t="s">
        <v>61</v>
      </c>
      <c r="B1100" t="s">
        <v>62</v>
      </c>
      <c r="C1100" t="s">
        <v>63</v>
      </c>
      <c r="E1100" t="str">
        <f>"FES1162745641"</f>
        <v>FES1162745641</v>
      </c>
      <c r="F1100" s="1">
        <v>43950</v>
      </c>
      <c r="G1100">
        <v>202010</v>
      </c>
      <c r="H1100" t="s">
        <v>64</v>
      </c>
      <c r="I1100" t="s">
        <v>65</v>
      </c>
      <c r="J1100" t="s">
        <v>66</v>
      </c>
      <c r="K1100" t="s">
        <v>67</v>
      </c>
      <c r="L1100" t="s">
        <v>64</v>
      </c>
      <c r="M1100" t="s">
        <v>65</v>
      </c>
      <c r="N1100" t="s">
        <v>191</v>
      </c>
      <c r="O1100" t="s">
        <v>69</v>
      </c>
      <c r="P1100" t="str">
        <f>"2170735875                    "</f>
        <v xml:space="preserve">2170735875                    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0</v>
      </c>
      <c r="AI1100">
        <v>0</v>
      </c>
      <c r="AJ1100">
        <v>0</v>
      </c>
      <c r="AK1100">
        <v>0</v>
      </c>
      <c r="AL1100">
        <v>0</v>
      </c>
      <c r="AM1100">
        <v>3.27</v>
      </c>
      <c r="AN1100">
        <v>0</v>
      </c>
      <c r="AO1100">
        <v>0</v>
      </c>
      <c r="AP1100">
        <v>0</v>
      </c>
      <c r="AQ1100">
        <v>0</v>
      </c>
      <c r="AR1100">
        <v>0</v>
      </c>
      <c r="AS1100">
        <v>0</v>
      </c>
      <c r="AT1100">
        <v>0</v>
      </c>
      <c r="AU1100">
        <v>0</v>
      </c>
      <c r="AV1100">
        <v>0</v>
      </c>
      <c r="AW1100">
        <v>0</v>
      </c>
      <c r="AX1100">
        <v>0</v>
      </c>
      <c r="AY1100">
        <v>0</v>
      </c>
      <c r="AZ1100">
        <v>0</v>
      </c>
      <c r="BA1100">
        <v>0</v>
      </c>
      <c r="BB1100">
        <v>0</v>
      </c>
      <c r="BG1100">
        <v>0</v>
      </c>
      <c r="BH1100">
        <v>1</v>
      </c>
      <c r="BI1100">
        <v>1</v>
      </c>
      <c r="BJ1100">
        <v>0.2</v>
      </c>
      <c r="BK1100">
        <v>1</v>
      </c>
      <c r="BL1100">
        <v>35.979999999999997</v>
      </c>
      <c r="BM1100">
        <v>5.4</v>
      </c>
      <c r="BN1100">
        <v>41.38</v>
      </c>
      <c r="BO1100">
        <v>41.38</v>
      </c>
      <c r="BQ1100" t="s">
        <v>70</v>
      </c>
      <c r="BR1100" t="s">
        <v>71</v>
      </c>
      <c r="BS1100" t="s">
        <v>72</v>
      </c>
      <c r="BY1100">
        <v>1200</v>
      </c>
      <c r="CC1100" t="s">
        <v>65</v>
      </c>
      <c r="CD1100">
        <v>1601</v>
      </c>
      <c r="CE1100" t="s">
        <v>73</v>
      </c>
      <c r="CI1100">
        <v>1</v>
      </c>
      <c r="CJ1100" t="s">
        <v>72</v>
      </c>
      <c r="CK1100">
        <v>22</v>
      </c>
      <c r="CL1100" t="s">
        <v>74</v>
      </c>
    </row>
    <row r="1101" spans="1:90" x14ac:dyDescent="0.25">
      <c r="A1101" t="s">
        <v>61</v>
      </c>
      <c r="B1101" t="s">
        <v>62</v>
      </c>
      <c r="C1101" t="s">
        <v>63</v>
      </c>
      <c r="E1101" t="str">
        <f>"FES1162745579"</f>
        <v>FES1162745579</v>
      </c>
      <c r="F1101" s="1">
        <v>43950</v>
      </c>
      <c r="G1101">
        <v>202010</v>
      </c>
      <c r="H1101" t="s">
        <v>64</v>
      </c>
      <c r="I1101" t="s">
        <v>65</v>
      </c>
      <c r="J1101" t="s">
        <v>66</v>
      </c>
      <c r="K1101" t="s">
        <v>67</v>
      </c>
      <c r="L1101" t="s">
        <v>75</v>
      </c>
      <c r="M1101" t="s">
        <v>76</v>
      </c>
      <c r="N1101" t="s">
        <v>1164</v>
      </c>
      <c r="O1101" t="s">
        <v>69</v>
      </c>
      <c r="P1101" t="str">
        <f>"2170735950                    "</f>
        <v xml:space="preserve">2170735950                    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0</v>
      </c>
      <c r="AM1101">
        <v>3.27</v>
      </c>
      <c r="AN1101">
        <v>0</v>
      </c>
      <c r="AO1101">
        <v>0</v>
      </c>
      <c r="AP1101">
        <v>0</v>
      </c>
      <c r="AQ1101">
        <v>0</v>
      </c>
      <c r="AR1101">
        <v>0</v>
      </c>
      <c r="AS1101">
        <v>0</v>
      </c>
      <c r="AT1101">
        <v>0</v>
      </c>
      <c r="AU1101">
        <v>0</v>
      </c>
      <c r="AV1101">
        <v>0</v>
      </c>
      <c r="AW1101">
        <v>0</v>
      </c>
      <c r="AX1101">
        <v>0</v>
      </c>
      <c r="AY1101">
        <v>0</v>
      </c>
      <c r="AZ1101">
        <v>0</v>
      </c>
      <c r="BA1101">
        <v>0</v>
      </c>
      <c r="BB1101">
        <v>0</v>
      </c>
      <c r="BG1101">
        <v>0</v>
      </c>
      <c r="BH1101">
        <v>1</v>
      </c>
      <c r="BI1101">
        <v>1</v>
      </c>
      <c r="BJ1101">
        <v>0.2</v>
      </c>
      <c r="BK1101">
        <v>1</v>
      </c>
      <c r="BL1101">
        <v>35.979999999999997</v>
      </c>
      <c r="BM1101">
        <v>5.4</v>
      </c>
      <c r="BN1101">
        <v>41.38</v>
      </c>
      <c r="BO1101">
        <v>41.38</v>
      </c>
      <c r="BQ1101" t="s">
        <v>78</v>
      </c>
      <c r="BR1101" t="s">
        <v>71</v>
      </c>
      <c r="BS1101" s="1">
        <v>43951</v>
      </c>
      <c r="BT1101" s="2">
        <v>0.41666666666666669</v>
      </c>
      <c r="BU1101" t="s">
        <v>582</v>
      </c>
      <c r="BV1101" t="s">
        <v>80</v>
      </c>
      <c r="BY1101">
        <v>1200</v>
      </c>
      <c r="CC1101" t="s">
        <v>76</v>
      </c>
      <c r="CD1101">
        <v>1459</v>
      </c>
      <c r="CE1101" t="s">
        <v>73</v>
      </c>
      <c r="CI1101">
        <v>1</v>
      </c>
      <c r="CJ1101">
        <v>1</v>
      </c>
      <c r="CK1101">
        <v>22</v>
      </c>
      <c r="CL1101" t="s">
        <v>74</v>
      </c>
    </row>
    <row r="1102" spans="1:90" x14ac:dyDescent="0.25">
      <c r="A1102" t="s">
        <v>61</v>
      </c>
      <c r="B1102" t="s">
        <v>62</v>
      </c>
      <c r="C1102" t="s">
        <v>63</v>
      </c>
      <c r="E1102" t="str">
        <f>"FES1162745655"</f>
        <v>FES1162745655</v>
      </c>
      <c r="F1102" s="1">
        <v>43950</v>
      </c>
      <c r="G1102">
        <v>202010</v>
      </c>
      <c r="H1102" t="s">
        <v>64</v>
      </c>
      <c r="I1102" t="s">
        <v>65</v>
      </c>
      <c r="J1102" t="s">
        <v>66</v>
      </c>
      <c r="K1102" t="s">
        <v>67</v>
      </c>
      <c r="L1102" t="s">
        <v>75</v>
      </c>
      <c r="M1102" t="s">
        <v>76</v>
      </c>
      <c r="N1102" t="s">
        <v>1164</v>
      </c>
      <c r="O1102" t="s">
        <v>69</v>
      </c>
      <c r="P1102" t="str">
        <f>"2170736742                    "</f>
        <v xml:space="preserve">2170736742                    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0</v>
      </c>
      <c r="AM1102">
        <v>3.27</v>
      </c>
      <c r="AN1102">
        <v>0</v>
      </c>
      <c r="AO1102">
        <v>0</v>
      </c>
      <c r="AP1102">
        <v>0</v>
      </c>
      <c r="AQ1102">
        <v>0</v>
      </c>
      <c r="AR1102">
        <v>0</v>
      </c>
      <c r="AS1102">
        <v>0</v>
      </c>
      <c r="AT1102">
        <v>0</v>
      </c>
      <c r="AU1102">
        <v>0</v>
      </c>
      <c r="AV1102">
        <v>0</v>
      </c>
      <c r="AW1102">
        <v>0</v>
      </c>
      <c r="AX1102">
        <v>0</v>
      </c>
      <c r="AY1102">
        <v>0</v>
      </c>
      <c r="AZ1102">
        <v>0</v>
      </c>
      <c r="BA1102">
        <v>0</v>
      </c>
      <c r="BB1102">
        <v>0</v>
      </c>
      <c r="BG1102">
        <v>0</v>
      </c>
      <c r="BH1102">
        <v>1</v>
      </c>
      <c r="BI1102">
        <v>1</v>
      </c>
      <c r="BJ1102">
        <v>0.2</v>
      </c>
      <c r="BK1102">
        <v>1</v>
      </c>
      <c r="BL1102">
        <v>35.979999999999997</v>
      </c>
      <c r="BM1102">
        <v>5.4</v>
      </c>
      <c r="BN1102">
        <v>41.38</v>
      </c>
      <c r="BO1102">
        <v>41.38</v>
      </c>
      <c r="BQ1102" t="s">
        <v>78</v>
      </c>
      <c r="BR1102" t="s">
        <v>71</v>
      </c>
      <c r="BS1102" s="1">
        <v>43951</v>
      </c>
      <c r="BT1102" s="2">
        <v>0.39583333333333331</v>
      </c>
      <c r="BU1102" t="s">
        <v>582</v>
      </c>
      <c r="BV1102" t="s">
        <v>80</v>
      </c>
      <c r="BY1102">
        <v>1200</v>
      </c>
      <c r="CC1102" t="s">
        <v>76</v>
      </c>
      <c r="CD1102">
        <v>1459</v>
      </c>
      <c r="CE1102" t="s">
        <v>73</v>
      </c>
      <c r="CI1102">
        <v>1</v>
      </c>
      <c r="CJ1102">
        <v>1</v>
      </c>
      <c r="CK1102">
        <v>22</v>
      </c>
      <c r="CL1102" t="s">
        <v>74</v>
      </c>
    </row>
    <row r="1103" spans="1:90" x14ac:dyDescent="0.25">
      <c r="A1103" t="s">
        <v>61</v>
      </c>
      <c r="B1103" t="s">
        <v>62</v>
      </c>
      <c r="C1103" t="s">
        <v>63</v>
      </c>
      <c r="E1103" t="str">
        <f>"FES1162745574"</f>
        <v>FES1162745574</v>
      </c>
      <c r="F1103" s="1">
        <v>43950</v>
      </c>
      <c r="G1103">
        <v>202010</v>
      </c>
      <c r="H1103" t="s">
        <v>64</v>
      </c>
      <c r="I1103" t="s">
        <v>65</v>
      </c>
      <c r="J1103" t="s">
        <v>66</v>
      </c>
      <c r="K1103" t="s">
        <v>67</v>
      </c>
      <c r="L1103" t="s">
        <v>92</v>
      </c>
      <c r="M1103" t="s">
        <v>93</v>
      </c>
      <c r="N1103" t="s">
        <v>363</v>
      </c>
      <c r="O1103" t="s">
        <v>69</v>
      </c>
      <c r="P1103" t="str">
        <f>"2170736616                    "</f>
        <v xml:space="preserve">2170736616                    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0</v>
      </c>
      <c r="AM1103">
        <v>4.1900000000000004</v>
      </c>
      <c r="AN1103">
        <v>0</v>
      </c>
      <c r="AO1103">
        <v>0</v>
      </c>
      <c r="AP1103">
        <v>0</v>
      </c>
      <c r="AQ1103">
        <v>0</v>
      </c>
      <c r="AR1103">
        <v>0</v>
      </c>
      <c r="AS1103">
        <v>0</v>
      </c>
      <c r="AT1103">
        <v>0</v>
      </c>
      <c r="AU1103">
        <v>0</v>
      </c>
      <c r="AV1103">
        <v>0</v>
      </c>
      <c r="AW1103">
        <v>0</v>
      </c>
      <c r="AX1103">
        <v>0</v>
      </c>
      <c r="AY1103">
        <v>0</v>
      </c>
      <c r="AZ1103">
        <v>0</v>
      </c>
      <c r="BA1103">
        <v>0</v>
      </c>
      <c r="BB1103">
        <v>0</v>
      </c>
      <c r="BG1103">
        <v>0</v>
      </c>
      <c r="BH1103">
        <v>1</v>
      </c>
      <c r="BI1103">
        <v>1.7</v>
      </c>
      <c r="BJ1103">
        <v>0.9</v>
      </c>
      <c r="BK1103">
        <v>2</v>
      </c>
      <c r="BL1103">
        <v>46.06</v>
      </c>
      <c r="BM1103">
        <v>6.91</v>
      </c>
      <c r="BN1103">
        <v>52.97</v>
      </c>
      <c r="BO1103">
        <v>52.97</v>
      </c>
      <c r="BQ1103" t="s">
        <v>78</v>
      </c>
      <c r="BR1103" t="s">
        <v>71</v>
      </c>
      <c r="BS1103" s="1">
        <v>43951</v>
      </c>
      <c r="BT1103" s="2">
        <v>0.35486111111111113</v>
      </c>
      <c r="BU1103" t="s">
        <v>1165</v>
      </c>
      <c r="BV1103" t="s">
        <v>80</v>
      </c>
      <c r="BY1103">
        <v>4744.8100000000004</v>
      </c>
      <c r="CA1103" t="s">
        <v>143</v>
      </c>
      <c r="CC1103" t="s">
        <v>93</v>
      </c>
      <c r="CD1103">
        <v>7500</v>
      </c>
      <c r="CE1103" t="s">
        <v>91</v>
      </c>
      <c r="CI1103">
        <v>1</v>
      </c>
      <c r="CJ1103">
        <v>1</v>
      </c>
      <c r="CK1103">
        <v>21</v>
      </c>
      <c r="CL1103" t="s">
        <v>74</v>
      </c>
    </row>
    <row r="1104" spans="1:90" x14ac:dyDescent="0.25">
      <c r="A1104" t="s">
        <v>61</v>
      </c>
      <c r="B1104" t="s">
        <v>62</v>
      </c>
      <c r="C1104" t="s">
        <v>63</v>
      </c>
      <c r="E1104" t="str">
        <f>"FES1162745648"</f>
        <v>FES1162745648</v>
      </c>
      <c r="F1104" s="1">
        <v>43950</v>
      </c>
      <c r="G1104">
        <v>202010</v>
      </c>
      <c r="H1104" t="s">
        <v>64</v>
      </c>
      <c r="I1104" t="s">
        <v>65</v>
      </c>
      <c r="J1104" t="s">
        <v>66</v>
      </c>
      <c r="K1104" t="s">
        <v>67</v>
      </c>
      <c r="L1104" t="s">
        <v>406</v>
      </c>
      <c r="M1104" t="s">
        <v>407</v>
      </c>
      <c r="N1104" t="s">
        <v>921</v>
      </c>
      <c r="O1104" t="s">
        <v>69</v>
      </c>
      <c r="P1104" t="str">
        <f>"2170736410                    "</f>
        <v xml:space="preserve">2170736410                    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3.27</v>
      </c>
      <c r="AN1104">
        <v>0</v>
      </c>
      <c r="AO1104">
        <v>0</v>
      </c>
      <c r="AP1104">
        <v>0</v>
      </c>
      <c r="AQ1104">
        <v>0</v>
      </c>
      <c r="AR1104">
        <v>0</v>
      </c>
      <c r="AS1104">
        <v>0</v>
      </c>
      <c r="AT1104">
        <v>0</v>
      </c>
      <c r="AU1104">
        <v>0</v>
      </c>
      <c r="AV1104">
        <v>0</v>
      </c>
      <c r="AW1104">
        <v>0</v>
      </c>
      <c r="AX1104">
        <v>0</v>
      </c>
      <c r="AY1104">
        <v>0</v>
      </c>
      <c r="AZ1104">
        <v>0</v>
      </c>
      <c r="BA1104">
        <v>0</v>
      </c>
      <c r="BB1104">
        <v>0</v>
      </c>
      <c r="BG1104">
        <v>0</v>
      </c>
      <c r="BH1104">
        <v>1</v>
      </c>
      <c r="BI1104">
        <v>1</v>
      </c>
      <c r="BJ1104">
        <v>0.2</v>
      </c>
      <c r="BK1104">
        <v>1</v>
      </c>
      <c r="BL1104">
        <v>35.979999999999997</v>
      </c>
      <c r="BM1104">
        <v>5.4</v>
      </c>
      <c r="BN1104">
        <v>41.38</v>
      </c>
      <c r="BO1104">
        <v>41.38</v>
      </c>
      <c r="BQ1104" t="s">
        <v>268</v>
      </c>
      <c r="BR1104" t="s">
        <v>71</v>
      </c>
      <c r="BS1104" s="1">
        <v>43951</v>
      </c>
      <c r="BT1104" s="2">
        <v>0.33333333333333331</v>
      </c>
      <c r="BU1104" t="s">
        <v>977</v>
      </c>
      <c r="BV1104" t="s">
        <v>80</v>
      </c>
      <c r="BY1104">
        <v>1200</v>
      </c>
      <c r="CC1104" t="s">
        <v>407</v>
      </c>
      <c r="CD1104">
        <v>2162</v>
      </c>
      <c r="CE1104" t="s">
        <v>73</v>
      </c>
      <c r="CI1104">
        <v>1</v>
      </c>
      <c r="CJ1104">
        <v>1</v>
      </c>
      <c r="CK1104">
        <v>22</v>
      </c>
      <c r="CL1104" t="s">
        <v>74</v>
      </c>
    </row>
    <row r="1105" spans="1:90" x14ac:dyDescent="0.25">
      <c r="A1105" t="s">
        <v>61</v>
      </c>
      <c r="B1105" t="s">
        <v>62</v>
      </c>
      <c r="C1105" t="s">
        <v>63</v>
      </c>
      <c r="E1105" t="str">
        <f>"FES1162745116"</f>
        <v>FES1162745116</v>
      </c>
      <c r="F1105" s="1">
        <v>43951</v>
      </c>
      <c r="G1105">
        <v>202010</v>
      </c>
      <c r="H1105" t="s">
        <v>64</v>
      </c>
      <c r="I1105" t="s">
        <v>65</v>
      </c>
      <c r="J1105" t="s">
        <v>66</v>
      </c>
      <c r="K1105" t="s">
        <v>67</v>
      </c>
      <c r="L1105" t="s">
        <v>75</v>
      </c>
      <c r="M1105" t="s">
        <v>76</v>
      </c>
      <c r="N1105" t="s">
        <v>357</v>
      </c>
      <c r="O1105" t="s">
        <v>69</v>
      </c>
      <c r="P1105" t="str">
        <f>"2170736319                    "</f>
        <v xml:space="preserve">2170736319                    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0</v>
      </c>
      <c r="AM1105">
        <v>6.41</v>
      </c>
      <c r="AN1105">
        <v>0</v>
      </c>
      <c r="AO1105">
        <v>0</v>
      </c>
      <c r="AP1105">
        <v>0</v>
      </c>
      <c r="AQ1105">
        <v>0</v>
      </c>
      <c r="AR1105">
        <v>0</v>
      </c>
      <c r="AS1105">
        <v>0</v>
      </c>
      <c r="AT1105">
        <v>0</v>
      </c>
      <c r="AU1105">
        <v>0</v>
      </c>
      <c r="AV1105">
        <v>0</v>
      </c>
      <c r="AW1105">
        <v>0</v>
      </c>
      <c r="AX1105">
        <v>0</v>
      </c>
      <c r="AY1105">
        <v>0</v>
      </c>
      <c r="AZ1105">
        <v>0</v>
      </c>
      <c r="BA1105">
        <v>0</v>
      </c>
      <c r="BB1105">
        <v>0</v>
      </c>
      <c r="BG1105">
        <v>0</v>
      </c>
      <c r="BH1105">
        <v>1</v>
      </c>
      <c r="BI1105">
        <v>5.7</v>
      </c>
      <c r="BJ1105">
        <v>2.9</v>
      </c>
      <c r="BK1105">
        <v>6</v>
      </c>
      <c r="BL1105">
        <v>70.48</v>
      </c>
      <c r="BM1105">
        <v>10.57</v>
      </c>
      <c r="BN1105">
        <v>81.05</v>
      </c>
      <c r="BO1105">
        <v>81.05</v>
      </c>
      <c r="BQ1105" t="s">
        <v>70</v>
      </c>
      <c r="BR1105" t="s">
        <v>71</v>
      </c>
      <c r="BS1105" t="s">
        <v>72</v>
      </c>
      <c r="BY1105">
        <v>14626.81</v>
      </c>
      <c r="CC1105" t="s">
        <v>76</v>
      </c>
      <c r="CD1105">
        <v>1459</v>
      </c>
      <c r="CE1105" t="s">
        <v>91</v>
      </c>
      <c r="CI1105">
        <v>1</v>
      </c>
      <c r="CJ1105" t="s">
        <v>72</v>
      </c>
      <c r="CK1105">
        <v>22</v>
      </c>
      <c r="CL1105" t="s">
        <v>74</v>
      </c>
    </row>
    <row r="1106" spans="1:90" x14ac:dyDescent="0.25">
      <c r="A1106" t="s">
        <v>61</v>
      </c>
      <c r="B1106" t="s">
        <v>62</v>
      </c>
      <c r="C1106" t="s">
        <v>63</v>
      </c>
      <c r="E1106" t="str">
        <f>"FES1162745742"</f>
        <v>FES1162745742</v>
      </c>
      <c r="F1106" s="1">
        <v>43951</v>
      </c>
      <c r="G1106">
        <v>202010</v>
      </c>
      <c r="H1106" t="s">
        <v>64</v>
      </c>
      <c r="I1106" t="s">
        <v>65</v>
      </c>
      <c r="J1106" t="s">
        <v>66</v>
      </c>
      <c r="K1106" t="s">
        <v>67</v>
      </c>
      <c r="L1106" t="s">
        <v>75</v>
      </c>
      <c r="M1106" t="s">
        <v>76</v>
      </c>
      <c r="N1106" t="s">
        <v>357</v>
      </c>
      <c r="O1106" t="s">
        <v>69</v>
      </c>
      <c r="P1106" t="str">
        <f>"2170736832                    "</f>
        <v xml:space="preserve">2170736832                    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0</v>
      </c>
      <c r="AM1106">
        <v>3.27</v>
      </c>
      <c r="AN1106">
        <v>0</v>
      </c>
      <c r="AO1106">
        <v>0</v>
      </c>
      <c r="AP1106">
        <v>0</v>
      </c>
      <c r="AQ1106">
        <v>0</v>
      </c>
      <c r="AR1106">
        <v>0</v>
      </c>
      <c r="AS1106">
        <v>0</v>
      </c>
      <c r="AT1106">
        <v>0</v>
      </c>
      <c r="AU1106">
        <v>0</v>
      </c>
      <c r="AV1106">
        <v>0</v>
      </c>
      <c r="AW1106">
        <v>0</v>
      </c>
      <c r="AX1106">
        <v>0</v>
      </c>
      <c r="AY1106">
        <v>0</v>
      </c>
      <c r="AZ1106">
        <v>0</v>
      </c>
      <c r="BA1106">
        <v>0</v>
      </c>
      <c r="BB1106">
        <v>0</v>
      </c>
      <c r="BG1106">
        <v>0</v>
      </c>
      <c r="BH1106">
        <v>1</v>
      </c>
      <c r="BI1106">
        <v>1</v>
      </c>
      <c r="BJ1106">
        <v>0.2</v>
      </c>
      <c r="BK1106">
        <v>1</v>
      </c>
      <c r="BL1106">
        <v>35.979999999999997</v>
      </c>
      <c r="BM1106">
        <v>5.4</v>
      </c>
      <c r="BN1106">
        <v>41.38</v>
      </c>
      <c r="BO1106">
        <v>41.38</v>
      </c>
      <c r="BQ1106" t="s">
        <v>70</v>
      </c>
      <c r="BR1106" t="s">
        <v>71</v>
      </c>
      <c r="BS1106" t="s">
        <v>72</v>
      </c>
      <c r="BY1106">
        <v>1200</v>
      </c>
      <c r="CC1106" t="s">
        <v>76</v>
      </c>
      <c r="CD1106">
        <v>1459</v>
      </c>
      <c r="CE1106" t="s">
        <v>73</v>
      </c>
      <c r="CI1106">
        <v>1</v>
      </c>
      <c r="CJ1106" t="s">
        <v>72</v>
      </c>
      <c r="CK1106">
        <v>22</v>
      </c>
      <c r="CL1106" t="s">
        <v>74</v>
      </c>
    </row>
    <row r="1107" spans="1:90" x14ac:dyDescent="0.25">
      <c r="A1107" t="s">
        <v>61</v>
      </c>
      <c r="B1107" t="s">
        <v>62</v>
      </c>
      <c r="C1107" t="s">
        <v>63</v>
      </c>
      <c r="E1107" t="str">
        <f>"FES1162745715"</f>
        <v>FES1162745715</v>
      </c>
      <c r="F1107" s="1">
        <v>43951</v>
      </c>
      <c r="G1107">
        <v>202010</v>
      </c>
      <c r="H1107" t="s">
        <v>64</v>
      </c>
      <c r="I1107" t="s">
        <v>65</v>
      </c>
      <c r="J1107" t="s">
        <v>66</v>
      </c>
      <c r="K1107" t="s">
        <v>67</v>
      </c>
      <c r="L1107" t="s">
        <v>99</v>
      </c>
      <c r="M1107" t="s">
        <v>100</v>
      </c>
      <c r="N1107" t="s">
        <v>512</v>
      </c>
      <c r="O1107" t="s">
        <v>69</v>
      </c>
      <c r="P1107" t="str">
        <f>"2170736782                    "</f>
        <v xml:space="preserve">2170736782                    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0</v>
      </c>
      <c r="AM1107">
        <v>8.11</v>
      </c>
      <c r="AN1107">
        <v>0</v>
      </c>
      <c r="AO1107">
        <v>0</v>
      </c>
      <c r="AP1107">
        <v>0</v>
      </c>
      <c r="AQ1107">
        <v>0</v>
      </c>
      <c r="AR1107">
        <v>0</v>
      </c>
      <c r="AS1107">
        <v>0</v>
      </c>
      <c r="AT1107">
        <v>0</v>
      </c>
      <c r="AU1107">
        <v>0</v>
      </c>
      <c r="AV1107">
        <v>0</v>
      </c>
      <c r="AW1107">
        <v>0</v>
      </c>
      <c r="AX1107">
        <v>0</v>
      </c>
      <c r="AY1107">
        <v>0</v>
      </c>
      <c r="AZ1107">
        <v>0</v>
      </c>
      <c r="BA1107">
        <v>0</v>
      </c>
      <c r="BB1107">
        <v>0</v>
      </c>
      <c r="BG1107">
        <v>0</v>
      </c>
      <c r="BH1107">
        <v>1</v>
      </c>
      <c r="BI1107">
        <v>1</v>
      </c>
      <c r="BJ1107">
        <v>0.2</v>
      </c>
      <c r="BK1107">
        <v>1</v>
      </c>
      <c r="BL1107">
        <v>89.23</v>
      </c>
      <c r="BM1107">
        <v>13.38</v>
      </c>
      <c r="BN1107">
        <v>102.61</v>
      </c>
      <c r="BO1107">
        <v>102.61</v>
      </c>
      <c r="BQ1107" t="s">
        <v>268</v>
      </c>
      <c r="BR1107" t="s">
        <v>71</v>
      </c>
      <c r="BS1107" t="s">
        <v>72</v>
      </c>
      <c r="BY1107">
        <v>1200</v>
      </c>
      <c r="CC1107" t="s">
        <v>100</v>
      </c>
      <c r="CD1107">
        <v>6850</v>
      </c>
      <c r="CE1107" t="s">
        <v>73</v>
      </c>
      <c r="CI1107">
        <v>3</v>
      </c>
      <c r="CJ1107" t="s">
        <v>72</v>
      </c>
      <c r="CK1107">
        <v>23</v>
      </c>
      <c r="CL1107" t="s">
        <v>74</v>
      </c>
    </row>
    <row r="1108" spans="1:90" x14ac:dyDescent="0.25">
      <c r="A1108" t="s">
        <v>61</v>
      </c>
      <c r="B1108" t="s">
        <v>62</v>
      </c>
      <c r="C1108" t="s">
        <v>63</v>
      </c>
      <c r="E1108" t="str">
        <f>"FES1162745717"</f>
        <v>FES1162745717</v>
      </c>
      <c r="F1108" s="1">
        <v>43951</v>
      </c>
      <c r="G1108">
        <v>202010</v>
      </c>
      <c r="H1108" t="s">
        <v>64</v>
      </c>
      <c r="I1108" t="s">
        <v>65</v>
      </c>
      <c r="J1108" t="s">
        <v>66</v>
      </c>
      <c r="K1108" t="s">
        <v>67</v>
      </c>
      <c r="L1108" t="s">
        <v>602</v>
      </c>
      <c r="M1108" t="s">
        <v>603</v>
      </c>
      <c r="N1108" t="s">
        <v>712</v>
      </c>
      <c r="O1108" t="s">
        <v>69</v>
      </c>
      <c r="P1108" t="str">
        <f>"2170736802                    "</f>
        <v xml:space="preserve">2170736802                    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3.27</v>
      </c>
      <c r="AN1108">
        <v>0</v>
      </c>
      <c r="AO1108">
        <v>0</v>
      </c>
      <c r="AP1108">
        <v>0</v>
      </c>
      <c r="AQ1108">
        <v>0</v>
      </c>
      <c r="AR1108">
        <v>0</v>
      </c>
      <c r="AS1108">
        <v>0</v>
      </c>
      <c r="AT1108">
        <v>0</v>
      </c>
      <c r="AU1108">
        <v>0</v>
      </c>
      <c r="AV1108">
        <v>0</v>
      </c>
      <c r="AW1108">
        <v>0</v>
      </c>
      <c r="AX1108">
        <v>0</v>
      </c>
      <c r="AY1108">
        <v>0</v>
      </c>
      <c r="AZ1108">
        <v>0</v>
      </c>
      <c r="BA1108">
        <v>0</v>
      </c>
      <c r="BB1108">
        <v>0</v>
      </c>
      <c r="BG1108">
        <v>0</v>
      </c>
      <c r="BH1108">
        <v>1</v>
      </c>
      <c r="BI1108">
        <v>1</v>
      </c>
      <c r="BJ1108">
        <v>0.2</v>
      </c>
      <c r="BK1108">
        <v>1</v>
      </c>
      <c r="BL1108">
        <v>35.979999999999997</v>
      </c>
      <c r="BM1108">
        <v>5.4</v>
      </c>
      <c r="BN1108">
        <v>41.38</v>
      </c>
      <c r="BO1108">
        <v>41.38</v>
      </c>
      <c r="BQ1108" t="s">
        <v>70</v>
      </c>
      <c r="BR1108" t="s">
        <v>71</v>
      </c>
      <c r="BS1108" t="s">
        <v>72</v>
      </c>
      <c r="BY1108">
        <v>1200</v>
      </c>
      <c r="CC1108" t="s">
        <v>603</v>
      </c>
      <c r="CD1108">
        <v>1501</v>
      </c>
      <c r="CE1108" t="s">
        <v>73</v>
      </c>
      <c r="CI1108">
        <v>1</v>
      </c>
      <c r="CJ1108" t="s">
        <v>72</v>
      </c>
      <c r="CK1108">
        <v>22</v>
      </c>
      <c r="CL1108" t="s">
        <v>74</v>
      </c>
    </row>
    <row r="1109" spans="1:90" x14ac:dyDescent="0.25">
      <c r="A1109" t="s">
        <v>61</v>
      </c>
      <c r="B1109" t="s">
        <v>62</v>
      </c>
      <c r="C1109" t="s">
        <v>63</v>
      </c>
      <c r="E1109" t="str">
        <f>"RFES1162744246"</f>
        <v>RFES1162744246</v>
      </c>
      <c r="F1109" s="1">
        <v>43951</v>
      </c>
      <c r="G1109">
        <v>202010</v>
      </c>
      <c r="H1109" t="s">
        <v>64</v>
      </c>
      <c r="I1109" t="s">
        <v>65</v>
      </c>
      <c r="J1109" t="s">
        <v>812</v>
      </c>
      <c r="K1109" t="s">
        <v>67</v>
      </c>
      <c r="L1109" t="s">
        <v>64</v>
      </c>
      <c r="M1109" t="s">
        <v>65</v>
      </c>
      <c r="N1109" t="s">
        <v>66</v>
      </c>
      <c r="O1109" t="s">
        <v>69</v>
      </c>
      <c r="P1109" t="str">
        <f>"2170735415 CLIENT             "</f>
        <v xml:space="preserve">2170735415 CLIENT             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0</v>
      </c>
      <c r="AM1109">
        <v>3.27</v>
      </c>
      <c r="AN1109">
        <v>0</v>
      </c>
      <c r="AO1109">
        <v>0</v>
      </c>
      <c r="AP1109">
        <v>0</v>
      </c>
      <c r="AQ1109">
        <v>0</v>
      </c>
      <c r="AR1109">
        <v>0</v>
      </c>
      <c r="AS1109">
        <v>0</v>
      </c>
      <c r="AT1109">
        <v>0</v>
      </c>
      <c r="AU1109">
        <v>0</v>
      </c>
      <c r="AV1109">
        <v>0</v>
      </c>
      <c r="AW1109">
        <v>0</v>
      </c>
      <c r="AX1109">
        <v>0</v>
      </c>
      <c r="AY1109">
        <v>0</v>
      </c>
      <c r="AZ1109">
        <v>0</v>
      </c>
      <c r="BA1109">
        <v>0</v>
      </c>
      <c r="BB1109">
        <v>0</v>
      </c>
      <c r="BG1109">
        <v>0</v>
      </c>
      <c r="BH1109">
        <v>1</v>
      </c>
      <c r="BI1109">
        <v>1</v>
      </c>
      <c r="BJ1109">
        <v>1</v>
      </c>
      <c r="BK1109">
        <v>1</v>
      </c>
      <c r="BL1109">
        <v>35.979999999999997</v>
      </c>
      <c r="BM1109">
        <v>5.4</v>
      </c>
      <c r="BN1109">
        <v>41.38</v>
      </c>
      <c r="BO1109">
        <v>41.38</v>
      </c>
      <c r="BQ1109" t="s">
        <v>71</v>
      </c>
      <c r="BR1109" t="s">
        <v>70</v>
      </c>
      <c r="BS1109" t="s">
        <v>72</v>
      </c>
      <c r="BY1109">
        <v>4802.63</v>
      </c>
      <c r="CC1109" t="s">
        <v>65</v>
      </c>
      <c r="CD1109">
        <v>1601</v>
      </c>
      <c r="CE1109" t="s">
        <v>91</v>
      </c>
      <c r="CI1109">
        <v>1</v>
      </c>
      <c r="CJ1109" t="s">
        <v>72</v>
      </c>
      <c r="CK1109">
        <v>22</v>
      </c>
      <c r="CL1109" t="s">
        <v>74</v>
      </c>
    </row>
    <row r="1110" spans="1:90" x14ac:dyDescent="0.25">
      <c r="A1110" t="s">
        <v>61</v>
      </c>
      <c r="B1110" t="s">
        <v>62</v>
      </c>
      <c r="C1110" t="s">
        <v>63</v>
      </c>
      <c r="E1110" t="str">
        <f>"FES1162745766"</f>
        <v>FES1162745766</v>
      </c>
      <c r="F1110" s="1">
        <v>43951</v>
      </c>
      <c r="G1110">
        <v>202010</v>
      </c>
      <c r="H1110" t="s">
        <v>64</v>
      </c>
      <c r="I1110" t="s">
        <v>65</v>
      </c>
      <c r="J1110" t="s">
        <v>66</v>
      </c>
      <c r="K1110" t="s">
        <v>67</v>
      </c>
      <c r="L1110" t="s">
        <v>64</v>
      </c>
      <c r="M1110" t="s">
        <v>65</v>
      </c>
      <c r="N1110" t="s">
        <v>219</v>
      </c>
      <c r="O1110" t="s">
        <v>69</v>
      </c>
      <c r="P1110" t="str">
        <f>"2170736565                    "</f>
        <v xml:space="preserve">2170736565                    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3.27</v>
      </c>
      <c r="AN1110">
        <v>0</v>
      </c>
      <c r="AO1110">
        <v>0</v>
      </c>
      <c r="AP1110">
        <v>0</v>
      </c>
      <c r="AQ1110">
        <v>0</v>
      </c>
      <c r="AR1110">
        <v>0</v>
      </c>
      <c r="AS1110">
        <v>0</v>
      </c>
      <c r="AT1110">
        <v>0</v>
      </c>
      <c r="AU1110">
        <v>0</v>
      </c>
      <c r="AV1110">
        <v>0</v>
      </c>
      <c r="AW1110">
        <v>0</v>
      </c>
      <c r="AX1110">
        <v>0</v>
      </c>
      <c r="AY1110">
        <v>0</v>
      </c>
      <c r="AZ1110">
        <v>0</v>
      </c>
      <c r="BA1110">
        <v>0</v>
      </c>
      <c r="BB1110">
        <v>0</v>
      </c>
      <c r="BG1110">
        <v>0</v>
      </c>
      <c r="BH1110">
        <v>1</v>
      </c>
      <c r="BI1110">
        <v>1.8</v>
      </c>
      <c r="BJ1110">
        <v>0.7</v>
      </c>
      <c r="BK1110">
        <v>2</v>
      </c>
      <c r="BL1110">
        <v>35.979999999999997</v>
      </c>
      <c r="BM1110">
        <v>5.4</v>
      </c>
      <c r="BN1110">
        <v>41.38</v>
      </c>
      <c r="BO1110">
        <v>41.38</v>
      </c>
      <c r="BQ1110" t="s">
        <v>78</v>
      </c>
      <c r="BR1110" t="s">
        <v>71</v>
      </c>
      <c r="BS1110" t="s">
        <v>72</v>
      </c>
      <c r="BY1110">
        <v>3616.08</v>
      </c>
      <c r="CC1110" t="s">
        <v>65</v>
      </c>
      <c r="CD1110">
        <v>1601</v>
      </c>
      <c r="CE1110" t="s">
        <v>91</v>
      </c>
      <c r="CI1110">
        <v>1</v>
      </c>
      <c r="CJ1110" t="s">
        <v>72</v>
      </c>
      <c r="CK1110">
        <v>22</v>
      </c>
      <c r="CL1110" t="s">
        <v>74</v>
      </c>
    </row>
    <row r="1111" spans="1:90" x14ac:dyDescent="0.25">
      <c r="A1111" t="s">
        <v>61</v>
      </c>
      <c r="B1111" t="s">
        <v>62</v>
      </c>
      <c r="C1111" t="s">
        <v>63</v>
      </c>
      <c r="E1111" t="str">
        <f>"FES1162745748"</f>
        <v>FES1162745748</v>
      </c>
      <c r="F1111" s="1">
        <v>43951</v>
      </c>
      <c r="G1111">
        <v>202010</v>
      </c>
      <c r="H1111" t="s">
        <v>64</v>
      </c>
      <c r="I1111" t="s">
        <v>65</v>
      </c>
      <c r="J1111" t="s">
        <v>66</v>
      </c>
      <c r="K1111" t="s">
        <v>67</v>
      </c>
      <c r="L1111" t="s">
        <v>64</v>
      </c>
      <c r="M1111" t="s">
        <v>65</v>
      </c>
      <c r="N1111" t="s">
        <v>782</v>
      </c>
      <c r="O1111" t="s">
        <v>69</v>
      </c>
      <c r="P1111" t="str">
        <f>"2170734915                    "</f>
        <v xml:space="preserve">2170734915                    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3.27</v>
      </c>
      <c r="AN1111">
        <v>0</v>
      </c>
      <c r="AO1111">
        <v>0</v>
      </c>
      <c r="AP1111">
        <v>0</v>
      </c>
      <c r="AQ1111">
        <v>0</v>
      </c>
      <c r="AR1111">
        <v>0</v>
      </c>
      <c r="AS1111">
        <v>0</v>
      </c>
      <c r="AT1111">
        <v>0</v>
      </c>
      <c r="AU1111">
        <v>0</v>
      </c>
      <c r="AV1111">
        <v>0</v>
      </c>
      <c r="AW1111">
        <v>0</v>
      </c>
      <c r="AX1111">
        <v>0</v>
      </c>
      <c r="AY1111">
        <v>0</v>
      </c>
      <c r="AZ1111">
        <v>0</v>
      </c>
      <c r="BA1111">
        <v>0</v>
      </c>
      <c r="BB1111">
        <v>0</v>
      </c>
      <c r="BG1111">
        <v>0</v>
      </c>
      <c r="BH1111">
        <v>1</v>
      </c>
      <c r="BI1111">
        <v>1</v>
      </c>
      <c r="BJ1111">
        <v>0.2</v>
      </c>
      <c r="BK1111">
        <v>1</v>
      </c>
      <c r="BL1111">
        <v>35.979999999999997</v>
      </c>
      <c r="BM1111">
        <v>5.4</v>
      </c>
      <c r="BN1111">
        <v>41.38</v>
      </c>
      <c r="BO1111">
        <v>41.38</v>
      </c>
      <c r="BQ1111" t="s">
        <v>783</v>
      </c>
      <c r="BR1111" t="s">
        <v>71</v>
      </c>
      <c r="BS1111" t="s">
        <v>72</v>
      </c>
      <c r="BY1111">
        <v>1200</v>
      </c>
      <c r="CC1111" t="s">
        <v>65</v>
      </c>
      <c r="CD1111">
        <v>1601</v>
      </c>
      <c r="CE1111" t="s">
        <v>73</v>
      </c>
      <c r="CI1111">
        <v>1</v>
      </c>
      <c r="CJ1111" t="s">
        <v>72</v>
      </c>
      <c r="CK1111">
        <v>22</v>
      </c>
      <c r="CL1111" t="s">
        <v>74</v>
      </c>
    </row>
    <row r="1112" spans="1:90" x14ac:dyDescent="0.25">
      <c r="A1112" t="s">
        <v>61</v>
      </c>
      <c r="B1112" t="s">
        <v>62</v>
      </c>
      <c r="C1112" t="s">
        <v>63</v>
      </c>
      <c r="E1112" t="str">
        <f>"FES1162745791"</f>
        <v>FES1162745791</v>
      </c>
      <c r="F1112" s="1">
        <v>43951</v>
      </c>
      <c r="G1112">
        <v>202010</v>
      </c>
      <c r="H1112" t="s">
        <v>64</v>
      </c>
      <c r="I1112" t="s">
        <v>65</v>
      </c>
      <c r="J1112" t="s">
        <v>66</v>
      </c>
      <c r="K1112" t="s">
        <v>67</v>
      </c>
      <c r="L1112" t="s">
        <v>146</v>
      </c>
      <c r="M1112" t="s">
        <v>147</v>
      </c>
      <c r="N1112" t="s">
        <v>341</v>
      </c>
      <c r="O1112" t="s">
        <v>69</v>
      </c>
      <c r="P1112" t="str">
        <f>"2170736873                    "</f>
        <v xml:space="preserve">2170736873                    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4.1900000000000004</v>
      </c>
      <c r="AN1112">
        <v>0</v>
      </c>
      <c r="AO1112">
        <v>0</v>
      </c>
      <c r="AP1112">
        <v>0</v>
      </c>
      <c r="AQ1112">
        <v>0</v>
      </c>
      <c r="AR1112">
        <v>0</v>
      </c>
      <c r="AS1112">
        <v>0</v>
      </c>
      <c r="AT1112">
        <v>0</v>
      </c>
      <c r="AU1112">
        <v>0</v>
      </c>
      <c r="AV1112">
        <v>0</v>
      </c>
      <c r="AW1112">
        <v>0</v>
      </c>
      <c r="AX1112">
        <v>0</v>
      </c>
      <c r="AY1112">
        <v>0</v>
      </c>
      <c r="AZ1112">
        <v>0</v>
      </c>
      <c r="BA1112">
        <v>0</v>
      </c>
      <c r="BB1112">
        <v>0</v>
      </c>
      <c r="BG1112">
        <v>0</v>
      </c>
      <c r="BH1112">
        <v>1</v>
      </c>
      <c r="BI1112">
        <v>0.6</v>
      </c>
      <c r="BJ1112">
        <v>1.5</v>
      </c>
      <c r="BK1112">
        <v>1.5</v>
      </c>
      <c r="BL1112">
        <v>46.06</v>
      </c>
      <c r="BM1112">
        <v>6.91</v>
      </c>
      <c r="BN1112">
        <v>52.97</v>
      </c>
      <c r="BO1112">
        <v>52.97</v>
      </c>
      <c r="BQ1112" t="s">
        <v>1166</v>
      </c>
      <c r="BR1112" t="s">
        <v>71</v>
      </c>
      <c r="BS1112" t="s">
        <v>72</v>
      </c>
      <c r="BY1112">
        <v>7547.68</v>
      </c>
      <c r="CC1112" t="s">
        <v>147</v>
      </c>
      <c r="CD1112">
        <v>6045</v>
      </c>
      <c r="CE1112" t="s">
        <v>91</v>
      </c>
      <c r="CI1112">
        <v>1</v>
      </c>
      <c r="CJ1112" t="s">
        <v>72</v>
      </c>
      <c r="CK1112">
        <v>21</v>
      </c>
      <c r="CL1112" t="s">
        <v>74</v>
      </c>
    </row>
    <row r="1113" spans="1:90" x14ac:dyDescent="0.25">
      <c r="A1113" t="s">
        <v>61</v>
      </c>
      <c r="B1113" t="s">
        <v>62</v>
      </c>
      <c r="C1113" t="s">
        <v>63</v>
      </c>
      <c r="E1113" t="str">
        <f>"FES1162745790"</f>
        <v>FES1162745790</v>
      </c>
      <c r="F1113" s="1">
        <v>43951</v>
      </c>
      <c r="G1113">
        <v>202010</v>
      </c>
      <c r="H1113" t="s">
        <v>64</v>
      </c>
      <c r="I1113" t="s">
        <v>65</v>
      </c>
      <c r="J1113" t="s">
        <v>66</v>
      </c>
      <c r="K1113" t="s">
        <v>67</v>
      </c>
      <c r="L1113" t="s">
        <v>120</v>
      </c>
      <c r="M1113" t="s">
        <v>121</v>
      </c>
      <c r="N1113" t="s">
        <v>1073</v>
      </c>
      <c r="O1113" t="s">
        <v>69</v>
      </c>
      <c r="P1113" t="str">
        <f>"2170736871                    "</f>
        <v xml:space="preserve">2170736871                    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4.1900000000000004</v>
      </c>
      <c r="AN1113">
        <v>0</v>
      </c>
      <c r="AO1113">
        <v>0</v>
      </c>
      <c r="AP1113">
        <v>0</v>
      </c>
      <c r="AQ1113">
        <v>0</v>
      </c>
      <c r="AR1113">
        <v>0</v>
      </c>
      <c r="AS1113">
        <v>0</v>
      </c>
      <c r="AT1113">
        <v>0</v>
      </c>
      <c r="AU1113">
        <v>0</v>
      </c>
      <c r="AV1113">
        <v>0</v>
      </c>
      <c r="AW1113">
        <v>0</v>
      </c>
      <c r="AX1113">
        <v>0</v>
      </c>
      <c r="AY1113">
        <v>0</v>
      </c>
      <c r="AZ1113">
        <v>0</v>
      </c>
      <c r="BA1113">
        <v>0</v>
      </c>
      <c r="BB1113">
        <v>0</v>
      </c>
      <c r="BG1113">
        <v>0</v>
      </c>
      <c r="BH1113">
        <v>1</v>
      </c>
      <c r="BI1113">
        <v>0.7</v>
      </c>
      <c r="BJ1113">
        <v>1.5</v>
      </c>
      <c r="BK1113">
        <v>1.5</v>
      </c>
      <c r="BL1113">
        <v>46.06</v>
      </c>
      <c r="BM1113">
        <v>6.91</v>
      </c>
      <c r="BN1113">
        <v>52.97</v>
      </c>
      <c r="BO1113">
        <v>52.97</v>
      </c>
      <c r="BQ1113" t="s">
        <v>1167</v>
      </c>
      <c r="BR1113" t="s">
        <v>71</v>
      </c>
      <c r="BS1113" t="s">
        <v>72</v>
      </c>
      <c r="BY1113">
        <v>7467.46</v>
      </c>
      <c r="CC1113" t="s">
        <v>121</v>
      </c>
      <c r="CD1113">
        <v>4051</v>
      </c>
      <c r="CE1113" t="s">
        <v>91</v>
      </c>
      <c r="CI1113">
        <v>1</v>
      </c>
      <c r="CJ1113" t="s">
        <v>72</v>
      </c>
      <c r="CK1113">
        <v>21</v>
      </c>
      <c r="CL1113" t="s">
        <v>74</v>
      </c>
    </row>
    <row r="1114" spans="1:90" x14ac:dyDescent="0.25">
      <c r="A1114" t="s">
        <v>61</v>
      </c>
      <c r="B1114" t="s">
        <v>62</v>
      </c>
      <c r="C1114" t="s">
        <v>63</v>
      </c>
      <c r="E1114" t="str">
        <f>"FES1162745761"</f>
        <v>FES1162745761</v>
      </c>
      <c r="F1114" s="1">
        <v>43951</v>
      </c>
      <c r="G1114">
        <v>202010</v>
      </c>
      <c r="H1114" t="s">
        <v>64</v>
      </c>
      <c r="I1114" t="s">
        <v>65</v>
      </c>
      <c r="J1114" t="s">
        <v>66</v>
      </c>
      <c r="K1114" t="s">
        <v>67</v>
      </c>
      <c r="L1114" t="s">
        <v>151</v>
      </c>
      <c r="M1114" t="s">
        <v>152</v>
      </c>
      <c r="N1114" t="s">
        <v>1020</v>
      </c>
      <c r="O1114" t="s">
        <v>69</v>
      </c>
      <c r="P1114" t="str">
        <f>"2170733896                    "</f>
        <v xml:space="preserve">2170733896                    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4.1900000000000004</v>
      </c>
      <c r="AN1114">
        <v>0</v>
      </c>
      <c r="AO1114">
        <v>0</v>
      </c>
      <c r="AP1114">
        <v>0</v>
      </c>
      <c r="AQ1114">
        <v>0</v>
      </c>
      <c r="AR1114">
        <v>0</v>
      </c>
      <c r="AS1114">
        <v>0</v>
      </c>
      <c r="AT1114">
        <v>0</v>
      </c>
      <c r="AU1114">
        <v>0</v>
      </c>
      <c r="AV1114">
        <v>0</v>
      </c>
      <c r="AW1114">
        <v>0</v>
      </c>
      <c r="AX1114">
        <v>0</v>
      </c>
      <c r="AY1114">
        <v>0</v>
      </c>
      <c r="AZ1114">
        <v>0</v>
      </c>
      <c r="BA1114">
        <v>0</v>
      </c>
      <c r="BB1114">
        <v>0</v>
      </c>
      <c r="BG1114">
        <v>0</v>
      </c>
      <c r="BH1114">
        <v>1</v>
      </c>
      <c r="BI1114">
        <v>1</v>
      </c>
      <c r="BJ1114">
        <v>0.2</v>
      </c>
      <c r="BK1114">
        <v>1</v>
      </c>
      <c r="BL1114">
        <v>46.06</v>
      </c>
      <c r="BM1114">
        <v>6.91</v>
      </c>
      <c r="BN1114">
        <v>52.97</v>
      </c>
      <c r="BO1114">
        <v>52.97</v>
      </c>
      <c r="BQ1114" t="s">
        <v>70</v>
      </c>
      <c r="BR1114" t="s">
        <v>71</v>
      </c>
      <c r="BS1114" t="s">
        <v>72</v>
      </c>
      <c r="BY1114">
        <v>1200</v>
      </c>
      <c r="CC1114" t="s">
        <v>152</v>
      </c>
      <c r="CD1114">
        <v>3200</v>
      </c>
      <c r="CE1114" t="s">
        <v>73</v>
      </c>
      <c r="CI1114">
        <v>1</v>
      </c>
      <c r="CJ1114" t="s">
        <v>72</v>
      </c>
      <c r="CK1114">
        <v>21</v>
      </c>
      <c r="CL1114" t="s">
        <v>74</v>
      </c>
    </row>
    <row r="1115" spans="1:90" x14ac:dyDescent="0.25">
      <c r="A1115" t="s">
        <v>61</v>
      </c>
      <c r="B1115" t="s">
        <v>62</v>
      </c>
      <c r="C1115" t="s">
        <v>63</v>
      </c>
      <c r="E1115" t="str">
        <f>"FES1162745719"</f>
        <v>FES1162745719</v>
      </c>
      <c r="F1115" s="1">
        <v>43951</v>
      </c>
      <c r="G1115">
        <v>202010</v>
      </c>
      <c r="H1115" t="s">
        <v>64</v>
      </c>
      <c r="I1115" t="s">
        <v>65</v>
      </c>
      <c r="J1115" t="s">
        <v>66</v>
      </c>
      <c r="K1115" t="s">
        <v>67</v>
      </c>
      <c r="L1115" t="s">
        <v>133</v>
      </c>
      <c r="M1115" t="s">
        <v>134</v>
      </c>
      <c r="N1115" t="s">
        <v>135</v>
      </c>
      <c r="O1115" t="s">
        <v>69</v>
      </c>
      <c r="P1115" t="str">
        <f>"2170736804                    "</f>
        <v xml:space="preserve">2170736804                    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9.94</v>
      </c>
      <c r="AN1115">
        <v>0</v>
      </c>
      <c r="AO1115">
        <v>0</v>
      </c>
      <c r="AP1115">
        <v>0</v>
      </c>
      <c r="AQ1115">
        <v>0</v>
      </c>
      <c r="AR1115">
        <v>0</v>
      </c>
      <c r="AS1115">
        <v>0</v>
      </c>
      <c r="AT1115">
        <v>0</v>
      </c>
      <c r="AU1115">
        <v>0</v>
      </c>
      <c r="AV1115">
        <v>0</v>
      </c>
      <c r="AW1115">
        <v>0</v>
      </c>
      <c r="AX1115">
        <v>0</v>
      </c>
      <c r="AY1115">
        <v>0</v>
      </c>
      <c r="AZ1115">
        <v>0</v>
      </c>
      <c r="BA1115">
        <v>0</v>
      </c>
      <c r="BB1115">
        <v>0</v>
      </c>
      <c r="BG1115">
        <v>0</v>
      </c>
      <c r="BH1115">
        <v>1</v>
      </c>
      <c r="BI1115">
        <v>1.1000000000000001</v>
      </c>
      <c r="BJ1115">
        <v>2.5</v>
      </c>
      <c r="BK1115">
        <v>2.5</v>
      </c>
      <c r="BL1115">
        <v>109.38</v>
      </c>
      <c r="BM1115">
        <v>16.41</v>
      </c>
      <c r="BN1115">
        <v>125.79</v>
      </c>
      <c r="BO1115">
        <v>125.79</v>
      </c>
      <c r="BQ1115" t="s">
        <v>70</v>
      </c>
      <c r="BR1115" t="s">
        <v>71</v>
      </c>
      <c r="BS1115" t="s">
        <v>72</v>
      </c>
      <c r="BY1115">
        <v>12567</v>
      </c>
      <c r="CC1115" t="s">
        <v>134</v>
      </c>
      <c r="CD1115">
        <v>4450</v>
      </c>
      <c r="CE1115" t="s">
        <v>91</v>
      </c>
      <c r="CI1115">
        <v>1</v>
      </c>
      <c r="CJ1115" t="s">
        <v>72</v>
      </c>
      <c r="CK1115">
        <v>23</v>
      </c>
      <c r="CL1115" t="s">
        <v>74</v>
      </c>
    </row>
    <row r="1116" spans="1:90" x14ac:dyDescent="0.25">
      <c r="A1116" t="s">
        <v>61</v>
      </c>
      <c r="B1116" t="s">
        <v>62</v>
      </c>
      <c r="C1116" t="s">
        <v>63</v>
      </c>
      <c r="E1116" t="str">
        <f>"FES1162745738"</f>
        <v>FES1162745738</v>
      </c>
      <c r="F1116" s="1">
        <v>43951</v>
      </c>
      <c r="G1116">
        <v>202010</v>
      </c>
      <c r="H1116" t="s">
        <v>64</v>
      </c>
      <c r="I1116" t="s">
        <v>65</v>
      </c>
      <c r="J1116" t="s">
        <v>66</v>
      </c>
      <c r="K1116" t="s">
        <v>67</v>
      </c>
      <c r="L1116" t="s">
        <v>225</v>
      </c>
      <c r="M1116" t="s">
        <v>226</v>
      </c>
      <c r="N1116" t="s">
        <v>620</v>
      </c>
      <c r="O1116" t="s">
        <v>69</v>
      </c>
      <c r="P1116" t="str">
        <f>"2170736834                    "</f>
        <v xml:space="preserve">2170736834                    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0</v>
      </c>
      <c r="AM1116">
        <v>13.61</v>
      </c>
      <c r="AN1116">
        <v>0</v>
      </c>
      <c r="AO1116">
        <v>0</v>
      </c>
      <c r="AP1116">
        <v>0</v>
      </c>
      <c r="AQ1116">
        <v>0</v>
      </c>
      <c r="AR1116">
        <v>0</v>
      </c>
      <c r="AS1116">
        <v>0</v>
      </c>
      <c r="AT1116">
        <v>0</v>
      </c>
      <c r="AU1116">
        <v>0</v>
      </c>
      <c r="AV1116">
        <v>0</v>
      </c>
      <c r="AW1116">
        <v>0</v>
      </c>
      <c r="AX1116">
        <v>0</v>
      </c>
      <c r="AY1116">
        <v>0</v>
      </c>
      <c r="AZ1116">
        <v>0</v>
      </c>
      <c r="BA1116">
        <v>0</v>
      </c>
      <c r="BB1116">
        <v>0</v>
      </c>
      <c r="BG1116">
        <v>0</v>
      </c>
      <c r="BH1116">
        <v>1</v>
      </c>
      <c r="BI1116">
        <v>1.5</v>
      </c>
      <c r="BJ1116">
        <v>3.2</v>
      </c>
      <c r="BK1116">
        <v>3.5</v>
      </c>
      <c r="BL1116">
        <v>149.69</v>
      </c>
      <c r="BM1116">
        <v>22.45</v>
      </c>
      <c r="BN1116">
        <v>172.14</v>
      </c>
      <c r="BO1116">
        <v>172.14</v>
      </c>
      <c r="BQ1116" t="s">
        <v>78</v>
      </c>
      <c r="BR1116" t="s">
        <v>71</v>
      </c>
      <c r="BS1116" t="s">
        <v>72</v>
      </c>
      <c r="BY1116">
        <v>15916.97</v>
      </c>
      <c r="CC1116" t="s">
        <v>226</v>
      </c>
      <c r="CD1116">
        <v>1947</v>
      </c>
      <c r="CE1116" t="s">
        <v>91</v>
      </c>
      <c r="CI1116">
        <v>1</v>
      </c>
      <c r="CJ1116" t="s">
        <v>72</v>
      </c>
      <c r="CK1116">
        <v>23</v>
      </c>
      <c r="CL1116" t="s">
        <v>74</v>
      </c>
    </row>
    <row r="1117" spans="1:90" x14ac:dyDescent="0.25">
      <c r="A1117" t="s">
        <v>61</v>
      </c>
      <c r="B1117" t="s">
        <v>62</v>
      </c>
      <c r="C1117" t="s">
        <v>63</v>
      </c>
      <c r="E1117" t="str">
        <f>"FES1162745591"</f>
        <v>FES1162745591</v>
      </c>
      <c r="F1117" s="1">
        <v>43950</v>
      </c>
      <c r="G1117">
        <v>202010</v>
      </c>
      <c r="H1117" t="s">
        <v>64</v>
      </c>
      <c r="I1117" t="s">
        <v>65</v>
      </c>
      <c r="J1117" t="s">
        <v>66</v>
      </c>
      <c r="K1117" t="s">
        <v>67</v>
      </c>
      <c r="L1117" t="s">
        <v>64</v>
      </c>
      <c r="M1117" t="s">
        <v>65</v>
      </c>
      <c r="N1117" t="s">
        <v>1156</v>
      </c>
      <c r="O1117" t="s">
        <v>230</v>
      </c>
      <c r="P1117" t="str">
        <f>"2170736701                    "</f>
        <v xml:space="preserve">2170736701                    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0</v>
      </c>
      <c r="AM1117">
        <v>10.029999999999999</v>
      </c>
      <c r="AN1117">
        <v>0</v>
      </c>
      <c r="AO1117">
        <v>0</v>
      </c>
      <c r="AP1117">
        <v>0</v>
      </c>
      <c r="AQ1117">
        <v>0</v>
      </c>
      <c r="AR1117">
        <v>0</v>
      </c>
      <c r="AS1117">
        <v>0</v>
      </c>
      <c r="AT1117">
        <v>0</v>
      </c>
      <c r="AU1117">
        <v>0</v>
      </c>
      <c r="AV1117">
        <v>0</v>
      </c>
      <c r="AW1117">
        <v>0</v>
      </c>
      <c r="AX1117">
        <v>0</v>
      </c>
      <c r="AY1117">
        <v>0</v>
      </c>
      <c r="AZ1117">
        <v>0</v>
      </c>
      <c r="BA1117">
        <v>0</v>
      </c>
      <c r="BB1117">
        <v>0</v>
      </c>
      <c r="BG1117">
        <v>0</v>
      </c>
      <c r="BH1117">
        <v>2</v>
      </c>
      <c r="BI1117">
        <v>23</v>
      </c>
      <c r="BJ1117">
        <v>35.700000000000003</v>
      </c>
      <c r="BK1117">
        <v>36</v>
      </c>
      <c r="BL1117">
        <v>115.28</v>
      </c>
      <c r="BM1117">
        <v>17.29</v>
      </c>
      <c r="BN1117">
        <v>132.57</v>
      </c>
      <c r="BO1117">
        <v>132.57</v>
      </c>
      <c r="BQ1117" t="s">
        <v>78</v>
      </c>
      <c r="BR1117" t="s">
        <v>71</v>
      </c>
      <c r="BS1117" t="s">
        <v>72</v>
      </c>
      <c r="BY1117">
        <v>178463.95</v>
      </c>
      <c r="CC1117" t="s">
        <v>65</v>
      </c>
      <c r="CD1117">
        <v>1600</v>
      </c>
      <c r="CE1117" t="s">
        <v>381</v>
      </c>
      <c r="CI1117">
        <v>1</v>
      </c>
      <c r="CJ1117" t="s">
        <v>72</v>
      </c>
      <c r="CK1117" t="s">
        <v>584</v>
      </c>
      <c r="CL1117" t="s">
        <v>74</v>
      </c>
    </row>
    <row r="1118" spans="1:90" x14ac:dyDescent="0.25">
      <c r="A1118" t="s">
        <v>61</v>
      </c>
      <c r="B1118" t="s">
        <v>62</v>
      </c>
      <c r="C1118" t="s">
        <v>63</v>
      </c>
      <c r="E1118" t="str">
        <f>"009940089095"</f>
        <v>009940089095</v>
      </c>
      <c r="F1118" s="1">
        <v>43950</v>
      </c>
      <c r="G1118">
        <v>202010</v>
      </c>
      <c r="H1118" t="s">
        <v>92</v>
      </c>
      <c r="I1118" t="s">
        <v>93</v>
      </c>
      <c r="J1118" t="s">
        <v>1168</v>
      </c>
      <c r="K1118" t="s">
        <v>67</v>
      </c>
      <c r="L1118" t="s">
        <v>64</v>
      </c>
      <c r="M1118" t="s">
        <v>65</v>
      </c>
      <c r="N1118" t="s">
        <v>581</v>
      </c>
      <c r="O1118" t="s">
        <v>230</v>
      </c>
      <c r="P1118" t="str">
        <f>"NA                            "</f>
        <v xml:space="preserve">NA                            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0</v>
      </c>
      <c r="AM1118">
        <v>8.57</v>
      </c>
      <c r="AN1118">
        <v>0</v>
      </c>
      <c r="AO1118">
        <v>0</v>
      </c>
      <c r="AP1118">
        <v>0</v>
      </c>
      <c r="AQ1118">
        <v>0</v>
      </c>
      <c r="AR1118">
        <v>0</v>
      </c>
      <c r="AS1118">
        <v>0</v>
      </c>
      <c r="AT1118">
        <v>0</v>
      </c>
      <c r="AU1118">
        <v>0</v>
      </c>
      <c r="AV1118">
        <v>0</v>
      </c>
      <c r="AW1118">
        <v>0</v>
      </c>
      <c r="AX1118">
        <v>0</v>
      </c>
      <c r="AY1118">
        <v>0</v>
      </c>
      <c r="AZ1118">
        <v>0</v>
      </c>
      <c r="BA1118">
        <v>0</v>
      </c>
      <c r="BB1118">
        <v>0</v>
      </c>
      <c r="BG1118">
        <v>0</v>
      </c>
      <c r="BH1118">
        <v>1</v>
      </c>
      <c r="BI1118">
        <v>2.8</v>
      </c>
      <c r="BJ1118">
        <v>1.1000000000000001</v>
      </c>
      <c r="BK1118">
        <v>3</v>
      </c>
      <c r="BL1118">
        <v>99.28</v>
      </c>
      <c r="BM1118">
        <v>14.89</v>
      </c>
      <c r="BN1118">
        <v>114.17</v>
      </c>
      <c r="BO1118">
        <v>114.17</v>
      </c>
      <c r="BQ1118" t="s">
        <v>1169</v>
      </c>
      <c r="BR1118" t="s">
        <v>1170</v>
      </c>
      <c r="BS1118" t="s">
        <v>72</v>
      </c>
      <c r="BY1118">
        <v>5715.26</v>
      </c>
      <c r="CC1118" t="s">
        <v>65</v>
      </c>
      <c r="CD1118">
        <v>1600</v>
      </c>
      <c r="CE1118" t="s">
        <v>91</v>
      </c>
      <c r="CI1118">
        <v>2</v>
      </c>
      <c r="CJ1118" t="s">
        <v>72</v>
      </c>
      <c r="CK1118" t="s">
        <v>234</v>
      </c>
      <c r="CL1118" t="s">
        <v>74</v>
      </c>
    </row>
    <row r="1119" spans="1:90" x14ac:dyDescent="0.25">
      <c r="A1119" t="s">
        <v>61</v>
      </c>
      <c r="B1119" t="s">
        <v>62</v>
      </c>
      <c r="C1119" t="s">
        <v>63</v>
      </c>
      <c r="E1119" t="str">
        <f>"FES1162745546"</f>
        <v>FES1162745546</v>
      </c>
      <c r="F1119" s="1">
        <v>43949</v>
      </c>
      <c r="G1119">
        <v>202010</v>
      </c>
      <c r="H1119" t="s">
        <v>64</v>
      </c>
      <c r="I1119" t="s">
        <v>65</v>
      </c>
      <c r="J1119" t="s">
        <v>66</v>
      </c>
      <c r="K1119" t="s">
        <v>67</v>
      </c>
      <c r="L1119" t="s">
        <v>120</v>
      </c>
      <c r="M1119" t="s">
        <v>121</v>
      </c>
      <c r="N1119" t="s">
        <v>1073</v>
      </c>
      <c r="O1119" t="s">
        <v>230</v>
      </c>
      <c r="P1119" t="str">
        <f>"2170733368                    "</f>
        <v xml:space="preserve">2170733368                    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0</v>
      </c>
      <c r="AM1119">
        <v>9.86</v>
      </c>
      <c r="AN1119">
        <v>0</v>
      </c>
      <c r="AO1119">
        <v>0</v>
      </c>
      <c r="AP1119">
        <v>0</v>
      </c>
      <c r="AQ1119">
        <v>0</v>
      </c>
      <c r="AR1119">
        <v>0</v>
      </c>
      <c r="AS1119">
        <v>0</v>
      </c>
      <c r="AT1119">
        <v>0</v>
      </c>
      <c r="AU1119">
        <v>0</v>
      </c>
      <c r="AV1119">
        <v>0</v>
      </c>
      <c r="AW1119">
        <v>0</v>
      </c>
      <c r="AX1119">
        <v>0</v>
      </c>
      <c r="AY1119">
        <v>0</v>
      </c>
      <c r="AZ1119">
        <v>0</v>
      </c>
      <c r="BA1119">
        <v>0</v>
      </c>
      <c r="BB1119">
        <v>0</v>
      </c>
      <c r="BG1119">
        <v>0</v>
      </c>
      <c r="BH1119">
        <v>1</v>
      </c>
      <c r="BI1119">
        <v>31</v>
      </c>
      <c r="BJ1119">
        <v>20.5</v>
      </c>
      <c r="BK1119">
        <v>31</v>
      </c>
      <c r="BL1119">
        <v>113.42</v>
      </c>
      <c r="BM1119">
        <v>17.010000000000002</v>
      </c>
      <c r="BN1119">
        <v>130.43</v>
      </c>
      <c r="BO1119">
        <v>130.43</v>
      </c>
      <c r="BQ1119" t="s">
        <v>78</v>
      </c>
      <c r="BR1119" t="s">
        <v>71</v>
      </c>
      <c r="BS1119" s="1">
        <v>43950</v>
      </c>
      <c r="BT1119" s="2">
        <v>0.48888888888888887</v>
      </c>
      <c r="BU1119" t="s">
        <v>1171</v>
      </c>
      <c r="BV1119" t="s">
        <v>80</v>
      </c>
      <c r="BY1119">
        <v>102742.5</v>
      </c>
      <c r="CA1119" t="s">
        <v>956</v>
      </c>
      <c r="CC1119" t="s">
        <v>121</v>
      </c>
      <c r="CD1119">
        <v>4051</v>
      </c>
      <c r="CE1119" t="s">
        <v>91</v>
      </c>
      <c r="CF1119" s="1">
        <v>43950</v>
      </c>
      <c r="CI1119">
        <v>1</v>
      </c>
      <c r="CJ1119">
        <v>1</v>
      </c>
      <c r="CK1119" t="s">
        <v>748</v>
      </c>
      <c r="CL1119" t="s">
        <v>74</v>
      </c>
    </row>
    <row r="1120" spans="1:90" x14ac:dyDescent="0.25">
      <c r="A1120" t="s">
        <v>61</v>
      </c>
      <c r="B1120" t="s">
        <v>62</v>
      </c>
      <c r="C1120" t="s">
        <v>63</v>
      </c>
      <c r="E1120" t="str">
        <f>"FES1162745768"</f>
        <v>FES1162745768</v>
      </c>
      <c r="F1120" s="1">
        <v>43951</v>
      </c>
      <c r="G1120">
        <v>202010</v>
      </c>
      <c r="H1120" t="s">
        <v>64</v>
      </c>
      <c r="I1120" t="s">
        <v>65</v>
      </c>
      <c r="J1120" t="s">
        <v>66</v>
      </c>
      <c r="K1120" t="s">
        <v>67</v>
      </c>
      <c r="L1120" t="s">
        <v>116</v>
      </c>
      <c r="M1120" t="s">
        <v>117</v>
      </c>
      <c r="N1120" t="s">
        <v>1019</v>
      </c>
      <c r="O1120" t="s">
        <v>69</v>
      </c>
      <c r="P1120" t="str">
        <f>"2170736740                    "</f>
        <v xml:space="preserve">2170736740                    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8.11</v>
      </c>
      <c r="AN1120">
        <v>0</v>
      </c>
      <c r="AO1120">
        <v>0</v>
      </c>
      <c r="AP1120">
        <v>0</v>
      </c>
      <c r="AQ1120">
        <v>0</v>
      </c>
      <c r="AR1120">
        <v>0</v>
      </c>
      <c r="AS1120">
        <v>0</v>
      </c>
      <c r="AT1120">
        <v>0</v>
      </c>
      <c r="AU1120">
        <v>0</v>
      </c>
      <c r="AV1120">
        <v>0</v>
      </c>
      <c r="AW1120">
        <v>0</v>
      </c>
      <c r="AX1120">
        <v>0</v>
      </c>
      <c r="AY1120">
        <v>0</v>
      </c>
      <c r="AZ1120">
        <v>0</v>
      </c>
      <c r="BA1120">
        <v>0</v>
      </c>
      <c r="BB1120">
        <v>0</v>
      </c>
      <c r="BG1120">
        <v>0</v>
      </c>
      <c r="BH1120">
        <v>1</v>
      </c>
      <c r="BI1120">
        <v>1.6</v>
      </c>
      <c r="BJ1120">
        <v>1</v>
      </c>
      <c r="BK1120">
        <v>2</v>
      </c>
      <c r="BL1120">
        <v>89.23</v>
      </c>
      <c r="BM1120">
        <v>13.38</v>
      </c>
      <c r="BN1120">
        <v>102.61</v>
      </c>
      <c r="BO1120">
        <v>102.61</v>
      </c>
      <c r="BQ1120" t="s">
        <v>78</v>
      </c>
      <c r="BR1120" t="s">
        <v>71</v>
      </c>
      <c r="BS1120" t="s">
        <v>72</v>
      </c>
      <c r="BY1120">
        <v>5047.9799999999996</v>
      </c>
      <c r="CC1120" t="s">
        <v>117</v>
      </c>
      <c r="CD1120">
        <v>7300</v>
      </c>
      <c r="CE1120" t="s">
        <v>91</v>
      </c>
      <c r="CI1120">
        <v>1</v>
      </c>
      <c r="CJ1120" t="s">
        <v>72</v>
      </c>
      <c r="CK1120">
        <v>23</v>
      </c>
      <c r="CL1120" t="s">
        <v>74</v>
      </c>
    </row>
    <row r="1121" spans="1:90" x14ac:dyDescent="0.25">
      <c r="A1121" t="s">
        <v>61</v>
      </c>
      <c r="B1121" t="s">
        <v>62</v>
      </c>
      <c r="C1121" t="s">
        <v>63</v>
      </c>
      <c r="E1121" t="str">
        <f>"FES1162745767"</f>
        <v>FES1162745767</v>
      </c>
      <c r="F1121" s="1">
        <v>43951</v>
      </c>
      <c r="G1121">
        <v>202010</v>
      </c>
      <c r="H1121" t="s">
        <v>64</v>
      </c>
      <c r="I1121" t="s">
        <v>65</v>
      </c>
      <c r="J1121" t="s">
        <v>66</v>
      </c>
      <c r="K1121" t="s">
        <v>67</v>
      </c>
      <c r="L1121" t="s">
        <v>64</v>
      </c>
      <c r="M1121" t="s">
        <v>65</v>
      </c>
      <c r="N1121" t="s">
        <v>219</v>
      </c>
      <c r="O1121" t="s">
        <v>69</v>
      </c>
      <c r="P1121" t="str">
        <f>"2170736629                    "</f>
        <v xml:space="preserve">2170736629                    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0</v>
      </c>
      <c r="AM1121">
        <v>3.27</v>
      </c>
      <c r="AN1121">
        <v>0</v>
      </c>
      <c r="AO1121">
        <v>0</v>
      </c>
      <c r="AP1121">
        <v>0</v>
      </c>
      <c r="AQ1121">
        <v>0</v>
      </c>
      <c r="AR1121">
        <v>0</v>
      </c>
      <c r="AS1121">
        <v>0</v>
      </c>
      <c r="AT1121">
        <v>0</v>
      </c>
      <c r="AU1121">
        <v>0</v>
      </c>
      <c r="AV1121">
        <v>0</v>
      </c>
      <c r="AW1121">
        <v>0</v>
      </c>
      <c r="AX1121">
        <v>0</v>
      </c>
      <c r="AY1121">
        <v>0</v>
      </c>
      <c r="AZ1121">
        <v>0</v>
      </c>
      <c r="BA1121">
        <v>0</v>
      </c>
      <c r="BB1121">
        <v>0</v>
      </c>
      <c r="BG1121">
        <v>0</v>
      </c>
      <c r="BH1121">
        <v>1</v>
      </c>
      <c r="BI1121">
        <v>1.8</v>
      </c>
      <c r="BJ1121">
        <v>0.8</v>
      </c>
      <c r="BK1121">
        <v>2</v>
      </c>
      <c r="BL1121">
        <v>35.979999999999997</v>
      </c>
      <c r="BM1121">
        <v>5.4</v>
      </c>
      <c r="BN1121">
        <v>41.38</v>
      </c>
      <c r="BO1121">
        <v>41.38</v>
      </c>
      <c r="BQ1121" t="s">
        <v>78</v>
      </c>
      <c r="BR1121" t="s">
        <v>71</v>
      </c>
      <c r="BS1121" t="s">
        <v>72</v>
      </c>
      <c r="BY1121">
        <v>4228.17</v>
      </c>
      <c r="CC1121" t="s">
        <v>65</v>
      </c>
      <c r="CD1121">
        <v>1601</v>
      </c>
      <c r="CE1121" t="s">
        <v>91</v>
      </c>
      <c r="CI1121">
        <v>1</v>
      </c>
      <c r="CJ1121" t="s">
        <v>72</v>
      </c>
      <c r="CK1121">
        <v>22</v>
      </c>
      <c r="CL1121" t="s">
        <v>74</v>
      </c>
    </row>
    <row r="1122" spans="1:90" x14ac:dyDescent="0.25">
      <c r="A1122" t="s">
        <v>61</v>
      </c>
      <c r="B1122" t="s">
        <v>62</v>
      </c>
      <c r="C1122" t="s">
        <v>63</v>
      </c>
      <c r="E1122" t="str">
        <f>"FES1162745751"</f>
        <v>FES1162745751</v>
      </c>
      <c r="F1122" s="1">
        <v>43951</v>
      </c>
      <c r="G1122">
        <v>202010</v>
      </c>
      <c r="H1122" t="s">
        <v>64</v>
      </c>
      <c r="I1122" t="s">
        <v>65</v>
      </c>
      <c r="J1122" t="s">
        <v>66</v>
      </c>
      <c r="K1122" t="s">
        <v>67</v>
      </c>
      <c r="L1122" t="s">
        <v>92</v>
      </c>
      <c r="M1122" t="s">
        <v>93</v>
      </c>
      <c r="N1122" t="s">
        <v>1172</v>
      </c>
      <c r="O1122" t="s">
        <v>69</v>
      </c>
      <c r="P1122" t="str">
        <f>"2170736448                    "</f>
        <v xml:space="preserve">2170736448                    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0</v>
      </c>
      <c r="AM1122">
        <v>4.1900000000000004</v>
      </c>
      <c r="AN1122">
        <v>0</v>
      </c>
      <c r="AO1122">
        <v>0</v>
      </c>
      <c r="AP1122">
        <v>0</v>
      </c>
      <c r="AQ1122">
        <v>0</v>
      </c>
      <c r="AR1122">
        <v>0</v>
      </c>
      <c r="AS1122">
        <v>0</v>
      </c>
      <c r="AT1122">
        <v>0</v>
      </c>
      <c r="AU1122">
        <v>0</v>
      </c>
      <c r="AV1122">
        <v>0</v>
      </c>
      <c r="AW1122">
        <v>0</v>
      </c>
      <c r="AX1122">
        <v>0</v>
      </c>
      <c r="AY1122">
        <v>0</v>
      </c>
      <c r="AZ1122">
        <v>0</v>
      </c>
      <c r="BA1122">
        <v>0</v>
      </c>
      <c r="BB1122">
        <v>0</v>
      </c>
      <c r="BG1122">
        <v>0</v>
      </c>
      <c r="BH1122">
        <v>1</v>
      </c>
      <c r="BI1122">
        <v>0.6</v>
      </c>
      <c r="BJ1122">
        <v>1.5</v>
      </c>
      <c r="BK1122">
        <v>1.5</v>
      </c>
      <c r="BL1122">
        <v>46.06</v>
      </c>
      <c r="BM1122">
        <v>6.91</v>
      </c>
      <c r="BN1122">
        <v>52.97</v>
      </c>
      <c r="BO1122">
        <v>52.97</v>
      </c>
      <c r="BQ1122" t="s">
        <v>70</v>
      </c>
      <c r="BR1122" t="s">
        <v>71</v>
      </c>
      <c r="BS1122" t="s">
        <v>72</v>
      </c>
      <c r="BY1122">
        <v>7661.39</v>
      </c>
      <c r="CC1122" t="s">
        <v>93</v>
      </c>
      <c r="CD1122">
        <v>7460</v>
      </c>
      <c r="CE1122" t="s">
        <v>91</v>
      </c>
      <c r="CI1122">
        <v>1</v>
      </c>
      <c r="CJ1122" t="s">
        <v>72</v>
      </c>
      <c r="CK1122">
        <v>21</v>
      </c>
      <c r="CL1122" t="s">
        <v>74</v>
      </c>
    </row>
    <row r="1123" spans="1:90" x14ac:dyDescent="0.25">
      <c r="A1123" t="s">
        <v>61</v>
      </c>
      <c r="B1123" t="s">
        <v>62</v>
      </c>
      <c r="C1123" t="s">
        <v>63</v>
      </c>
      <c r="E1123" t="str">
        <f>"FES1162745762"</f>
        <v>FES1162745762</v>
      </c>
      <c r="F1123" s="1">
        <v>43951</v>
      </c>
      <c r="G1123">
        <v>202010</v>
      </c>
      <c r="H1123" t="s">
        <v>64</v>
      </c>
      <c r="I1123" t="s">
        <v>65</v>
      </c>
      <c r="J1123" t="s">
        <v>66</v>
      </c>
      <c r="K1123" t="s">
        <v>67</v>
      </c>
      <c r="L1123" t="s">
        <v>151</v>
      </c>
      <c r="M1123" t="s">
        <v>152</v>
      </c>
      <c r="N1123" t="s">
        <v>1020</v>
      </c>
      <c r="O1123" t="s">
        <v>69</v>
      </c>
      <c r="P1123" t="str">
        <f>"2170734600                    "</f>
        <v xml:space="preserve">2170734600                    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0</v>
      </c>
      <c r="AM1123">
        <v>4.1900000000000004</v>
      </c>
      <c r="AN1123">
        <v>0</v>
      </c>
      <c r="AO1123">
        <v>0</v>
      </c>
      <c r="AP1123">
        <v>0</v>
      </c>
      <c r="AQ1123">
        <v>0</v>
      </c>
      <c r="AR1123">
        <v>0</v>
      </c>
      <c r="AS1123">
        <v>0</v>
      </c>
      <c r="AT1123">
        <v>0</v>
      </c>
      <c r="AU1123">
        <v>0</v>
      </c>
      <c r="AV1123">
        <v>0</v>
      </c>
      <c r="AW1123">
        <v>0</v>
      </c>
      <c r="AX1123">
        <v>0</v>
      </c>
      <c r="AY1123">
        <v>0</v>
      </c>
      <c r="AZ1123">
        <v>0</v>
      </c>
      <c r="BA1123">
        <v>0</v>
      </c>
      <c r="BB1123">
        <v>0</v>
      </c>
      <c r="BG1123">
        <v>0</v>
      </c>
      <c r="BH1123">
        <v>1</v>
      </c>
      <c r="BI1123">
        <v>1</v>
      </c>
      <c r="BJ1123">
        <v>0.2</v>
      </c>
      <c r="BK1123">
        <v>1</v>
      </c>
      <c r="BL1123">
        <v>46.06</v>
      </c>
      <c r="BM1123">
        <v>6.91</v>
      </c>
      <c r="BN1123">
        <v>52.97</v>
      </c>
      <c r="BO1123">
        <v>52.97</v>
      </c>
      <c r="BQ1123" t="s">
        <v>70</v>
      </c>
      <c r="BR1123" t="s">
        <v>71</v>
      </c>
      <c r="BS1123" t="s">
        <v>72</v>
      </c>
      <c r="BY1123">
        <v>1200</v>
      </c>
      <c r="CC1123" t="s">
        <v>152</v>
      </c>
      <c r="CD1123">
        <v>3200</v>
      </c>
      <c r="CE1123" t="s">
        <v>73</v>
      </c>
      <c r="CI1123">
        <v>1</v>
      </c>
      <c r="CJ1123" t="s">
        <v>72</v>
      </c>
      <c r="CK1123">
        <v>21</v>
      </c>
      <c r="CL1123" t="s">
        <v>74</v>
      </c>
    </row>
    <row r="1124" spans="1:90" x14ac:dyDescent="0.25">
      <c r="A1124" t="s">
        <v>61</v>
      </c>
      <c r="B1124" t="s">
        <v>62</v>
      </c>
      <c r="C1124" t="s">
        <v>63</v>
      </c>
      <c r="E1124" t="str">
        <f>"FES1162745755"</f>
        <v>FES1162745755</v>
      </c>
      <c r="F1124" s="1">
        <v>43951</v>
      </c>
      <c r="G1124">
        <v>202010</v>
      </c>
      <c r="H1124" t="s">
        <v>64</v>
      </c>
      <c r="I1124" t="s">
        <v>65</v>
      </c>
      <c r="J1124" t="s">
        <v>66</v>
      </c>
      <c r="K1124" t="s">
        <v>67</v>
      </c>
      <c r="L1124" t="s">
        <v>199</v>
      </c>
      <c r="M1124" t="s">
        <v>200</v>
      </c>
      <c r="N1124" t="s">
        <v>1173</v>
      </c>
      <c r="O1124" t="s">
        <v>69</v>
      </c>
      <c r="P1124" t="str">
        <f>"2170729360                    "</f>
        <v xml:space="preserve">2170729360                    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3.27</v>
      </c>
      <c r="AN1124">
        <v>0</v>
      </c>
      <c r="AO1124">
        <v>0</v>
      </c>
      <c r="AP1124">
        <v>0</v>
      </c>
      <c r="AQ1124">
        <v>0</v>
      </c>
      <c r="AR1124">
        <v>0</v>
      </c>
      <c r="AS1124">
        <v>0</v>
      </c>
      <c r="AT1124">
        <v>0</v>
      </c>
      <c r="AU1124">
        <v>0</v>
      </c>
      <c r="AV1124">
        <v>0</v>
      </c>
      <c r="AW1124">
        <v>0</v>
      </c>
      <c r="AX1124">
        <v>0</v>
      </c>
      <c r="AY1124">
        <v>0</v>
      </c>
      <c r="AZ1124">
        <v>0</v>
      </c>
      <c r="BA1124">
        <v>0</v>
      </c>
      <c r="BB1124">
        <v>0</v>
      </c>
      <c r="BG1124">
        <v>0</v>
      </c>
      <c r="BH1124">
        <v>1</v>
      </c>
      <c r="BI1124">
        <v>1</v>
      </c>
      <c r="BJ1124">
        <v>0.2</v>
      </c>
      <c r="BK1124">
        <v>1</v>
      </c>
      <c r="BL1124">
        <v>35.979999999999997</v>
      </c>
      <c r="BM1124">
        <v>5.4</v>
      </c>
      <c r="BN1124">
        <v>41.38</v>
      </c>
      <c r="BO1124">
        <v>41.38</v>
      </c>
      <c r="BQ1124" t="s">
        <v>70</v>
      </c>
      <c r="BR1124" t="s">
        <v>71</v>
      </c>
      <c r="BS1124" t="s">
        <v>72</v>
      </c>
      <c r="BY1124">
        <v>1200</v>
      </c>
      <c r="CC1124" t="s">
        <v>200</v>
      </c>
      <c r="CD1124">
        <v>1559</v>
      </c>
      <c r="CE1124" t="s">
        <v>73</v>
      </c>
      <c r="CI1124">
        <v>1</v>
      </c>
      <c r="CJ1124" t="s">
        <v>72</v>
      </c>
      <c r="CK1124">
        <v>22</v>
      </c>
      <c r="CL1124" t="s">
        <v>74</v>
      </c>
    </row>
    <row r="1125" spans="1:90" x14ac:dyDescent="0.25">
      <c r="A1125" t="s">
        <v>61</v>
      </c>
      <c r="B1125" t="s">
        <v>62</v>
      </c>
      <c r="C1125" t="s">
        <v>63</v>
      </c>
      <c r="E1125" t="str">
        <f>"FES1162745752"</f>
        <v>FES1162745752</v>
      </c>
      <c r="F1125" s="1">
        <v>43951</v>
      </c>
      <c r="G1125">
        <v>202010</v>
      </c>
      <c r="H1125" t="s">
        <v>64</v>
      </c>
      <c r="I1125" t="s">
        <v>65</v>
      </c>
      <c r="J1125" t="s">
        <v>66</v>
      </c>
      <c r="K1125" t="s">
        <v>67</v>
      </c>
      <c r="L1125" t="s">
        <v>262</v>
      </c>
      <c r="M1125" t="s">
        <v>262</v>
      </c>
      <c r="N1125" t="s">
        <v>431</v>
      </c>
      <c r="O1125" t="s">
        <v>69</v>
      </c>
      <c r="P1125" t="str">
        <f>"2170736681                    "</f>
        <v xml:space="preserve">2170736681                    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0</v>
      </c>
      <c r="AM1125">
        <v>11.78</v>
      </c>
      <c r="AN1125">
        <v>0</v>
      </c>
      <c r="AO1125">
        <v>0</v>
      </c>
      <c r="AP1125">
        <v>0</v>
      </c>
      <c r="AQ1125">
        <v>0</v>
      </c>
      <c r="AR1125">
        <v>0</v>
      </c>
      <c r="AS1125">
        <v>0</v>
      </c>
      <c r="AT1125">
        <v>0</v>
      </c>
      <c r="AU1125">
        <v>0</v>
      </c>
      <c r="AV1125">
        <v>0</v>
      </c>
      <c r="AW1125">
        <v>0</v>
      </c>
      <c r="AX1125">
        <v>0</v>
      </c>
      <c r="AY1125">
        <v>0</v>
      </c>
      <c r="AZ1125">
        <v>0</v>
      </c>
      <c r="BA1125">
        <v>0</v>
      </c>
      <c r="BB1125">
        <v>0</v>
      </c>
      <c r="BG1125">
        <v>0</v>
      </c>
      <c r="BH1125">
        <v>1</v>
      </c>
      <c r="BI1125">
        <v>2.7</v>
      </c>
      <c r="BJ1125">
        <v>1</v>
      </c>
      <c r="BK1125">
        <v>3</v>
      </c>
      <c r="BL1125">
        <v>129.54</v>
      </c>
      <c r="BM1125">
        <v>19.43</v>
      </c>
      <c r="BN1125">
        <v>148.97</v>
      </c>
      <c r="BO1125">
        <v>148.97</v>
      </c>
      <c r="BQ1125" t="s">
        <v>70</v>
      </c>
      <c r="BR1125" t="s">
        <v>71</v>
      </c>
      <c r="BS1125" t="s">
        <v>72</v>
      </c>
      <c r="BY1125">
        <v>5213.82</v>
      </c>
      <c r="CC1125" t="s">
        <v>262</v>
      </c>
      <c r="CD1125">
        <v>7646</v>
      </c>
      <c r="CE1125" t="s">
        <v>91</v>
      </c>
      <c r="CI1125">
        <v>1</v>
      </c>
      <c r="CJ1125" t="s">
        <v>72</v>
      </c>
      <c r="CK1125">
        <v>23</v>
      </c>
      <c r="CL1125" t="s">
        <v>74</v>
      </c>
    </row>
    <row r="1126" spans="1:90" x14ac:dyDescent="0.25">
      <c r="A1126" t="s">
        <v>61</v>
      </c>
      <c r="B1126" t="s">
        <v>62</v>
      </c>
      <c r="C1126" t="s">
        <v>63</v>
      </c>
      <c r="E1126" t="str">
        <f>"FES1162744925"</f>
        <v>FES1162744925</v>
      </c>
      <c r="F1126" s="1">
        <v>43951</v>
      </c>
      <c r="G1126">
        <v>202010</v>
      </c>
      <c r="H1126" t="s">
        <v>64</v>
      </c>
      <c r="I1126" t="s">
        <v>65</v>
      </c>
      <c r="J1126" t="s">
        <v>66</v>
      </c>
      <c r="K1126" t="s">
        <v>67</v>
      </c>
      <c r="L1126" t="s">
        <v>92</v>
      </c>
      <c r="M1126" t="s">
        <v>93</v>
      </c>
      <c r="N1126" t="s">
        <v>1174</v>
      </c>
      <c r="O1126" t="s">
        <v>69</v>
      </c>
      <c r="P1126" t="str">
        <f>"2170735878                    "</f>
        <v xml:space="preserve">2170735878                    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0</v>
      </c>
      <c r="AM1126">
        <v>9.42</v>
      </c>
      <c r="AN1126">
        <v>0</v>
      </c>
      <c r="AO1126">
        <v>0</v>
      </c>
      <c r="AP1126">
        <v>0</v>
      </c>
      <c r="AQ1126">
        <v>0</v>
      </c>
      <c r="AR1126">
        <v>0</v>
      </c>
      <c r="AS1126">
        <v>0</v>
      </c>
      <c r="AT1126">
        <v>0</v>
      </c>
      <c r="AU1126">
        <v>0</v>
      </c>
      <c r="AV1126">
        <v>0</v>
      </c>
      <c r="AW1126">
        <v>0</v>
      </c>
      <c r="AX1126">
        <v>0</v>
      </c>
      <c r="AY1126">
        <v>0</v>
      </c>
      <c r="AZ1126">
        <v>0</v>
      </c>
      <c r="BA1126">
        <v>0</v>
      </c>
      <c r="BB1126">
        <v>0</v>
      </c>
      <c r="BG1126">
        <v>0</v>
      </c>
      <c r="BH1126">
        <v>1</v>
      </c>
      <c r="BI1126">
        <v>4.2</v>
      </c>
      <c r="BJ1126">
        <v>2.8</v>
      </c>
      <c r="BK1126">
        <v>4.5</v>
      </c>
      <c r="BL1126">
        <v>103.59</v>
      </c>
      <c r="BM1126">
        <v>15.54</v>
      </c>
      <c r="BN1126">
        <v>119.13</v>
      </c>
      <c r="BO1126">
        <v>119.13</v>
      </c>
      <c r="BQ1126" t="s">
        <v>78</v>
      </c>
      <c r="BR1126" t="s">
        <v>71</v>
      </c>
      <c r="BS1126" t="s">
        <v>72</v>
      </c>
      <c r="BY1126">
        <v>13818.02</v>
      </c>
      <c r="CC1126" t="s">
        <v>93</v>
      </c>
      <c r="CD1126">
        <v>7460</v>
      </c>
      <c r="CE1126" t="s">
        <v>91</v>
      </c>
      <c r="CI1126">
        <v>1</v>
      </c>
      <c r="CJ1126" t="s">
        <v>72</v>
      </c>
      <c r="CK1126">
        <v>21</v>
      </c>
      <c r="CL1126" t="s">
        <v>74</v>
      </c>
    </row>
    <row r="1127" spans="1:90" x14ac:dyDescent="0.25">
      <c r="A1127" t="s">
        <v>61</v>
      </c>
      <c r="B1127" t="s">
        <v>62</v>
      </c>
      <c r="C1127" t="s">
        <v>63</v>
      </c>
      <c r="E1127" t="str">
        <f>"FES1162745736"</f>
        <v>FES1162745736</v>
      </c>
      <c r="F1127" s="1">
        <v>43951</v>
      </c>
      <c r="G1127">
        <v>202010</v>
      </c>
      <c r="H1127" t="s">
        <v>64</v>
      </c>
      <c r="I1127" t="s">
        <v>65</v>
      </c>
      <c r="J1127" t="s">
        <v>66</v>
      </c>
      <c r="K1127" t="s">
        <v>67</v>
      </c>
      <c r="L1127" t="s">
        <v>368</v>
      </c>
      <c r="M1127" t="s">
        <v>369</v>
      </c>
      <c r="N1127" t="s">
        <v>1175</v>
      </c>
      <c r="O1127" t="s">
        <v>69</v>
      </c>
      <c r="P1127" t="str">
        <f>"2170736831                    "</f>
        <v xml:space="preserve">2170736831                    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3.27</v>
      </c>
      <c r="AN1127">
        <v>0</v>
      </c>
      <c r="AO1127">
        <v>0</v>
      </c>
      <c r="AP1127">
        <v>0</v>
      </c>
      <c r="AQ1127">
        <v>0</v>
      </c>
      <c r="AR1127">
        <v>0</v>
      </c>
      <c r="AS1127">
        <v>0</v>
      </c>
      <c r="AT1127">
        <v>0</v>
      </c>
      <c r="AU1127">
        <v>0</v>
      </c>
      <c r="AV1127">
        <v>0</v>
      </c>
      <c r="AW1127">
        <v>0</v>
      </c>
      <c r="AX1127">
        <v>0</v>
      </c>
      <c r="AY1127">
        <v>0</v>
      </c>
      <c r="AZ1127">
        <v>0</v>
      </c>
      <c r="BA1127">
        <v>0</v>
      </c>
      <c r="BB1127">
        <v>0</v>
      </c>
      <c r="BG1127">
        <v>0</v>
      </c>
      <c r="BH1127">
        <v>1</v>
      </c>
      <c r="BI1127">
        <v>1</v>
      </c>
      <c r="BJ1127">
        <v>0.2</v>
      </c>
      <c r="BK1127">
        <v>1</v>
      </c>
      <c r="BL1127">
        <v>35.979999999999997</v>
      </c>
      <c r="BM1127">
        <v>5.4</v>
      </c>
      <c r="BN1127">
        <v>41.38</v>
      </c>
      <c r="BO1127">
        <v>41.38</v>
      </c>
      <c r="BQ1127" t="s">
        <v>676</v>
      </c>
      <c r="BR1127" t="s">
        <v>71</v>
      </c>
      <c r="BS1127" t="s">
        <v>72</v>
      </c>
      <c r="BY1127">
        <v>1200</v>
      </c>
      <c r="CC1127" t="s">
        <v>369</v>
      </c>
      <c r="CD1127">
        <v>1401</v>
      </c>
      <c r="CE1127" t="s">
        <v>73</v>
      </c>
      <c r="CI1127">
        <v>1</v>
      </c>
      <c r="CJ1127" t="s">
        <v>72</v>
      </c>
      <c r="CK1127">
        <v>22</v>
      </c>
      <c r="CL1127" t="s">
        <v>74</v>
      </c>
    </row>
    <row r="1128" spans="1:90" x14ac:dyDescent="0.25">
      <c r="A1128" t="s">
        <v>61</v>
      </c>
      <c r="B1128" t="s">
        <v>62</v>
      </c>
      <c r="C1128" t="s">
        <v>63</v>
      </c>
      <c r="E1128" t="str">
        <f>"RFES1162745500"</f>
        <v>RFES1162745500</v>
      </c>
      <c r="F1128" s="1">
        <v>43951</v>
      </c>
      <c r="G1128">
        <v>202010</v>
      </c>
      <c r="H1128" t="s">
        <v>64</v>
      </c>
      <c r="I1128" t="s">
        <v>65</v>
      </c>
      <c r="J1128" t="s">
        <v>812</v>
      </c>
      <c r="K1128" t="s">
        <v>67</v>
      </c>
      <c r="L1128" t="s">
        <v>64</v>
      </c>
      <c r="M1128" t="s">
        <v>65</v>
      </c>
      <c r="N1128" t="s">
        <v>66</v>
      </c>
      <c r="O1128" t="s">
        <v>69</v>
      </c>
      <c r="P1128" t="str">
        <f>"2170736221                    "</f>
        <v xml:space="preserve">2170736221                    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7.19</v>
      </c>
      <c r="AN1128">
        <v>0</v>
      </c>
      <c r="AO1128">
        <v>0</v>
      </c>
      <c r="AP1128">
        <v>0</v>
      </c>
      <c r="AQ1128">
        <v>0</v>
      </c>
      <c r="AR1128">
        <v>0</v>
      </c>
      <c r="AS1128">
        <v>0</v>
      </c>
      <c r="AT1128">
        <v>0</v>
      </c>
      <c r="AU1128">
        <v>0</v>
      </c>
      <c r="AV1128">
        <v>0</v>
      </c>
      <c r="AW1128">
        <v>0</v>
      </c>
      <c r="AX1128">
        <v>0</v>
      </c>
      <c r="AY1128">
        <v>0</v>
      </c>
      <c r="AZ1128">
        <v>0</v>
      </c>
      <c r="BA1128">
        <v>0</v>
      </c>
      <c r="BB1128">
        <v>0</v>
      </c>
      <c r="BG1128">
        <v>0</v>
      </c>
      <c r="BH1128">
        <v>1</v>
      </c>
      <c r="BI1128">
        <v>3.2</v>
      </c>
      <c r="BJ1128">
        <v>6.8</v>
      </c>
      <c r="BK1128">
        <v>7</v>
      </c>
      <c r="BL1128">
        <v>79.099999999999994</v>
      </c>
      <c r="BM1128">
        <v>11.87</v>
      </c>
      <c r="BN1128">
        <v>90.97</v>
      </c>
      <c r="BO1128">
        <v>90.97</v>
      </c>
      <c r="BQ1128" t="s">
        <v>71</v>
      </c>
      <c r="BR1128" t="s">
        <v>70</v>
      </c>
      <c r="BS1128" t="s">
        <v>72</v>
      </c>
      <c r="BY1128">
        <v>34035.56</v>
      </c>
      <c r="CC1128" t="s">
        <v>65</v>
      </c>
      <c r="CD1128">
        <v>1601</v>
      </c>
      <c r="CE1128" t="s">
        <v>91</v>
      </c>
      <c r="CI1128">
        <v>1</v>
      </c>
      <c r="CJ1128" t="s">
        <v>72</v>
      </c>
      <c r="CK1128">
        <v>22</v>
      </c>
      <c r="CL1128" t="s">
        <v>74</v>
      </c>
    </row>
    <row r="1129" spans="1:90" x14ac:dyDescent="0.25">
      <c r="A1129" t="s">
        <v>61</v>
      </c>
      <c r="B1129" t="s">
        <v>62</v>
      </c>
      <c r="C1129" t="s">
        <v>63</v>
      </c>
      <c r="E1129" t="str">
        <f>"FES1162745714"</f>
        <v>FES1162745714</v>
      </c>
      <c r="F1129" s="1">
        <v>43951</v>
      </c>
      <c r="G1129">
        <v>202010</v>
      </c>
      <c r="H1129" t="s">
        <v>64</v>
      </c>
      <c r="I1129" t="s">
        <v>65</v>
      </c>
      <c r="J1129" t="s">
        <v>66</v>
      </c>
      <c r="K1129" t="s">
        <v>67</v>
      </c>
      <c r="L1129" t="s">
        <v>99</v>
      </c>
      <c r="M1129" t="s">
        <v>100</v>
      </c>
      <c r="N1129" t="s">
        <v>859</v>
      </c>
      <c r="O1129" t="s">
        <v>69</v>
      </c>
      <c r="P1129" t="str">
        <f>"2170736771                    "</f>
        <v xml:space="preserve">2170736771                    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8.11</v>
      </c>
      <c r="AN1129">
        <v>0</v>
      </c>
      <c r="AO1129">
        <v>0</v>
      </c>
      <c r="AP1129">
        <v>0</v>
      </c>
      <c r="AQ1129">
        <v>0</v>
      </c>
      <c r="AR1129">
        <v>0</v>
      </c>
      <c r="AS1129">
        <v>0</v>
      </c>
      <c r="AT1129">
        <v>0</v>
      </c>
      <c r="AU1129">
        <v>0</v>
      </c>
      <c r="AV1129">
        <v>0</v>
      </c>
      <c r="AW1129">
        <v>0</v>
      </c>
      <c r="AX1129">
        <v>0</v>
      </c>
      <c r="AY1129">
        <v>0</v>
      </c>
      <c r="AZ1129">
        <v>0</v>
      </c>
      <c r="BA1129">
        <v>0</v>
      </c>
      <c r="BB1129">
        <v>0</v>
      </c>
      <c r="BG1129">
        <v>0</v>
      </c>
      <c r="BH1129">
        <v>1</v>
      </c>
      <c r="BI1129">
        <v>1</v>
      </c>
      <c r="BJ1129">
        <v>0.2</v>
      </c>
      <c r="BK1129">
        <v>1</v>
      </c>
      <c r="BL1129">
        <v>89.23</v>
      </c>
      <c r="BM1129">
        <v>13.38</v>
      </c>
      <c r="BN1129">
        <v>102.61</v>
      </c>
      <c r="BO1129">
        <v>102.61</v>
      </c>
      <c r="BQ1129" t="s">
        <v>78</v>
      </c>
      <c r="BR1129" t="s">
        <v>71</v>
      </c>
      <c r="BS1129" t="s">
        <v>72</v>
      </c>
      <c r="BY1129">
        <v>1200</v>
      </c>
      <c r="CC1129" t="s">
        <v>100</v>
      </c>
      <c r="CD1129">
        <v>6850</v>
      </c>
      <c r="CE1129" t="s">
        <v>73</v>
      </c>
      <c r="CI1129">
        <v>3</v>
      </c>
      <c r="CJ1129" t="s">
        <v>72</v>
      </c>
      <c r="CK1129">
        <v>23</v>
      </c>
      <c r="CL1129" t="s">
        <v>74</v>
      </c>
    </row>
    <row r="1130" spans="1:90" x14ac:dyDescent="0.25">
      <c r="A1130" t="s">
        <v>61</v>
      </c>
      <c r="B1130" t="s">
        <v>62</v>
      </c>
      <c r="C1130" t="s">
        <v>63</v>
      </c>
      <c r="E1130" t="str">
        <f>"FES1162745735"</f>
        <v>FES1162745735</v>
      </c>
      <c r="F1130" s="1">
        <v>43951</v>
      </c>
      <c r="G1130">
        <v>202010</v>
      </c>
      <c r="H1130" t="s">
        <v>64</v>
      </c>
      <c r="I1130" t="s">
        <v>65</v>
      </c>
      <c r="J1130" t="s">
        <v>66</v>
      </c>
      <c r="K1130" t="s">
        <v>67</v>
      </c>
      <c r="L1130" t="s">
        <v>177</v>
      </c>
      <c r="M1130" t="s">
        <v>178</v>
      </c>
      <c r="N1130" t="s">
        <v>179</v>
      </c>
      <c r="O1130" t="s">
        <v>69</v>
      </c>
      <c r="P1130" t="str">
        <f>"2170736829                    "</f>
        <v xml:space="preserve">2170736829                    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31.38</v>
      </c>
      <c r="AN1130">
        <v>0</v>
      </c>
      <c r="AO1130">
        <v>0</v>
      </c>
      <c r="AP1130">
        <v>0</v>
      </c>
      <c r="AQ1130">
        <v>0</v>
      </c>
      <c r="AR1130">
        <v>0</v>
      </c>
      <c r="AS1130">
        <v>0</v>
      </c>
      <c r="AT1130">
        <v>0</v>
      </c>
      <c r="AU1130">
        <v>0</v>
      </c>
      <c r="AV1130">
        <v>0</v>
      </c>
      <c r="AW1130">
        <v>0</v>
      </c>
      <c r="AX1130">
        <v>0</v>
      </c>
      <c r="AY1130">
        <v>0</v>
      </c>
      <c r="AZ1130">
        <v>0</v>
      </c>
      <c r="BA1130">
        <v>0</v>
      </c>
      <c r="BB1130">
        <v>0</v>
      </c>
      <c r="BG1130">
        <v>0</v>
      </c>
      <c r="BH1130">
        <v>1</v>
      </c>
      <c r="BI1130">
        <v>14.6</v>
      </c>
      <c r="BJ1130">
        <v>6.5</v>
      </c>
      <c r="BK1130">
        <v>15</v>
      </c>
      <c r="BL1130">
        <v>345.21</v>
      </c>
      <c r="BM1130">
        <v>51.78</v>
      </c>
      <c r="BN1130">
        <v>396.99</v>
      </c>
      <c r="BO1130">
        <v>396.99</v>
      </c>
      <c r="BQ1130" t="s">
        <v>70</v>
      </c>
      <c r="BR1130" t="s">
        <v>71</v>
      </c>
      <c r="BS1130" t="s">
        <v>72</v>
      </c>
      <c r="BY1130">
        <v>32317.19</v>
      </c>
      <c r="CC1130" t="s">
        <v>178</v>
      </c>
      <c r="CD1130">
        <v>4302</v>
      </c>
      <c r="CE1130" t="s">
        <v>91</v>
      </c>
      <c r="CI1130">
        <v>1</v>
      </c>
      <c r="CJ1130" t="s">
        <v>72</v>
      </c>
      <c r="CK1130">
        <v>21</v>
      </c>
      <c r="CL1130" t="s">
        <v>74</v>
      </c>
    </row>
    <row r="1131" spans="1:90" x14ac:dyDescent="0.25">
      <c r="A1131" t="s">
        <v>61</v>
      </c>
      <c r="B1131" t="s">
        <v>62</v>
      </c>
      <c r="C1131" t="s">
        <v>63</v>
      </c>
      <c r="E1131" t="str">
        <f>"FES1162745788"</f>
        <v>FES1162745788</v>
      </c>
      <c r="F1131" s="1">
        <v>43951</v>
      </c>
      <c r="G1131">
        <v>202010</v>
      </c>
      <c r="H1131" t="s">
        <v>64</v>
      </c>
      <c r="I1131" t="s">
        <v>65</v>
      </c>
      <c r="J1131" t="s">
        <v>66</v>
      </c>
      <c r="K1131" t="s">
        <v>67</v>
      </c>
      <c r="L1131" t="s">
        <v>146</v>
      </c>
      <c r="M1131" t="s">
        <v>147</v>
      </c>
      <c r="N1131" t="s">
        <v>173</v>
      </c>
      <c r="O1131" t="s">
        <v>69</v>
      </c>
      <c r="P1131" t="str">
        <f>"2170736787                    "</f>
        <v xml:space="preserve">2170736787                    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4.1900000000000004</v>
      </c>
      <c r="AN1131">
        <v>0</v>
      </c>
      <c r="AO1131">
        <v>0</v>
      </c>
      <c r="AP1131">
        <v>0</v>
      </c>
      <c r="AQ1131">
        <v>0</v>
      </c>
      <c r="AR1131">
        <v>0</v>
      </c>
      <c r="AS1131">
        <v>0</v>
      </c>
      <c r="AT1131">
        <v>0</v>
      </c>
      <c r="AU1131">
        <v>0</v>
      </c>
      <c r="AV1131">
        <v>0</v>
      </c>
      <c r="AW1131">
        <v>0</v>
      </c>
      <c r="AX1131">
        <v>0</v>
      </c>
      <c r="AY1131">
        <v>0</v>
      </c>
      <c r="AZ1131">
        <v>0</v>
      </c>
      <c r="BA1131">
        <v>0</v>
      </c>
      <c r="BB1131">
        <v>0</v>
      </c>
      <c r="BG1131">
        <v>0</v>
      </c>
      <c r="BH1131">
        <v>1</v>
      </c>
      <c r="BI1131">
        <v>1</v>
      </c>
      <c r="BJ1131">
        <v>0.2</v>
      </c>
      <c r="BK1131">
        <v>1</v>
      </c>
      <c r="BL1131">
        <v>46.06</v>
      </c>
      <c r="BM1131">
        <v>6.91</v>
      </c>
      <c r="BN1131">
        <v>52.97</v>
      </c>
      <c r="BO1131">
        <v>52.97</v>
      </c>
      <c r="BQ1131" t="s">
        <v>70</v>
      </c>
      <c r="BR1131" t="s">
        <v>71</v>
      </c>
      <c r="BS1131" t="s">
        <v>72</v>
      </c>
      <c r="BY1131">
        <v>1200</v>
      </c>
      <c r="CC1131" t="s">
        <v>147</v>
      </c>
      <c r="CD1131">
        <v>6001</v>
      </c>
      <c r="CE1131" t="s">
        <v>73</v>
      </c>
      <c r="CI1131">
        <v>1</v>
      </c>
      <c r="CJ1131" t="s">
        <v>72</v>
      </c>
      <c r="CK1131">
        <v>21</v>
      </c>
      <c r="CL1131" t="s">
        <v>74</v>
      </c>
    </row>
    <row r="1132" spans="1:90" x14ac:dyDescent="0.25">
      <c r="A1132" t="s">
        <v>61</v>
      </c>
      <c r="B1132" t="s">
        <v>62</v>
      </c>
      <c r="C1132" t="s">
        <v>63</v>
      </c>
      <c r="E1132" t="str">
        <f>"FES1162745789"</f>
        <v>FES1162745789</v>
      </c>
      <c r="F1132" s="1">
        <v>43951</v>
      </c>
      <c r="G1132">
        <v>202010</v>
      </c>
      <c r="H1132" t="s">
        <v>64</v>
      </c>
      <c r="I1132" t="s">
        <v>65</v>
      </c>
      <c r="J1132" t="s">
        <v>66</v>
      </c>
      <c r="K1132" t="s">
        <v>67</v>
      </c>
      <c r="L1132" t="s">
        <v>92</v>
      </c>
      <c r="M1132" t="s">
        <v>93</v>
      </c>
      <c r="N1132" t="s">
        <v>1176</v>
      </c>
      <c r="O1132" t="s">
        <v>69</v>
      </c>
      <c r="P1132" t="str">
        <f>"2170736870                    "</f>
        <v xml:space="preserve">2170736870                    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4.1900000000000004</v>
      </c>
      <c r="AN1132">
        <v>0</v>
      </c>
      <c r="AO1132">
        <v>0</v>
      </c>
      <c r="AP1132">
        <v>0</v>
      </c>
      <c r="AQ1132">
        <v>0</v>
      </c>
      <c r="AR1132">
        <v>0</v>
      </c>
      <c r="AS1132">
        <v>0</v>
      </c>
      <c r="AT1132">
        <v>0</v>
      </c>
      <c r="AU1132">
        <v>0</v>
      </c>
      <c r="AV1132">
        <v>0</v>
      </c>
      <c r="AW1132">
        <v>0</v>
      </c>
      <c r="AX1132">
        <v>0</v>
      </c>
      <c r="AY1132">
        <v>0</v>
      </c>
      <c r="AZ1132">
        <v>0</v>
      </c>
      <c r="BA1132">
        <v>0</v>
      </c>
      <c r="BB1132">
        <v>0</v>
      </c>
      <c r="BG1132">
        <v>0</v>
      </c>
      <c r="BH1132">
        <v>1</v>
      </c>
      <c r="BI1132">
        <v>0.5</v>
      </c>
      <c r="BJ1132">
        <v>1.8</v>
      </c>
      <c r="BK1132">
        <v>2</v>
      </c>
      <c r="BL1132">
        <v>46.06</v>
      </c>
      <c r="BM1132">
        <v>6.91</v>
      </c>
      <c r="BN1132">
        <v>52.97</v>
      </c>
      <c r="BO1132">
        <v>52.97</v>
      </c>
      <c r="BQ1132" t="s">
        <v>1177</v>
      </c>
      <c r="BR1132" t="s">
        <v>71</v>
      </c>
      <c r="BS1132" t="s">
        <v>72</v>
      </c>
      <c r="BY1132">
        <v>8827</v>
      </c>
      <c r="CC1132" t="s">
        <v>93</v>
      </c>
      <c r="CD1132">
        <v>7405</v>
      </c>
      <c r="CE1132" t="s">
        <v>91</v>
      </c>
      <c r="CI1132">
        <v>1</v>
      </c>
      <c r="CJ1132" t="s">
        <v>72</v>
      </c>
      <c r="CK1132">
        <v>21</v>
      </c>
      <c r="CL1132" t="s">
        <v>74</v>
      </c>
    </row>
    <row r="1133" spans="1:90" x14ac:dyDescent="0.25">
      <c r="A1133" t="s">
        <v>61</v>
      </c>
      <c r="B1133" t="s">
        <v>62</v>
      </c>
      <c r="C1133" t="s">
        <v>63</v>
      </c>
      <c r="E1133" t="str">
        <f>"FES1162745784"</f>
        <v>FES1162745784</v>
      </c>
      <c r="F1133" s="1">
        <v>43951</v>
      </c>
      <c r="G1133">
        <v>202010</v>
      </c>
      <c r="H1133" t="s">
        <v>64</v>
      </c>
      <c r="I1133" t="s">
        <v>65</v>
      </c>
      <c r="J1133" t="s">
        <v>66</v>
      </c>
      <c r="K1133" t="s">
        <v>67</v>
      </c>
      <c r="L1133" t="s">
        <v>75</v>
      </c>
      <c r="M1133" t="s">
        <v>76</v>
      </c>
      <c r="N1133" t="s">
        <v>1178</v>
      </c>
      <c r="O1133" t="s">
        <v>69</v>
      </c>
      <c r="P1133" t="str">
        <f>"2170733170                    "</f>
        <v xml:space="preserve">2170733170                    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3.27</v>
      </c>
      <c r="AN1133">
        <v>0</v>
      </c>
      <c r="AO1133">
        <v>0</v>
      </c>
      <c r="AP1133">
        <v>0</v>
      </c>
      <c r="AQ1133">
        <v>0</v>
      </c>
      <c r="AR1133">
        <v>0</v>
      </c>
      <c r="AS1133">
        <v>0</v>
      </c>
      <c r="AT1133">
        <v>0</v>
      </c>
      <c r="AU1133">
        <v>0</v>
      </c>
      <c r="AV1133">
        <v>0</v>
      </c>
      <c r="AW1133">
        <v>0</v>
      </c>
      <c r="AX1133">
        <v>0</v>
      </c>
      <c r="AY1133">
        <v>0</v>
      </c>
      <c r="AZ1133">
        <v>0</v>
      </c>
      <c r="BA1133">
        <v>0</v>
      </c>
      <c r="BB1133">
        <v>0</v>
      </c>
      <c r="BG1133">
        <v>0</v>
      </c>
      <c r="BH1133">
        <v>1</v>
      </c>
      <c r="BI1133">
        <v>0.8</v>
      </c>
      <c r="BJ1133">
        <v>0.8</v>
      </c>
      <c r="BK1133">
        <v>1</v>
      </c>
      <c r="BL1133">
        <v>35.979999999999997</v>
      </c>
      <c r="BM1133">
        <v>5.4</v>
      </c>
      <c r="BN1133">
        <v>41.38</v>
      </c>
      <c r="BO1133">
        <v>41.38</v>
      </c>
      <c r="BQ1133" t="s">
        <v>78</v>
      </c>
      <c r="BR1133" t="s">
        <v>71</v>
      </c>
      <c r="BS1133" t="s">
        <v>72</v>
      </c>
      <c r="BY1133">
        <v>4019.83</v>
      </c>
      <c r="CC1133" t="s">
        <v>76</v>
      </c>
      <c r="CD1133">
        <v>1459</v>
      </c>
      <c r="CE1133" t="s">
        <v>91</v>
      </c>
      <c r="CI1133">
        <v>1</v>
      </c>
      <c r="CJ1133" t="s">
        <v>72</v>
      </c>
      <c r="CK1133">
        <v>22</v>
      </c>
      <c r="CL1133" t="s">
        <v>74</v>
      </c>
    </row>
    <row r="1134" spans="1:90" x14ac:dyDescent="0.25">
      <c r="A1134" t="s">
        <v>61</v>
      </c>
      <c r="B1134" t="s">
        <v>62</v>
      </c>
      <c r="C1134" t="s">
        <v>63</v>
      </c>
      <c r="E1134" t="str">
        <f>"FES1162745759"</f>
        <v>FES1162745759</v>
      </c>
      <c r="F1134" s="1">
        <v>43951</v>
      </c>
      <c r="G1134">
        <v>202010</v>
      </c>
      <c r="H1134" t="s">
        <v>64</v>
      </c>
      <c r="I1134" t="s">
        <v>65</v>
      </c>
      <c r="J1134" t="s">
        <v>66</v>
      </c>
      <c r="K1134" t="s">
        <v>67</v>
      </c>
      <c r="L1134" t="s">
        <v>92</v>
      </c>
      <c r="M1134" t="s">
        <v>93</v>
      </c>
      <c r="N1134" t="s">
        <v>1067</v>
      </c>
      <c r="O1134" t="s">
        <v>69</v>
      </c>
      <c r="P1134" t="str">
        <f>"2170733006                    "</f>
        <v xml:space="preserve">2170733006                    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4.1900000000000004</v>
      </c>
      <c r="AN1134">
        <v>0</v>
      </c>
      <c r="AO1134">
        <v>0</v>
      </c>
      <c r="AP1134">
        <v>0</v>
      </c>
      <c r="AQ1134">
        <v>0</v>
      </c>
      <c r="AR1134">
        <v>0</v>
      </c>
      <c r="AS1134">
        <v>0</v>
      </c>
      <c r="AT1134">
        <v>0</v>
      </c>
      <c r="AU1134">
        <v>0</v>
      </c>
      <c r="AV1134">
        <v>0</v>
      </c>
      <c r="AW1134">
        <v>0</v>
      </c>
      <c r="AX1134">
        <v>0</v>
      </c>
      <c r="AY1134">
        <v>0</v>
      </c>
      <c r="AZ1134">
        <v>0</v>
      </c>
      <c r="BA1134">
        <v>0</v>
      </c>
      <c r="BB1134">
        <v>0</v>
      </c>
      <c r="BG1134">
        <v>0</v>
      </c>
      <c r="BH1134">
        <v>1</v>
      </c>
      <c r="BI1134">
        <v>1</v>
      </c>
      <c r="BJ1134">
        <v>0.2</v>
      </c>
      <c r="BK1134">
        <v>1</v>
      </c>
      <c r="BL1134">
        <v>46.06</v>
      </c>
      <c r="BM1134">
        <v>6.91</v>
      </c>
      <c r="BN1134">
        <v>52.97</v>
      </c>
      <c r="BO1134">
        <v>52.97</v>
      </c>
      <c r="BQ1134" t="s">
        <v>78</v>
      </c>
      <c r="BR1134" t="s">
        <v>71</v>
      </c>
      <c r="BS1134" t="s">
        <v>72</v>
      </c>
      <c r="BY1134">
        <v>1200</v>
      </c>
      <c r="CC1134" t="s">
        <v>93</v>
      </c>
      <c r="CD1134">
        <v>7460</v>
      </c>
      <c r="CE1134" t="s">
        <v>73</v>
      </c>
      <c r="CI1134">
        <v>1</v>
      </c>
      <c r="CJ1134" t="s">
        <v>72</v>
      </c>
      <c r="CK1134">
        <v>21</v>
      </c>
      <c r="CL1134" t="s">
        <v>74</v>
      </c>
    </row>
    <row r="1135" spans="1:90" x14ac:dyDescent="0.25">
      <c r="A1135" t="s">
        <v>61</v>
      </c>
      <c r="B1135" t="s">
        <v>62</v>
      </c>
      <c r="C1135" t="s">
        <v>63</v>
      </c>
      <c r="E1135" t="str">
        <f>"009935712260"</f>
        <v>009935712260</v>
      </c>
      <c r="F1135" s="1">
        <v>43951</v>
      </c>
      <c r="G1135">
        <v>202010</v>
      </c>
      <c r="H1135" t="s">
        <v>64</v>
      </c>
      <c r="I1135" t="s">
        <v>65</v>
      </c>
      <c r="J1135" t="s">
        <v>66</v>
      </c>
      <c r="K1135" t="s">
        <v>67</v>
      </c>
      <c r="L1135" t="s">
        <v>92</v>
      </c>
      <c r="M1135" t="s">
        <v>93</v>
      </c>
      <c r="N1135" t="s">
        <v>905</v>
      </c>
      <c r="O1135" t="s">
        <v>69</v>
      </c>
      <c r="P1135" t="str">
        <f>"1162738677                    "</f>
        <v xml:space="preserve">1162738677                    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4.1900000000000004</v>
      </c>
      <c r="AN1135">
        <v>0</v>
      </c>
      <c r="AO1135">
        <v>0</v>
      </c>
      <c r="AP1135">
        <v>0</v>
      </c>
      <c r="AQ1135">
        <v>0</v>
      </c>
      <c r="AR1135">
        <v>0</v>
      </c>
      <c r="AS1135">
        <v>0</v>
      </c>
      <c r="AT1135">
        <v>0</v>
      </c>
      <c r="AU1135">
        <v>0</v>
      </c>
      <c r="AV1135">
        <v>0</v>
      </c>
      <c r="AW1135">
        <v>0</v>
      </c>
      <c r="AX1135">
        <v>0</v>
      </c>
      <c r="AY1135">
        <v>0</v>
      </c>
      <c r="AZ1135">
        <v>0</v>
      </c>
      <c r="BA1135">
        <v>0</v>
      </c>
      <c r="BB1135">
        <v>0</v>
      </c>
      <c r="BG1135">
        <v>0</v>
      </c>
      <c r="BH1135">
        <v>1</v>
      </c>
      <c r="BI1135">
        <v>0.8</v>
      </c>
      <c r="BJ1135">
        <v>1.6</v>
      </c>
      <c r="BK1135">
        <v>2</v>
      </c>
      <c r="BL1135">
        <v>46.06</v>
      </c>
      <c r="BM1135">
        <v>6.91</v>
      </c>
      <c r="BN1135">
        <v>52.97</v>
      </c>
      <c r="BO1135">
        <v>52.97</v>
      </c>
      <c r="BP1135" t="s">
        <v>439</v>
      </c>
      <c r="BQ1135" t="s">
        <v>78</v>
      </c>
      <c r="BR1135" t="s">
        <v>71</v>
      </c>
      <c r="BS1135" t="s">
        <v>72</v>
      </c>
      <c r="BY1135">
        <v>7849.07</v>
      </c>
      <c r="CC1135" t="s">
        <v>93</v>
      </c>
      <c r="CD1135">
        <v>7580</v>
      </c>
      <c r="CE1135" t="s">
        <v>91</v>
      </c>
      <c r="CI1135">
        <v>1</v>
      </c>
      <c r="CJ1135" t="s">
        <v>72</v>
      </c>
      <c r="CK1135">
        <v>21</v>
      </c>
      <c r="CL1135" t="s">
        <v>74</v>
      </c>
    </row>
    <row r="1136" spans="1:90" x14ac:dyDescent="0.25">
      <c r="A1136" t="s">
        <v>61</v>
      </c>
      <c r="B1136" t="s">
        <v>62</v>
      </c>
      <c r="C1136" t="s">
        <v>63</v>
      </c>
      <c r="E1136" t="str">
        <f>"FES1162745776"</f>
        <v>FES1162745776</v>
      </c>
      <c r="F1136" s="1">
        <v>43951</v>
      </c>
      <c r="G1136">
        <v>202010</v>
      </c>
      <c r="H1136" t="s">
        <v>64</v>
      </c>
      <c r="I1136" t="s">
        <v>65</v>
      </c>
      <c r="J1136" t="s">
        <v>66</v>
      </c>
      <c r="K1136" t="s">
        <v>67</v>
      </c>
      <c r="L1136" t="s">
        <v>92</v>
      </c>
      <c r="M1136" t="s">
        <v>93</v>
      </c>
      <c r="N1136" t="s">
        <v>1174</v>
      </c>
      <c r="O1136" t="s">
        <v>69</v>
      </c>
      <c r="P1136" t="str">
        <f>"2170736851                    "</f>
        <v xml:space="preserve">2170736851                    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4.1900000000000004</v>
      </c>
      <c r="AN1136">
        <v>0</v>
      </c>
      <c r="AO1136">
        <v>0</v>
      </c>
      <c r="AP1136">
        <v>0</v>
      </c>
      <c r="AQ1136">
        <v>0</v>
      </c>
      <c r="AR1136">
        <v>0</v>
      </c>
      <c r="AS1136">
        <v>0</v>
      </c>
      <c r="AT1136">
        <v>0</v>
      </c>
      <c r="AU1136">
        <v>0</v>
      </c>
      <c r="AV1136">
        <v>0</v>
      </c>
      <c r="AW1136">
        <v>0</v>
      </c>
      <c r="AX1136">
        <v>0</v>
      </c>
      <c r="AY1136">
        <v>0</v>
      </c>
      <c r="AZ1136">
        <v>0</v>
      </c>
      <c r="BA1136">
        <v>0</v>
      </c>
      <c r="BB1136">
        <v>0</v>
      </c>
      <c r="BG1136">
        <v>0</v>
      </c>
      <c r="BH1136">
        <v>1</v>
      </c>
      <c r="BI1136">
        <v>1</v>
      </c>
      <c r="BJ1136">
        <v>0.2</v>
      </c>
      <c r="BK1136">
        <v>1</v>
      </c>
      <c r="BL1136">
        <v>46.06</v>
      </c>
      <c r="BM1136">
        <v>6.91</v>
      </c>
      <c r="BN1136">
        <v>52.97</v>
      </c>
      <c r="BO1136">
        <v>52.97</v>
      </c>
      <c r="BQ1136" t="s">
        <v>78</v>
      </c>
      <c r="BR1136" t="s">
        <v>71</v>
      </c>
      <c r="BS1136" t="s">
        <v>72</v>
      </c>
      <c r="BY1136">
        <v>1200</v>
      </c>
      <c r="CC1136" t="s">
        <v>93</v>
      </c>
      <c r="CD1136">
        <v>7460</v>
      </c>
      <c r="CE1136" t="s">
        <v>73</v>
      </c>
      <c r="CI1136">
        <v>1</v>
      </c>
      <c r="CJ1136" t="s">
        <v>72</v>
      </c>
      <c r="CK1136">
        <v>21</v>
      </c>
      <c r="CL1136" t="s">
        <v>74</v>
      </c>
    </row>
    <row r="1137" spans="1:90" x14ac:dyDescent="0.25">
      <c r="A1137" t="s">
        <v>61</v>
      </c>
      <c r="B1137" t="s">
        <v>62</v>
      </c>
      <c r="C1137" t="s">
        <v>63</v>
      </c>
      <c r="E1137" t="str">
        <f>"FES1162745713"</f>
        <v>FES1162745713</v>
      </c>
      <c r="F1137" s="1">
        <v>43951</v>
      </c>
      <c r="G1137">
        <v>202010</v>
      </c>
      <c r="H1137" t="s">
        <v>64</v>
      </c>
      <c r="I1137" t="s">
        <v>65</v>
      </c>
      <c r="J1137" t="s">
        <v>66</v>
      </c>
      <c r="K1137" t="s">
        <v>67</v>
      </c>
      <c r="L1137" t="s">
        <v>146</v>
      </c>
      <c r="M1137" t="s">
        <v>147</v>
      </c>
      <c r="N1137" t="s">
        <v>1179</v>
      </c>
      <c r="O1137" t="s">
        <v>69</v>
      </c>
      <c r="P1137" t="str">
        <f>"2170735884                    "</f>
        <v xml:space="preserve">2170735884                    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14.65</v>
      </c>
      <c r="AN1137">
        <v>0</v>
      </c>
      <c r="AO1137">
        <v>0</v>
      </c>
      <c r="AP1137">
        <v>0</v>
      </c>
      <c r="AQ1137">
        <v>0</v>
      </c>
      <c r="AR1137">
        <v>0</v>
      </c>
      <c r="AS1137">
        <v>0</v>
      </c>
      <c r="AT1137">
        <v>0</v>
      </c>
      <c r="AU1137">
        <v>0</v>
      </c>
      <c r="AV1137">
        <v>0</v>
      </c>
      <c r="AW1137">
        <v>0</v>
      </c>
      <c r="AX1137">
        <v>0</v>
      </c>
      <c r="AY1137">
        <v>0</v>
      </c>
      <c r="AZ1137">
        <v>0</v>
      </c>
      <c r="BA1137">
        <v>0</v>
      </c>
      <c r="BB1137">
        <v>0</v>
      </c>
      <c r="BG1137">
        <v>0</v>
      </c>
      <c r="BH1137">
        <v>1</v>
      </c>
      <c r="BI1137">
        <v>6.8</v>
      </c>
      <c r="BJ1137">
        <v>5.2</v>
      </c>
      <c r="BK1137">
        <v>7</v>
      </c>
      <c r="BL1137">
        <v>161.12</v>
      </c>
      <c r="BM1137">
        <v>24.17</v>
      </c>
      <c r="BN1137">
        <v>185.29</v>
      </c>
      <c r="BO1137">
        <v>185.29</v>
      </c>
      <c r="BQ1137" t="s">
        <v>70</v>
      </c>
      <c r="BR1137" t="s">
        <v>71</v>
      </c>
      <c r="BS1137" t="s">
        <v>72</v>
      </c>
      <c r="BY1137">
        <v>25959.57</v>
      </c>
      <c r="CC1137" t="s">
        <v>147</v>
      </c>
      <c r="CD1137">
        <v>6100</v>
      </c>
      <c r="CE1137" t="s">
        <v>91</v>
      </c>
      <c r="CI1137">
        <v>1</v>
      </c>
      <c r="CJ1137" t="s">
        <v>72</v>
      </c>
      <c r="CK1137">
        <v>21</v>
      </c>
      <c r="CL1137" t="s">
        <v>74</v>
      </c>
    </row>
    <row r="1138" spans="1:90" x14ac:dyDescent="0.25">
      <c r="A1138" t="s">
        <v>61</v>
      </c>
      <c r="B1138" t="s">
        <v>62</v>
      </c>
      <c r="C1138" t="s">
        <v>63</v>
      </c>
      <c r="E1138" t="str">
        <f>"FES1162745770"</f>
        <v>FES1162745770</v>
      </c>
      <c r="F1138" s="1">
        <v>43951</v>
      </c>
      <c r="G1138">
        <v>202010</v>
      </c>
      <c r="H1138" t="s">
        <v>64</v>
      </c>
      <c r="I1138" t="s">
        <v>65</v>
      </c>
      <c r="J1138" t="s">
        <v>66</v>
      </c>
      <c r="K1138" t="s">
        <v>67</v>
      </c>
      <c r="L1138" t="s">
        <v>270</v>
      </c>
      <c r="M1138" t="s">
        <v>271</v>
      </c>
      <c r="N1138" t="s">
        <v>526</v>
      </c>
      <c r="O1138" t="s">
        <v>69</v>
      </c>
      <c r="P1138" t="str">
        <f>"2170736770                    "</f>
        <v xml:space="preserve">2170736770                    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3.27</v>
      </c>
      <c r="AN1138">
        <v>0</v>
      </c>
      <c r="AO1138">
        <v>0</v>
      </c>
      <c r="AP1138">
        <v>0</v>
      </c>
      <c r="AQ1138">
        <v>0</v>
      </c>
      <c r="AR1138">
        <v>0</v>
      </c>
      <c r="AS1138">
        <v>0</v>
      </c>
      <c r="AT1138">
        <v>0</v>
      </c>
      <c r="AU1138">
        <v>0</v>
      </c>
      <c r="AV1138">
        <v>0</v>
      </c>
      <c r="AW1138">
        <v>0</v>
      </c>
      <c r="AX1138">
        <v>0</v>
      </c>
      <c r="AY1138">
        <v>0</v>
      </c>
      <c r="AZ1138">
        <v>0</v>
      </c>
      <c r="BA1138">
        <v>0</v>
      </c>
      <c r="BB1138">
        <v>0</v>
      </c>
      <c r="BG1138">
        <v>0</v>
      </c>
      <c r="BH1138">
        <v>1</v>
      </c>
      <c r="BI1138">
        <v>1</v>
      </c>
      <c r="BJ1138">
        <v>0.2</v>
      </c>
      <c r="BK1138">
        <v>1</v>
      </c>
      <c r="BL1138">
        <v>35.979999999999997</v>
      </c>
      <c r="BM1138">
        <v>5.4</v>
      </c>
      <c r="BN1138">
        <v>41.38</v>
      </c>
      <c r="BO1138">
        <v>41.38</v>
      </c>
      <c r="BQ1138" t="s">
        <v>268</v>
      </c>
      <c r="BR1138" t="s">
        <v>71</v>
      </c>
      <c r="BS1138" t="s">
        <v>72</v>
      </c>
      <c r="BY1138">
        <v>1200</v>
      </c>
      <c r="CC1138" t="s">
        <v>271</v>
      </c>
      <c r="CD1138">
        <v>2013</v>
      </c>
      <c r="CE1138" t="s">
        <v>73</v>
      </c>
      <c r="CI1138">
        <v>1</v>
      </c>
      <c r="CJ1138" t="s">
        <v>72</v>
      </c>
      <c r="CK1138">
        <v>22</v>
      </c>
      <c r="CL1138" t="s">
        <v>74</v>
      </c>
    </row>
    <row r="1139" spans="1:90" x14ac:dyDescent="0.25">
      <c r="A1139" t="s">
        <v>61</v>
      </c>
      <c r="B1139" t="s">
        <v>62</v>
      </c>
      <c r="C1139" t="s">
        <v>63</v>
      </c>
      <c r="E1139" t="str">
        <f>"FES1162745769"</f>
        <v>FES1162745769</v>
      </c>
      <c r="F1139" s="1">
        <v>43951</v>
      </c>
      <c r="G1139">
        <v>202010</v>
      </c>
      <c r="H1139" t="s">
        <v>64</v>
      </c>
      <c r="I1139" t="s">
        <v>65</v>
      </c>
      <c r="J1139" t="s">
        <v>66</v>
      </c>
      <c r="K1139" t="s">
        <v>67</v>
      </c>
      <c r="L1139" t="s">
        <v>270</v>
      </c>
      <c r="M1139" t="s">
        <v>271</v>
      </c>
      <c r="N1139" t="s">
        <v>526</v>
      </c>
      <c r="O1139" t="s">
        <v>69</v>
      </c>
      <c r="P1139" t="str">
        <f>"2170736769                    "</f>
        <v xml:space="preserve">2170736769                    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3.27</v>
      </c>
      <c r="AN1139">
        <v>0</v>
      </c>
      <c r="AO1139">
        <v>0</v>
      </c>
      <c r="AP1139">
        <v>0</v>
      </c>
      <c r="AQ1139">
        <v>0</v>
      </c>
      <c r="AR1139">
        <v>0</v>
      </c>
      <c r="AS1139">
        <v>0</v>
      </c>
      <c r="AT1139">
        <v>0</v>
      </c>
      <c r="AU1139">
        <v>0</v>
      </c>
      <c r="AV1139">
        <v>0</v>
      </c>
      <c r="AW1139">
        <v>0</v>
      </c>
      <c r="AX1139">
        <v>0</v>
      </c>
      <c r="AY1139">
        <v>0</v>
      </c>
      <c r="AZ1139">
        <v>0</v>
      </c>
      <c r="BA1139">
        <v>0</v>
      </c>
      <c r="BB1139">
        <v>0</v>
      </c>
      <c r="BG1139">
        <v>0</v>
      </c>
      <c r="BH1139">
        <v>1</v>
      </c>
      <c r="BI1139">
        <v>1</v>
      </c>
      <c r="BJ1139">
        <v>0.2</v>
      </c>
      <c r="BK1139">
        <v>1</v>
      </c>
      <c r="BL1139">
        <v>35.979999999999997</v>
      </c>
      <c r="BM1139">
        <v>5.4</v>
      </c>
      <c r="BN1139">
        <v>41.38</v>
      </c>
      <c r="BO1139">
        <v>41.38</v>
      </c>
      <c r="BQ1139" t="s">
        <v>268</v>
      </c>
      <c r="BR1139" t="s">
        <v>71</v>
      </c>
      <c r="BS1139" t="s">
        <v>72</v>
      </c>
      <c r="BY1139">
        <v>1200</v>
      </c>
      <c r="CC1139" t="s">
        <v>271</v>
      </c>
      <c r="CD1139">
        <v>2013</v>
      </c>
      <c r="CE1139" t="s">
        <v>73</v>
      </c>
      <c r="CI1139">
        <v>1</v>
      </c>
      <c r="CJ1139" t="s">
        <v>72</v>
      </c>
      <c r="CK1139">
        <v>22</v>
      </c>
      <c r="CL1139" t="s">
        <v>74</v>
      </c>
    </row>
    <row r="1140" spans="1:90" x14ac:dyDescent="0.25">
      <c r="A1140" t="s">
        <v>61</v>
      </c>
      <c r="B1140" t="s">
        <v>62</v>
      </c>
      <c r="C1140" t="s">
        <v>63</v>
      </c>
      <c r="E1140" t="str">
        <f>"FES1162745773"</f>
        <v>FES1162745773</v>
      </c>
      <c r="F1140" s="1">
        <v>43951</v>
      </c>
      <c r="G1140">
        <v>202010</v>
      </c>
      <c r="H1140" t="s">
        <v>64</v>
      </c>
      <c r="I1140" t="s">
        <v>65</v>
      </c>
      <c r="J1140" t="s">
        <v>66</v>
      </c>
      <c r="K1140" t="s">
        <v>67</v>
      </c>
      <c r="L1140" t="s">
        <v>270</v>
      </c>
      <c r="M1140" t="s">
        <v>271</v>
      </c>
      <c r="N1140" t="s">
        <v>526</v>
      </c>
      <c r="O1140" t="s">
        <v>69</v>
      </c>
      <c r="P1140" t="str">
        <f>"2170736775                    "</f>
        <v xml:space="preserve">2170736775                    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3.27</v>
      </c>
      <c r="AN1140">
        <v>0</v>
      </c>
      <c r="AO1140">
        <v>0</v>
      </c>
      <c r="AP1140">
        <v>0</v>
      </c>
      <c r="AQ1140">
        <v>0</v>
      </c>
      <c r="AR1140">
        <v>0</v>
      </c>
      <c r="AS1140">
        <v>0</v>
      </c>
      <c r="AT1140">
        <v>0</v>
      </c>
      <c r="AU1140">
        <v>0</v>
      </c>
      <c r="AV1140">
        <v>0</v>
      </c>
      <c r="AW1140">
        <v>0</v>
      </c>
      <c r="AX1140">
        <v>0</v>
      </c>
      <c r="AY1140">
        <v>0</v>
      </c>
      <c r="AZ1140">
        <v>0</v>
      </c>
      <c r="BA1140">
        <v>0</v>
      </c>
      <c r="BB1140">
        <v>0</v>
      </c>
      <c r="BG1140">
        <v>0</v>
      </c>
      <c r="BH1140">
        <v>1</v>
      </c>
      <c r="BI1140">
        <v>0.8</v>
      </c>
      <c r="BJ1140">
        <v>1.1000000000000001</v>
      </c>
      <c r="BK1140">
        <v>1.5</v>
      </c>
      <c r="BL1140">
        <v>35.979999999999997</v>
      </c>
      <c r="BM1140">
        <v>5.4</v>
      </c>
      <c r="BN1140">
        <v>41.38</v>
      </c>
      <c r="BO1140">
        <v>41.38</v>
      </c>
      <c r="BQ1140" t="s">
        <v>268</v>
      </c>
      <c r="BR1140" t="s">
        <v>71</v>
      </c>
      <c r="BS1140" t="s">
        <v>72</v>
      </c>
      <c r="BY1140">
        <v>5282.17</v>
      </c>
      <c r="CC1140" t="s">
        <v>271</v>
      </c>
      <c r="CD1140">
        <v>2013</v>
      </c>
      <c r="CE1140" t="s">
        <v>91</v>
      </c>
      <c r="CI1140">
        <v>1</v>
      </c>
      <c r="CJ1140" t="s">
        <v>72</v>
      </c>
      <c r="CK1140">
        <v>22</v>
      </c>
      <c r="CL1140" t="s">
        <v>74</v>
      </c>
    </row>
    <row r="1141" spans="1:90" x14ac:dyDescent="0.25">
      <c r="A1141" t="s">
        <v>61</v>
      </c>
      <c r="B1141" t="s">
        <v>62</v>
      </c>
      <c r="C1141" t="s">
        <v>63</v>
      </c>
      <c r="E1141" t="str">
        <f>"FES1162745783"</f>
        <v>FES1162745783</v>
      </c>
      <c r="F1141" s="1">
        <v>43951</v>
      </c>
      <c r="G1141">
        <v>202010</v>
      </c>
      <c r="H1141" t="s">
        <v>64</v>
      </c>
      <c r="I1141" t="s">
        <v>65</v>
      </c>
      <c r="J1141" t="s">
        <v>66</v>
      </c>
      <c r="K1141" t="s">
        <v>67</v>
      </c>
      <c r="L1141" t="s">
        <v>151</v>
      </c>
      <c r="M1141" t="s">
        <v>152</v>
      </c>
      <c r="N1141" t="s">
        <v>383</v>
      </c>
      <c r="O1141" t="s">
        <v>69</v>
      </c>
      <c r="P1141" t="str">
        <f>"2170735708                    "</f>
        <v xml:space="preserve">2170735708                    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37.659999999999997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0</v>
      </c>
      <c r="AU1141">
        <v>0</v>
      </c>
      <c r="AV1141">
        <v>0</v>
      </c>
      <c r="AW1141">
        <v>0</v>
      </c>
      <c r="AX1141">
        <v>0</v>
      </c>
      <c r="AY1141">
        <v>0</v>
      </c>
      <c r="AZ1141">
        <v>0</v>
      </c>
      <c r="BA1141">
        <v>0</v>
      </c>
      <c r="BB1141">
        <v>0</v>
      </c>
      <c r="BG1141">
        <v>0</v>
      </c>
      <c r="BH1141">
        <v>1</v>
      </c>
      <c r="BI1141">
        <v>18</v>
      </c>
      <c r="BJ1141">
        <v>16.100000000000001</v>
      </c>
      <c r="BK1141">
        <v>18</v>
      </c>
      <c r="BL1141">
        <v>414.25</v>
      </c>
      <c r="BM1141">
        <v>62.14</v>
      </c>
      <c r="BN1141">
        <v>476.39</v>
      </c>
      <c r="BO1141">
        <v>476.39</v>
      </c>
      <c r="BQ1141" t="s">
        <v>268</v>
      </c>
      <c r="BR1141" t="s">
        <v>71</v>
      </c>
      <c r="BS1141" t="s">
        <v>72</v>
      </c>
      <c r="BY1141">
        <v>80400</v>
      </c>
      <c r="CC1141" t="s">
        <v>152</v>
      </c>
      <c r="CD1141">
        <v>3201</v>
      </c>
      <c r="CE1141" t="s">
        <v>91</v>
      </c>
      <c r="CI1141">
        <v>1</v>
      </c>
      <c r="CJ1141" t="s">
        <v>72</v>
      </c>
      <c r="CK1141">
        <v>21</v>
      </c>
      <c r="CL1141" t="s">
        <v>74</v>
      </c>
    </row>
    <row r="1142" spans="1:90" x14ac:dyDescent="0.25">
      <c r="A1142" t="s">
        <v>61</v>
      </c>
      <c r="B1142" t="s">
        <v>62</v>
      </c>
      <c r="C1142" t="s">
        <v>63</v>
      </c>
      <c r="E1142" t="str">
        <f>"FES1162745777"</f>
        <v>FES1162745777</v>
      </c>
      <c r="F1142" s="1">
        <v>43951</v>
      </c>
      <c r="G1142">
        <v>202010</v>
      </c>
      <c r="H1142" t="s">
        <v>64</v>
      </c>
      <c r="I1142" t="s">
        <v>65</v>
      </c>
      <c r="J1142" t="s">
        <v>66</v>
      </c>
      <c r="K1142" t="s">
        <v>67</v>
      </c>
      <c r="L1142" t="s">
        <v>254</v>
      </c>
      <c r="M1142" t="s">
        <v>255</v>
      </c>
      <c r="N1142" t="s">
        <v>726</v>
      </c>
      <c r="O1142" t="s">
        <v>69</v>
      </c>
      <c r="P1142" t="str">
        <f>"2170736849                    "</f>
        <v xml:space="preserve">2170736849                    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10.46</v>
      </c>
      <c r="AN1142">
        <v>0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0</v>
      </c>
      <c r="AU1142">
        <v>0</v>
      </c>
      <c r="AV1142">
        <v>0</v>
      </c>
      <c r="AW1142">
        <v>0</v>
      </c>
      <c r="AX1142">
        <v>0</v>
      </c>
      <c r="AY1142">
        <v>0</v>
      </c>
      <c r="AZ1142">
        <v>0</v>
      </c>
      <c r="BA1142">
        <v>0</v>
      </c>
      <c r="BB1142">
        <v>0</v>
      </c>
      <c r="BG1142">
        <v>0</v>
      </c>
      <c r="BH1142">
        <v>1</v>
      </c>
      <c r="BI1142">
        <v>5</v>
      </c>
      <c r="BJ1142">
        <v>3.1</v>
      </c>
      <c r="BK1142">
        <v>5</v>
      </c>
      <c r="BL1142">
        <v>115.09</v>
      </c>
      <c r="BM1142">
        <v>17.260000000000002</v>
      </c>
      <c r="BN1142">
        <v>132.35</v>
      </c>
      <c r="BO1142">
        <v>132.35</v>
      </c>
      <c r="BQ1142" t="s">
        <v>268</v>
      </c>
      <c r="BR1142" t="s">
        <v>71</v>
      </c>
      <c r="BS1142" t="s">
        <v>72</v>
      </c>
      <c r="BY1142">
        <v>15531.36</v>
      </c>
      <c r="CC1142" t="s">
        <v>255</v>
      </c>
      <c r="CD1142">
        <v>186</v>
      </c>
      <c r="CE1142" t="s">
        <v>91</v>
      </c>
      <c r="CI1142">
        <v>1</v>
      </c>
      <c r="CJ1142" t="s">
        <v>72</v>
      </c>
      <c r="CK1142">
        <v>21</v>
      </c>
      <c r="CL1142" t="s">
        <v>74</v>
      </c>
    </row>
    <row r="1143" spans="1:90" x14ac:dyDescent="0.25">
      <c r="A1143" t="s">
        <v>61</v>
      </c>
      <c r="B1143" t="s">
        <v>62</v>
      </c>
      <c r="C1143" t="s">
        <v>63</v>
      </c>
      <c r="E1143" t="str">
        <f>"FES1162744633"</f>
        <v>FES1162744633</v>
      </c>
      <c r="F1143" s="1">
        <v>43951</v>
      </c>
      <c r="G1143">
        <v>202010</v>
      </c>
      <c r="H1143" t="s">
        <v>64</v>
      </c>
      <c r="I1143" t="s">
        <v>65</v>
      </c>
      <c r="J1143" t="s">
        <v>66</v>
      </c>
      <c r="K1143" t="s">
        <v>67</v>
      </c>
      <c r="L1143" t="s">
        <v>75</v>
      </c>
      <c r="M1143" t="s">
        <v>76</v>
      </c>
      <c r="N1143" t="s">
        <v>569</v>
      </c>
      <c r="O1143" t="s">
        <v>69</v>
      </c>
      <c r="P1143" t="str">
        <f>"2170734100                    "</f>
        <v xml:space="preserve">2170734100                    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13.86</v>
      </c>
      <c r="AN1143">
        <v>0</v>
      </c>
      <c r="AO1143">
        <v>0</v>
      </c>
      <c r="AP1143">
        <v>0</v>
      </c>
      <c r="AQ1143">
        <v>0</v>
      </c>
      <c r="AR1143">
        <v>0</v>
      </c>
      <c r="AS1143">
        <v>0</v>
      </c>
      <c r="AT1143">
        <v>0</v>
      </c>
      <c r="AU1143">
        <v>0</v>
      </c>
      <c r="AV1143">
        <v>0</v>
      </c>
      <c r="AW1143">
        <v>0</v>
      </c>
      <c r="AX1143">
        <v>0</v>
      </c>
      <c r="AY1143">
        <v>0</v>
      </c>
      <c r="AZ1143">
        <v>0</v>
      </c>
      <c r="BA1143">
        <v>0</v>
      </c>
      <c r="BB1143">
        <v>0</v>
      </c>
      <c r="BG1143">
        <v>0</v>
      </c>
      <c r="BH1143">
        <v>1</v>
      </c>
      <c r="BI1143">
        <v>15.5</v>
      </c>
      <c r="BJ1143">
        <v>3.1</v>
      </c>
      <c r="BK1143">
        <v>15.5</v>
      </c>
      <c r="BL1143">
        <v>152.41</v>
      </c>
      <c r="BM1143">
        <v>22.86</v>
      </c>
      <c r="BN1143">
        <v>175.27</v>
      </c>
      <c r="BO1143">
        <v>175.27</v>
      </c>
      <c r="BQ1143" t="s">
        <v>78</v>
      </c>
      <c r="BR1143" t="s">
        <v>71</v>
      </c>
      <c r="BS1143" t="s">
        <v>72</v>
      </c>
      <c r="BY1143">
        <v>15289.92</v>
      </c>
      <c r="CC1143" t="s">
        <v>76</v>
      </c>
      <c r="CD1143">
        <v>1459</v>
      </c>
      <c r="CE1143" t="s">
        <v>91</v>
      </c>
      <c r="CI1143">
        <v>1</v>
      </c>
      <c r="CJ1143" t="s">
        <v>72</v>
      </c>
      <c r="CK1143">
        <v>22</v>
      </c>
      <c r="CL1143" t="s">
        <v>74</v>
      </c>
    </row>
    <row r="1144" spans="1:90" x14ac:dyDescent="0.25">
      <c r="A1144" t="s">
        <v>61</v>
      </c>
      <c r="B1144" t="s">
        <v>62</v>
      </c>
      <c r="C1144" t="s">
        <v>63</v>
      </c>
      <c r="E1144" t="str">
        <f>"FES1162745468"</f>
        <v>FES1162745468</v>
      </c>
      <c r="F1144" s="1">
        <v>43951</v>
      </c>
      <c r="G1144">
        <v>202010</v>
      </c>
      <c r="H1144" t="s">
        <v>64</v>
      </c>
      <c r="I1144" t="s">
        <v>65</v>
      </c>
      <c r="J1144" t="s">
        <v>66</v>
      </c>
      <c r="K1144" t="s">
        <v>67</v>
      </c>
      <c r="L1144" t="s">
        <v>75</v>
      </c>
      <c r="M1144" t="s">
        <v>76</v>
      </c>
      <c r="N1144" t="s">
        <v>569</v>
      </c>
      <c r="O1144" t="s">
        <v>69</v>
      </c>
      <c r="P1144" t="str">
        <f>"2170725763                    "</f>
        <v xml:space="preserve">2170725763                    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4.45</v>
      </c>
      <c r="AN1144">
        <v>0</v>
      </c>
      <c r="AO1144">
        <v>0</v>
      </c>
      <c r="AP1144">
        <v>0</v>
      </c>
      <c r="AQ1144">
        <v>0</v>
      </c>
      <c r="AR1144">
        <v>0</v>
      </c>
      <c r="AS1144">
        <v>0</v>
      </c>
      <c r="AT1144">
        <v>0</v>
      </c>
      <c r="AU1144">
        <v>0</v>
      </c>
      <c r="AV1144">
        <v>0</v>
      </c>
      <c r="AW1144">
        <v>0</v>
      </c>
      <c r="AX1144">
        <v>0</v>
      </c>
      <c r="AY1144">
        <v>0</v>
      </c>
      <c r="AZ1144">
        <v>0</v>
      </c>
      <c r="BA1144">
        <v>0</v>
      </c>
      <c r="BB1144">
        <v>0</v>
      </c>
      <c r="BG1144">
        <v>0</v>
      </c>
      <c r="BH1144">
        <v>1</v>
      </c>
      <c r="BI1144">
        <v>3.1</v>
      </c>
      <c r="BJ1144">
        <v>2.5</v>
      </c>
      <c r="BK1144">
        <v>3.5</v>
      </c>
      <c r="BL1144">
        <v>48.92</v>
      </c>
      <c r="BM1144">
        <v>7.34</v>
      </c>
      <c r="BN1144">
        <v>56.26</v>
      </c>
      <c r="BO1144">
        <v>56.26</v>
      </c>
      <c r="BQ1144" t="s">
        <v>78</v>
      </c>
      <c r="BR1144" t="s">
        <v>71</v>
      </c>
      <c r="BS1144" t="s">
        <v>72</v>
      </c>
      <c r="BY1144">
        <v>12490.3</v>
      </c>
      <c r="CC1144" t="s">
        <v>76</v>
      </c>
      <c r="CD1144">
        <v>1459</v>
      </c>
      <c r="CE1144" t="s">
        <v>91</v>
      </c>
      <c r="CI1144">
        <v>1</v>
      </c>
      <c r="CJ1144" t="s">
        <v>72</v>
      </c>
      <c r="CK1144">
        <v>22</v>
      </c>
      <c r="CL1144" t="s">
        <v>74</v>
      </c>
    </row>
    <row r="1145" spans="1:90" x14ac:dyDescent="0.25">
      <c r="A1145" t="s">
        <v>61</v>
      </c>
      <c r="B1145" t="s">
        <v>62</v>
      </c>
      <c r="C1145" t="s">
        <v>63</v>
      </c>
      <c r="E1145" t="str">
        <f>"FES1162745757"</f>
        <v>FES1162745757</v>
      </c>
      <c r="F1145" s="1">
        <v>43951</v>
      </c>
      <c r="G1145">
        <v>202010</v>
      </c>
      <c r="H1145" t="s">
        <v>64</v>
      </c>
      <c r="I1145" t="s">
        <v>65</v>
      </c>
      <c r="J1145" t="s">
        <v>66</v>
      </c>
      <c r="K1145" t="s">
        <v>67</v>
      </c>
      <c r="L1145" t="s">
        <v>64</v>
      </c>
      <c r="M1145" t="s">
        <v>65</v>
      </c>
      <c r="N1145" t="s">
        <v>829</v>
      </c>
      <c r="O1145" t="s">
        <v>69</v>
      </c>
      <c r="P1145" t="str">
        <f>"2170736048                    "</f>
        <v xml:space="preserve">2170736048                    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4.0599999999999996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0</v>
      </c>
      <c r="AT1145">
        <v>0</v>
      </c>
      <c r="AU1145">
        <v>0</v>
      </c>
      <c r="AV1145">
        <v>0</v>
      </c>
      <c r="AW1145">
        <v>0</v>
      </c>
      <c r="AX1145">
        <v>0</v>
      </c>
      <c r="AY1145">
        <v>0</v>
      </c>
      <c r="AZ1145">
        <v>0</v>
      </c>
      <c r="BA1145">
        <v>0</v>
      </c>
      <c r="BB1145">
        <v>0</v>
      </c>
      <c r="BG1145">
        <v>0</v>
      </c>
      <c r="BH1145">
        <v>1</v>
      </c>
      <c r="BI1145">
        <v>2.7</v>
      </c>
      <c r="BJ1145">
        <v>2.4</v>
      </c>
      <c r="BK1145">
        <v>3</v>
      </c>
      <c r="BL1145">
        <v>44.61</v>
      </c>
      <c r="BM1145">
        <v>6.69</v>
      </c>
      <c r="BN1145">
        <v>51.3</v>
      </c>
      <c r="BO1145">
        <v>51.3</v>
      </c>
      <c r="BQ1145" t="s">
        <v>78</v>
      </c>
      <c r="BR1145" t="s">
        <v>71</v>
      </c>
      <c r="BS1145" t="s">
        <v>72</v>
      </c>
      <c r="BY1145">
        <v>12087.78</v>
      </c>
      <c r="CC1145" t="s">
        <v>65</v>
      </c>
      <c r="CD1145">
        <v>1619</v>
      </c>
      <c r="CE1145" t="s">
        <v>91</v>
      </c>
      <c r="CI1145">
        <v>1</v>
      </c>
      <c r="CJ1145" t="s">
        <v>72</v>
      </c>
      <c r="CK1145">
        <v>22</v>
      </c>
      <c r="CL1145" t="s">
        <v>74</v>
      </c>
    </row>
    <row r="1146" spans="1:90" x14ac:dyDescent="0.25">
      <c r="A1146" t="s">
        <v>61</v>
      </c>
      <c r="B1146" t="s">
        <v>62</v>
      </c>
      <c r="C1146" t="s">
        <v>63</v>
      </c>
      <c r="E1146" t="str">
        <f>"FES1162745728"</f>
        <v>FES1162745728</v>
      </c>
      <c r="F1146" s="1">
        <v>43951</v>
      </c>
      <c r="G1146">
        <v>202010</v>
      </c>
      <c r="H1146" t="s">
        <v>64</v>
      </c>
      <c r="I1146" t="s">
        <v>65</v>
      </c>
      <c r="J1146" t="s">
        <v>66</v>
      </c>
      <c r="K1146" t="s">
        <v>67</v>
      </c>
      <c r="L1146" t="s">
        <v>116</v>
      </c>
      <c r="M1146" t="s">
        <v>117</v>
      </c>
      <c r="N1146" t="s">
        <v>1019</v>
      </c>
      <c r="O1146" t="s">
        <v>69</v>
      </c>
      <c r="P1146" t="str">
        <f>"2170736820                    "</f>
        <v xml:space="preserve">2170736820                    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9.94</v>
      </c>
      <c r="AN1146">
        <v>0</v>
      </c>
      <c r="AO1146">
        <v>0</v>
      </c>
      <c r="AP1146">
        <v>0</v>
      </c>
      <c r="AQ1146">
        <v>0</v>
      </c>
      <c r="AR1146">
        <v>0</v>
      </c>
      <c r="AS1146">
        <v>0</v>
      </c>
      <c r="AT1146">
        <v>0</v>
      </c>
      <c r="AU1146">
        <v>0</v>
      </c>
      <c r="AV1146">
        <v>0</v>
      </c>
      <c r="AW1146">
        <v>0</v>
      </c>
      <c r="AX1146">
        <v>0</v>
      </c>
      <c r="AY1146">
        <v>0</v>
      </c>
      <c r="AZ1146">
        <v>0</v>
      </c>
      <c r="BA1146">
        <v>0</v>
      </c>
      <c r="BB1146">
        <v>0</v>
      </c>
      <c r="BG1146">
        <v>0</v>
      </c>
      <c r="BH1146">
        <v>1</v>
      </c>
      <c r="BI1146">
        <v>2.1</v>
      </c>
      <c r="BJ1146">
        <v>1.5</v>
      </c>
      <c r="BK1146">
        <v>2.5</v>
      </c>
      <c r="BL1146">
        <v>109.38</v>
      </c>
      <c r="BM1146">
        <v>16.41</v>
      </c>
      <c r="BN1146">
        <v>125.79</v>
      </c>
      <c r="BO1146">
        <v>125.79</v>
      </c>
      <c r="BQ1146" t="s">
        <v>78</v>
      </c>
      <c r="BR1146" t="s">
        <v>71</v>
      </c>
      <c r="BS1146" t="s">
        <v>72</v>
      </c>
      <c r="BY1146">
        <v>7651.4</v>
      </c>
      <c r="CC1146" t="s">
        <v>117</v>
      </c>
      <c r="CD1146">
        <v>7300</v>
      </c>
      <c r="CE1146" t="s">
        <v>91</v>
      </c>
      <c r="CI1146">
        <v>1</v>
      </c>
      <c r="CJ1146" t="s">
        <v>72</v>
      </c>
      <c r="CK1146">
        <v>23</v>
      </c>
      <c r="CL1146" t="s">
        <v>74</v>
      </c>
    </row>
    <row r="1147" spans="1:90" x14ac:dyDescent="0.25">
      <c r="A1147" t="s">
        <v>61</v>
      </c>
      <c r="B1147" t="s">
        <v>62</v>
      </c>
      <c r="C1147" t="s">
        <v>63</v>
      </c>
      <c r="E1147" t="str">
        <f>"FES1162745764"</f>
        <v>FES1162745764</v>
      </c>
      <c r="F1147" s="1">
        <v>43951</v>
      </c>
      <c r="G1147">
        <v>202010</v>
      </c>
      <c r="H1147" t="s">
        <v>64</v>
      </c>
      <c r="I1147" t="s">
        <v>65</v>
      </c>
      <c r="J1147" t="s">
        <v>66</v>
      </c>
      <c r="K1147" t="s">
        <v>67</v>
      </c>
      <c r="L1147" t="s">
        <v>146</v>
      </c>
      <c r="M1147" t="s">
        <v>147</v>
      </c>
      <c r="N1147" t="s">
        <v>1179</v>
      </c>
      <c r="O1147" t="s">
        <v>69</v>
      </c>
      <c r="P1147" t="str">
        <f>"2170735214                    "</f>
        <v xml:space="preserve">2170735214                    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4.1900000000000004</v>
      </c>
      <c r="AN1147">
        <v>0</v>
      </c>
      <c r="AO1147">
        <v>0</v>
      </c>
      <c r="AP1147">
        <v>0</v>
      </c>
      <c r="AQ1147">
        <v>0</v>
      </c>
      <c r="AR1147">
        <v>0</v>
      </c>
      <c r="AS1147">
        <v>0</v>
      </c>
      <c r="AT1147">
        <v>0</v>
      </c>
      <c r="AU1147">
        <v>0</v>
      </c>
      <c r="AV1147">
        <v>0</v>
      </c>
      <c r="AW1147">
        <v>0</v>
      </c>
      <c r="AX1147">
        <v>0</v>
      </c>
      <c r="AY1147">
        <v>0</v>
      </c>
      <c r="AZ1147">
        <v>0</v>
      </c>
      <c r="BA1147">
        <v>0</v>
      </c>
      <c r="BB1147">
        <v>0</v>
      </c>
      <c r="BG1147">
        <v>0</v>
      </c>
      <c r="BH1147">
        <v>1</v>
      </c>
      <c r="BI1147">
        <v>1.1000000000000001</v>
      </c>
      <c r="BJ1147">
        <v>1</v>
      </c>
      <c r="BK1147">
        <v>1.5</v>
      </c>
      <c r="BL1147">
        <v>46.06</v>
      </c>
      <c r="BM1147">
        <v>6.91</v>
      </c>
      <c r="BN1147">
        <v>52.97</v>
      </c>
      <c r="BO1147">
        <v>52.97</v>
      </c>
      <c r="BQ1147" t="s">
        <v>70</v>
      </c>
      <c r="BR1147" t="s">
        <v>71</v>
      </c>
      <c r="BS1147" t="s">
        <v>72</v>
      </c>
      <c r="BY1147">
        <v>5109.79</v>
      </c>
      <c r="CC1147" t="s">
        <v>147</v>
      </c>
      <c r="CD1147">
        <v>6100</v>
      </c>
      <c r="CE1147" t="s">
        <v>91</v>
      </c>
      <c r="CI1147">
        <v>1</v>
      </c>
      <c r="CJ1147" t="s">
        <v>72</v>
      </c>
      <c r="CK1147">
        <v>21</v>
      </c>
      <c r="CL1147" t="s">
        <v>74</v>
      </c>
    </row>
    <row r="1148" spans="1:90" x14ac:dyDescent="0.25">
      <c r="A1148" t="s">
        <v>61</v>
      </c>
      <c r="B1148" t="s">
        <v>62</v>
      </c>
      <c r="C1148" t="s">
        <v>63</v>
      </c>
      <c r="E1148" t="str">
        <f>"FES1162744636"</f>
        <v>FES1162744636</v>
      </c>
      <c r="F1148" s="1">
        <v>43951</v>
      </c>
      <c r="G1148">
        <v>202010</v>
      </c>
      <c r="H1148" t="s">
        <v>64</v>
      </c>
      <c r="I1148" t="s">
        <v>65</v>
      </c>
      <c r="J1148" t="s">
        <v>66</v>
      </c>
      <c r="K1148" t="s">
        <v>67</v>
      </c>
      <c r="L1148" t="s">
        <v>75</v>
      </c>
      <c r="M1148" t="s">
        <v>76</v>
      </c>
      <c r="N1148" t="s">
        <v>569</v>
      </c>
      <c r="O1148" t="s">
        <v>69</v>
      </c>
      <c r="P1148" t="str">
        <f>"2170734471                    "</f>
        <v xml:space="preserve">2170734471                    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0</v>
      </c>
      <c r="AM1148">
        <v>3.27</v>
      </c>
      <c r="AN1148">
        <v>0</v>
      </c>
      <c r="AO1148">
        <v>0</v>
      </c>
      <c r="AP1148">
        <v>0</v>
      </c>
      <c r="AQ1148">
        <v>0</v>
      </c>
      <c r="AR1148">
        <v>0</v>
      </c>
      <c r="AS1148">
        <v>0</v>
      </c>
      <c r="AT1148">
        <v>0</v>
      </c>
      <c r="AU1148">
        <v>0</v>
      </c>
      <c r="AV1148">
        <v>0</v>
      </c>
      <c r="AW1148">
        <v>0</v>
      </c>
      <c r="AX1148">
        <v>0</v>
      </c>
      <c r="AY1148">
        <v>0</v>
      </c>
      <c r="AZ1148">
        <v>0</v>
      </c>
      <c r="BA1148">
        <v>0</v>
      </c>
      <c r="BB1148">
        <v>0</v>
      </c>
      <c r="BG1148">
        <v>0</v>
      </c>
      <c r="BH1148">
        <v>1</v>
      </c>
      <c r="BI1148">
        <v>1</v>
      </c>
      <c r="BJ1148">
        <v>0.2</v>
      </c>
      <c r="BK1148">
        <v>1</v>
      </c>
      <c r="BL1148">
        <v>35.979999999999997</v>
      </c>
      <c r="BM1148">
        <v>5.4</v>
      </c>
      <c r="BN1148">
        <v>41.38</v>
      </c>
      <c r="BO1148">
        <v>41.38</v>
      </c>
      <c r="BQ1148" t="s">
        <v>78</v>
      </c>
      <c r="BR1148" t="s">
        <v>71</v>
      </c>
      <c r="BS1148" t="s">
        <v>72</v>
      </c>
      <c r="BY1148">
        <v>1200</v>
      </c>
      <c r="CC1148" t="s">
        <v>76</v>
      </c>
      <c r="CD1148">
        <v>1459</v>
      </c>
      <c r="CE1148" t="s">
        <v>73</v>
      </c>
      <c r="CI1148">
        <v>1</v>
      </c>
      <c r="CJ1148" t="s">
        <v>72</v>
      </c>
      <c r="CK1148">
        <v>22</v>
      </c>
      <c r="CL1148" t="s">
        <v>74</v>
      </c>
    </row>
    <row r="1149" spans="1:90" x14ac:dyDescent="0.25">
      <c r="A1149" t="s">
        <v>61</v>
      </c>
      <c r="B1149" t="s">
        <v>62</v>
      </c>
      <c r="C1149" t="s">
        <v>63</v>
      </c>
      <c r="E1149" t="str">
        <f>"FES1162745743"</f>
        <v>FES1162745743</v>
      </c>
      <c r="F1149" s="1">
        <v>43951</v>
      </c>
      <c r="G1149">
        <v>202010</v>
      </c>
      <c r="H1149" t="s">
        <v>64</v>
      </c>
      <c r="I1149" t="s">
        <v>65</v>
      </c>
      <c r="J1149" t="s">
        <v>66</v>
      </c>
      <c r="K1149" t="s">
        <v>67</v>
      </c>
      <c r="L1149" t="s">
        <v>116</v>
      </c>
      <c r="M1149" t="s">
        <v>117</v>
      </c>
      <c r="N1149" t="s">
        <v>1019</v>
      </c>
      <c r="O1149" t="s">
        <v>69</v>
      </c>
      <c r="P1149" t="str">
        <f>"2170736839                    "</f>
        <v xml:space="preserve">2170736839                    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8.11</v>
      </c>
      <c r="AN1149">
        <v>0</v>
      </c>
      <c r="AO1149">
        <v>0</v>
      </c>
      <c r="AP1149">
        <v>0</v>
      </c>
      <c r="AQ1149">
        <v>0</v>
      </c>
      <c r="AR1149">
        <v>0</v>
      </c>
      <c r="AS1149">
        <v>0</v>
      </c>
      <c r="AT1149">
        <v>0</v>
      </c>
      <c r="AU1149">
        <v>0</v>
      </c>
      <c r="AV1149">
        <v>0</v>
      </c>
      <c r="AW1149">
        <v>0</v>
      </c>
      <c r="AX1149">
        <v>0</v>
      </c>
      <c r="AY1149">
        <v>0</v>
      </c>
      <c r="AZ1149">
        <v>0</v>
      </c>
      <c r="BA1149">
        <v>0</v>
      </c>
      <c r="BB1149">
        <v>0</v>
      </c>
      <c r="BG1149">
        <v>0</v>
      </c>
      <c r="BH1149">
        <v>1</v>
      </c>
      <c r="BI1149">
        <v>1</v>
      </c>
      <c r="BJ1149">
        <v>0.2</v>
      </c>
      <c r="BK1149">
        <v>1</v>
      </c>
      <c r="BL1149">
        <v>89.23</v>
      </c>
      <c r="BM1149">
        <v>13.38</v>
      </c>
      <c r="BN1149">
        <v>102.61</v>
      </c>
      <c r="BO1149">
        <v>102.61</v>
      </c>
      <c r="BQ1149" t="s">
        <v>78</v>
      </c>
      <c r="BR1149" t="s">
        <v>71</v>
      </c>
      <c r="BS1149" t="s">
        <v>72</v>
      </c>
      <c r="BY1149">
        <v>1200</v>
      </c>
      <c r="CC1149" t="s">
        <v>117</v>
      </c>
      <c r="CD1149">
        <v>7300</v>
      </c>
      <c r="CE1149" t="s">
        <v>73</v>
      </c>
      <c r="CI1149">
        <v>1</v>
      </c>
      <c r="CJ1149" t="s">
        <v>72</v>
      </c>
      <c r="CK1149">
        <v>23</v>
      </c>
      <c r="CL1149" t="s">
        <v>74</v>
      </c>
    </row>
    <row r="1150" spans="1:90" x14ac:dyDescent="0.25">
      <c r="A1150" t="s">
        <v>61</v>
      </c>
      <c r="B1150" t="s">
        <v>62</v>
      </c>
      <c r="C1150" t="s">
        <v>63</v>
      </c>
      <c r="E1150" t="str">
        <f>"FES1162745429"</f>
        <v>FES1162745429</v>
      </c>
      <c r="F1150" s="1">
        <v>43945</v>
      </c>
      <c r="G1150">
        <v>202010</v>
      </c>
      <c r="H1150" t="s">
        <v>64</v>
      </c>
      <c r="I1150" t="s">
        <v>65</v>
      </c>
      <c r="J1150" t="s">
        <v>66</v>
      </c>
      <c r="K1150" t="s">
        <v>67</v>
      </c>
      <c r="L1150" t="s">
        <v>92</v>
      </c>
      <c r="M1150" t="s">
        <v>93</v>
      </c>
      <c r="N1150" t="s">
        <v>536</v>
      </c>
      <c r="O1150" t="s">
        <v>230</v>
      </c>
      <c r="P1150" t="str">
        <f>"2170736582                    "</f>
        <v xml:space="preserve">2170736582                    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0</v>
      </c>
      <c r="AM1150">
        <v>25.45</v>
      </c>
      <c r="AN1150">
        <v>0</v>
      </c>
      <c r="AO1150">
        <v>0</v>
      </c>
      <c r="AP1150">
        <v>0</v>
      </c>
      <c r="AQ1150">
        <v>0</v>
      </c>
      <c r="AR1150">
        <v>0</v>
      </c>
      <c r="AS1150">
        <v>0</v>
      </c>
      <c r="AT1150">
        <v>0</v>
      </c>
      <c r="AU1150">
        <v>0</v>
      </c>
      <c r="AV1150">
        <v>0</v>
      </c>
      <c r="AW1150">
        <v>0</v>
      </c>
      <c r="AX1150">
        <v>0</v>
      </c>
      <c r="AY1150">
        <v>0</v>
      </c>
      <c r="AZ1150">
        <v>0</v>
      </c>
      <c r="BA1150">
        <v>0</v>
      </c>
      <c r="BB1150">
        <v>0</v>
      </c>
      <c r="BG1150">
        <v>0</v>
      </c>
      <c r="BH1150">
        <v>3</v>
      </c>
      <c r="BI1150">
        <v>60.5</v>
      </c>
      <c r="BJ1150">
        <v>18.899999999999999</v>
      </c>
      <c r="BK1150">
        <v>61</v>
      </c>
      <c r="BL1150">
        <v>284.98</v>
      </c>
      <c r="BM1150">
        <v>42.75</v>
      </c>
      <c r="BN1150">
        <v>327.73</v>
      </c>
      <c r="BO1150">
        <v>327.73</v>
      </c>
      <c r="BQ1150" t="s">
        <v>78</v>
      </c>
      <c r="BR1150" t="s">
        <v>71</v>
      </c>
      <c r="BS1150" s="1">
        <v>43949</v>
      </c>
      <c r="BT1150" s="2">
        <v>0.5180555555555556</v>
      </c>
      <c r="BU1150" t="s">
        <v>1109</v>
      </c>
      <c r="BV1150" t="s">
        <v>80</v>
      </c>
      <c r="BY1150">
        <v>94623.72</v>
      </c>
      <c r="CA1150" t="s">
        <v>538</v>
      </c>
      <c r="CC1150" t="s">
        <v>93</v>
      </c>
      <c r="CD1150">
        <v>7975</v>
      </c>
      <c r="CE1150" t="s">
        <v>1180</v>
      </c>
      <c r="CF1150" s="1">
        <v>43950</v>
      </c>
      <c r="CI1150">
        <v>2</v>
      </c>
      <c r="CJ1150">
        <v>2</v>
      </c>
      <c r="CK1150" t="s">
        <v>234</v>
      </c>
      <c r="CL1150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Marelize Stoltz</dc:creator>
  <cp:lastModifiedBy>leann</cp:lastModifiedBy>
  <dcterms:created xsi:type="dcterms:W3CDTF">2020-05-01T19:34:24Z</dcterms:created>
  <dcterms:modified xsi:type="dcterms:W3CDTF">2020-05-04T06:12:31Z</dcterms:modified>
</cp:coreProperties>
</file>