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99EA581-3737-4C7E-81D1-FE7F8E140BC0}" xr6:coauthVersionLast="47" xr6:coauthVersionMax="47" xr10:uidLastSave="{00000000-0000-0000-0000-000000000000}"/>
  <bookViews>
    <workbookView xWindow="28680" yWindow="-120" windowWidth="20730" windowHeight="11040" xr2:uid="{58106FBC-2E45-46B0-8B3C-63F32F942C09}"/>
  </bookViews>
  <sheets>
    <sheet name="sdrascd7-IEHAZMA1370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3" i="1" l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<sst xmlns="http://schemas.openxmlformats.org/spreadsheetml/2006/main" count="6708" uniqueCount="1166">
  <si>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</si>
  <si>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</si>
  <si>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</si>
  <si>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</si>
  <si>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</si>
  <si>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</si>
  <si>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</si>
  <si>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</si>
  <si>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</si>
  <si>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</si>
  <si>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</si>
  <si>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</si>
  <si>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</si>
  <si>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</si>
  <si>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</si>
  <si>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</si>
  <si>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</si>
  <si>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</si>
  <si>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</si>
  <si>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</si>
  <si>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</si>
  <si>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</si>
  <si>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</si>
  <si>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</si>
  <si>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</si>
  <si>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</si>
  <si>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</si>
  <si>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</si>
  <si>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</si>
  <si>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</si>
  <si>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</si>
  <si>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</si>
  <si>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</si>
  <si>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</si>
  <si>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</si>
  <si>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</si>
  <si>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</si>
  <si>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</si>
  <si>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</si>
  <si>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</si>
  <si>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</si>
  <si>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</si>
  <si>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</si>
  <si>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</si>
  <si>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</si>
  <si>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</si>
  <si>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</si>
  <si>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</si>
  <si>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</si>
  <si>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</si>
  <si>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</si>
  <si>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</si>
  <si>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</si>
  <si>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</si>
  <si>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</si>
  <si>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</si>
  <si>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</si>
  <si>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</si>
  <si>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</si>
  <si>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</si>
  <si>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</si>
  <si>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</si>
  <si>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</si>
  <si>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</si>
  <si>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</si>
  <si>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</si>
  <si>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</si>
  <si>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</si>
  <si>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</si>
  <si>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</si>
  <si>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</si>
  <si>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</si>
  <si>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</si>
  <si>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</si>
  <si>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</si>
  <si>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</si>
  <si>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</si>
  <si>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LUGGAGE WAREHOUSE                  </t>
  </si>
  <si>
    <t xml:space="preserve">                                   </t>
  </si>
  <si>
    <t>JOHAN</t>
  </si>
  <si>
    <t>JOHANNESBURG</t>
  </si>
  <si>
    <t xml:space="preserve">BRUCE DE JAGER                     </t>
  </si>
  <si>
    <t>DBC</t>
  </si>
  <si>
    <t>LUSANDA</t>
  </si>
  <si>
    <t>BRUCE DE JAGER</t>
  </si>
  <si>
    <t>yes</t>
  </si>
  <si>
    <t>FUE / doc</t>
  </si>
  <si>
    <t>POD received from cell 0733622001 M</t>
  </si>
  <si>
    <t>PARCEL</t>
  </si>
  <si>
    <t>no</t>
  </si>
  <si>
    <t>MARGA</t>
  </si>
  <si>
    <t>MARGATE</t>
  </si>
  <si>
    <t xml:space="preserve">IRNA BASSON                        </t>
  </si>
  <si>
    <t>?</t>
  </si>
  <si>
    <t xml:space="preserve">TECTRA AUTOMATION                  </t>
  </si>
  <si>
    <t xml:space="preserve">OPEN DOOR TRADERS                  </t>
  </si>
  <si>
    <t>ON1</t>
  </si>
  <si>
    <t>ZAHID</t>
  </si>
  <si>
    <t>craroh</t>
  </si>
  <si>
    <t>Driver late</t>
  </si>
  <si>
    <t>jam</t>
  </si>
  <si>
    <t>FUE / DOC</t>
  </si>
  <si>
    <t>POD received from cell 0738748251 M</t>
  </si>
  <si>
    <t xml:space="preserve">POLYOAK PACKAGING                  </t>
  </si>
  <si>
    <t>RAMOSONNCA</t>
  </si>
  <si>
    <t>ALLISTAR</t>
  </si>
  <si>
    <t>cherna</t>
  </si>
  <si>
    <t>POD received from cell 0670754539 M</t>
  </si>
  <si>
    <t>PORT3</t>
  </si>
  <si>
    <t>PORT ELIZABETH</t>
  </si>
  <si>
    <t xml:space="preserve">TECTRA AUTOMATION PE               </t>
  </si>
  <si>
    <t>KEMPT</t>
  </si>
  <si>
    <t>KEMPTON PARK</t>
  </si>
  <si>
    <t>WARREN</t>
  </si>
  <si>
    <t>CARRISTON</t>
  </si>
  <si>
    <t>Nkululeko</t>
  </si>
  <si>
    <t>POD received from cell 0810613300 M</t>
  </si>
  <si>
    <t>PINET</t>
  </si>
  <si>
    <t>PINETOWN</t>
  </si>
  <si>
    <t xml:space="preserve">TECTRA AUTOMATION DBN              </t>
  </si>
  <si>
    <t>SHAYLIN BRIAN</t>
  </si>
  <si>
    <t>Justin</t>
  </si>
  <si>
    <t>Late linehaul</t>
  </si>
  <si>
    <t>LEV</t>
  </si>
  <si>
    <t>POD received from cell 0815211090 M</t>
  </si>
  <si>
    <t>EAST</t>
  </si>
  <si>
    <t>EAST LONDON</t>
  </si>
  <si>
    <t xml:space="preserve">MERCEDES - BENZ SA                 </t>
  </si>
  <si>
    <t>LINDA NTSHONA</t>
  </si>
  <si>
    <t>Linda Ntshona</t>
  </si>
  <si>
    <t>Consignee not available)</t>
  </si>
  <si>
    <t>nns</t>
  </si>
  <si>
    <t>POD received from cell 0724946102 M</t>
  </si>
  <si>
    <t xml:space="preserve">RYAN GOUWS                         </t>
  </si>
  <si>
    <t xml:space="preserve">COCEKA MAGUBENI                    </t>
  </si>
  <si>
    <t>omhle</t>
  </si>
  <si>
    <t>POD received from cell 0781079741 M</t>
  </si>
  <si>
    <t>MALME</t>
  </si>
  <si>
    <t>MALMESBURY</t>
  </si>
  <si>
    <t xml:space="preserve">JOHANN DU PREEZ                    </t>
  </si>
  <si>
    <t>hetta</t>
  </si>
  <si>
    <t>POD received from cell 0638121737 M</t>
  </si>
  <si>
    <t xml:space="preserve">PPC CEMENT BLDG                    </t>
  </si>
  <si>
    <t>JODY WILLIAMS</t>
  </si>
  <si>
    <t xml:space="preserve">jody                          </t>
  </si>
  <si>
    <t xml:space="preserve">POD received from cell 0738058187 M     </t>
  </si>
  <si>
    <t xml:space="preserve">ZARINA BASSA                       </t>
  </si>
  <si>
    <t>SELLY</t>
  </si>
  <si>
    <t xml:space="preserve">ALMA NAIDOO                        </t>
  </si>
  <si>
    <t>TALENT</t>
  </si>
  <si>
    <t xml:space="preserve">MARTHINUS GASSAND                  </t>
  </si>
  <si>
    <t>johanna</t>
  </si>
  <si>
    <t>don</t>
  </si>
  <si>
    <t>SOME2</t>
  </si>
  <si>
    <t>SOMERSET WEST</t>
  </si>
  <si>
    <t xml:space="preserve">MARYNA DU TOIT                     </t>
  </si>
  <si>
    <t>Paul</t>
  </si>
  <si>
    <t>Late Linehaul Delayed Beyond Skynet Control</t>
  </si>
  <si>
    <t>JUH</t>
  </si>
  <si>
    <t>POD received from cell 0725795427 M</t>
  </si>
  <si>
    <t>CAROL</t>
  </si>
  <si>
    <t>CAROLINA</t>
  </si>
  <si>
    <t xml:space="preserve">WARBUTON SAAMEULE                  </t>
  </si>
  <si>
    <t>HENNIE</t>
  </si>
  <si>
    <t>Hennie</t>
  </si>
  <si>
    <t>POD received from cell 0812352730 M</t>
  </si>
  <si>
    <t>PRETO</t>
  </si>
  <si>
    <t>PRETORIA</t>
  </si>
  <si>
    <t xml:space="preserve">NA                                 </t>
  </si>
  <si>
    <t>ALBERT JACOBS</t>
  </si>
  <si>
    <t>a claasens</t>
  </si>
  <si>
    <t>POD received from cell 0645503437 M</t>
  </si>
  <si>
    <t>BENON</t>
  </si>
  <si>
    <t>BENONI</t>
  </si>
  <si>
    <t xml:space="preserve">EBOTSE COUNTRY VILLAGE             </t>
  </si>
  <si>
    <t>IMELDA KOCK</t>
  </si>
  <si>
    <t>HENDRICK CROUS</t>
  </si>
  <si>
    <t>UMKOM</t>
  </si>
  <si>
    <t>UMKOMAAS</t>
  </si>
  <si>
    <t>SHILKHOR SINGH</t>
  </si>
  <si>
    <t>DURBA</t>
  </si>
  <si>
    <t>DURBAN</t>
  </si>
  <si>
    <t>YVETTE SMALLWOOD</t>
  </si>
  <si>
    <t>DIAN SCHAAP</t>
  </si>
  <si>
    <t>FRANCESCO PASADINO</t>
  </si>
  <si>
    <t>BRIT1</t>
  </si>
  <si>
    <t>BRITS</t>
  </si>
  <si>
    <t xml:space="preserve">LA CAMARGUE                        </t>
  </si>
  <si>
    <t>LETANIA MC CARTHY</t>
  </si>
  <si>
    <t>SONJA STRAUSS</t>
  </si>
  <si>
    <t xml:space="preserve">BEARING MAN GROUP                  </t>
  </si>
  <si>
    <t>DYLAN BEEBY</t>
  </si>
  <si>
    <t>lucky</t>
  </si>
  <si>
    <t>POD received from cell 0745495693 M</t>
  </si>
  <si>
    <t>ALBE2</t>
  </si>
  <si>
    <t>ALBERTON</t>
  </si>
  <si>
    <t xml:space="preserve">RAD AUTO ELECTRICAL CC             </t>
  </si>
  <si>
    <t>RICHARD</t>
  </si>
  <si>
    <t>Richard</t>
  </si>
  <si>
    <t>POD received from cell 0721761312 M</t>
  </si>
  <si>
    <t>GERMI</t>
  </si>
  <si>
    <t>GERMISTON</t>
  </si>
  <si>
    <t xml:space="preserve">NUMATICS SA                        </t>
  </si>
  <si>
    <t>THEMBA</t>
  </si>
  <si>
    <t>teboho</t>
  </si>
  <si>
    <t>Appointment required</t>
  </si>
  <si>
    <t>amt</t>
  </si>
  <si>
    <t>POD received from cell 0791116698 M</t>
  </si>
  <si>
    <t xml:space="preserve">NOELEEN HUNT                       </t>
  </si>
  <si>
    <t>futune</t>
  </si>
  <si>
    <t>POD received from cell 0729564722 M</t>
  </si>
  <si>
    <t>KINGW</t>
  </si>
  <si>
    <t>KINGWILLIAMSTOWN</t>
  </si>
  <si>
    <t xml:space="preserve">ODWA FINCA                         </t>
  </si>
  <si>
    <t xml:space="preserve">LUGGAGEWARE HOUSE                  </t>
  </si>
  <si>
    <t>PEELE</t>
  </si>
  <si>
    <t>DOC / FUE</t>
  </si>
  <si>
    <t>MIDRA</t>
  </si>
  <si>
    <t>MIDRAND</t>
  </si>
  <si>
    <t xml:space="preserve">AVIAMECH CC                        </t>
  </si>
  <si>
    <t>NICO</t>
  </si>
  <si>
    <t>ARREN</t>
  </si>
  <si>
    <t>DEWAN</t>
  </si>
  <si>
    <t>TES</t>
  </si>
  <si>
    <t>POD received from cell 0833616148 M</t>
  </si>
  <si>
    <t>POTCH</t>
  </si>
  <si>
    <t>POTCHEFSTROOM</t>
  </si>
  <si>
    <t xml:space="preserve">NORTHWEST UNIV                     </t>
  </si>
  <si>
    <t>DAHE COETZEE</t>
  </si>
  <si>
    <t>D Coetzer</t>
  </si>
  <si>
    <t>POD received from cell 0783054958 M</t>
  </si>
  <si>
    <t>RANDB</t>
  </si>
  <si>
    <t>RANDBURG</t>
  </si>
  <si>
    <t xml:space="preserve">AUTOPAC MACHINERY CORP CC          </t>
  </si>
  <si>
    <t>MELANIE</t>
  </si>
  <si>
    <t>riudes</t>
  </si>
  <si>
    <t>POD received from cell 0823886736 M</t>
  </si>
  <si>
    <t xml:space="preserve">MITAS CORPORATION                  </t>
  </si>
  <si>
    <t>PEARL MBULI</t>
  </si>
  <si>
    <t>Lawrence</t>
  </si>
  <si>
    <t>KRUGE</t>
  </si>
  <si>
    <t>KRUGERSDORP</t>
  </si>
  <si>
    <t xml:space="preserve">GRINDING TECHNIQUES                </t>
  </si>
  <si>
    <t>ANTON</t>
  </si>
  <si>
    <t>SIGNATURE</t>
  </si>
  <si>
    <t>POD received from cell 0764630992 M</t>
  </si>
  <si>
    <t>SPRI3</t>
  </si>
  <si>
    <t>SPRINGS</t>
  </si>
  <si>
    <t xml:space="preserve">BEE GEE ELECTRICAL                 </t>
  </si>
  <si>
    <t>LES</t>
  </si>
  <si>
    <t>KEIN</t>
  </si>
  <si>
    <t>POD received from cell 0715155602 M</t>
  </si>
  <si>
    <t>beytel</t>
  </si>
  <si>
    <t>POD received from cell 0791772223 M</t>
  </si>
  <si>
    <t>VERWO</t>
  </si>
  <si>
    <t>CENTURION</t>
  </si>
  <si>
    <t xml:space="preserve">AMKA PRODUCTS MANUFACTURES         </t>
  </si>
  <si>
    <t>SAMUEL</t>
  </si>
  <si>
    <t>N A</t>
  </si>
  <si>
    <t>Sylvester</t>
  </si>
  <si>
    <t>POD received from cell 0720482210 M</t>
  </si>
  <si>
    <t xml:space="preserve">THE SOUTH AFRICAN NUCLEAR CORP     </t>
  </si>
  <si>
    <t>HENRY CARPEUTER</t>
  </si>
  <si>
    <t xml:space="preserve">pv van  der Merwe             </t>
  </si>
  <si>
    <t>ora</t>
  </si>
  <si>
    <t xml:space="preserve">POD received from cell 0665916837 M     </t>
  </si>
  <si>
    <t xml:space="preserve">ELEMENT SIX PRODUCTION             </t>
  </si>
  <si>
    <t>paulos</t>
  </si>
  <si>
    <t>POD received from cell 0683449684 M</t>
  </si>
  <si>
    <t xml:space="preserve">KIMBERLY CLARCK OF SA              </t>
  </si>
  <si>
    <t>CAROL MOODLEY</t>
  </si>
  <si>
    <t>Mphiwa</t>
  </si>
  <si>
    <t>POD received from cell 0792296398 M</t>
  </si>
  <si>
    <t xml:space="preserve">COIRTEX WAREHOUSE                  </t>
  </si>
  <si>
    <t xml:space="preserve">STRUBENKOP SECURITY VILLAGE        </t>
  </si>
  <si>
    <t>MARI JACOBS</t>
  </si>
  <si>
    <t>RABIA</t>
  </si>
  <si>
    <t>Rudi Jacobs</t>
  </si>
  <si>
    <t>CSH / FUE / doc</t>
  </si>
  <si>
    <t>POD received from cell 0769148770 M</t>
  </si>
  <si>
    <t xml:space="preserve">KP OPTUM                           </t>
  </si>
  <si>
    <t xml:space="preserve">BRAAI   BBQ INTNTL                 </t>
  </si>
  <si>
    <t>JESSICA BRANAF</t>
  </si>
  <si>
    <t>ENRIC</t>
  </si>
  <si>
    <t>july-Anne</t>
  </si>
  <si>
    <t>POD received from cell 0782023821 M</t>
  </si>
  <si>
    <t xml:space="preserve">CLOOF WINE EST                     </t>
  </si>
  <si>
    <t xml:space="preserve">MRS P LOUISE                       </t>
  </si>
  <si>
    <t>SARIE</t>
  </si>
  <si>
    <t>P Lewis</t>
  </si>
  <si>
    <t>POD received from cell 0843582707 M</t>
  </si>
  <si>
    <t xml:space="preserve">CELESTE OSBORNE BUFFET             </t>
  </si>
  <si>
    <t>CELESTE OSBORNE BUFFET</t>
  </si>
  <si>
    <t>POD received from cell 0835292772 M</t>
  </si>
  <si>
    <t xml:space="preserve">MR MOEGAMMAT FREDERICKS            </t>
  </si>
  <si>
    <t>M FREDERICKS</t>
  </si>
  <si>
    <t>POD received from cell 0725460326 M</t>
  </si>
  <si>
    <t xml:space="preserve">RUANNE SANDROCK                    </t>
  </si>
  <si>
    <t>Coren SANDROCK</t>
  </si>
  <si>
    <t xml:space="preserve">JBN INTERNATIONAL PTY LTD          </t>
  </si>
  <si>
    <t>SAGIE NAIR</t>
  </si>
  <si>
    <t>Megan</t>
  </si>
  <si>
    <t>POD received from cell 0796819054 M</t>
  </si>
  <si>
    <t>GRAHA</t>
  </si>
  <si>
    <t>GRAHAMSTOWN</t>
  </si>
  <si>
    <t xml:space="preserve">NATWES GRACE PTY LTD               </t>
  </si>
  <si>
    <t>AKHONA MQHAYI MALIWALI</t>
  </si>
  <si>
    <t>akhona</t>
  </si>
  <si>
    <t>POD received from cell 0799780879 M</t>
  </si>
  <si>
    <t xml:space="preserve">STONEHAGE FLEMING                  </t>
  </si>
  <si>
    <t>SOPHIA BOOYSEN</t>
  </si>
  <si>
    <t>Brown</t>
  </si>
  <si>
    <t>POD received from cell 0616034769 M</t>
  </si>
  <si>
    <t>PARYS</t>
  </si>
  <si>
    <t xml:space="preserve">PARYS GOLFOUND COUNTRY EST         </t>
  </si>
  <si>
    <t>PIETER STRYDOM</t>
  </si>
  <si>
    <t>tshepo security</t>
  </si>
  <si>
    <t>POD received from cell 0630469527 M</t>
  </si>
  <si>
    <t xml:space="preserve">FRASERS CLEARWATER                 </t>
  </si>
  <si>
    <t>wathan</t>
  </si>
  <si>
    <t>POD received from cell 0833980813 M</t>
  </si>
  <si>
    <t xml:space="preserve">MERCHAND V ROOYEN                  </t>
  </si>
  <si>
    <t>m van rooyen</t>
  </si>
  <si>
    <t>POD received from cell 0797027751 M</t>
  </si>
  <si>
    <t>TONGA</t>
  </si>
  <si>
    <t>TONGAAT</t>
  </si>
  <si>
    <t xml:space="preserve">H20 THE CIRCLE SHOP 6A             </t>
  </si>
  <si>
    <t>S GOBLE</t>
  </si>
  <si>
    <t>lindo</t>
  </si>
  <si>
    <t>POD received from cell 0725316945 M</t>
  </si>
  <si>
    <t>SASOL</t>
  </si>
  <si>
    <t>SASOLBURG</t>
  </si>
  <si>
    <t xml:space="preserve">FANIE LANDMAN                      </t>
  </si>
  <si>
    <t>FANIE LANDMAN</t>
  </si>
  <si>
    <t>Missed cutoff</t>
  </si>
  <si>
    <t>cch</t>
  </si>
  <si>
    <t>POD received from cell 0684814688 M</t>
  </si>
  <si>
    <t>STEL2</t>
  </si>
  <si>
    <t>STELLENBOSCH</t>
  </si>
  <si>
    <t xml:space="preserve">SAXENBURG WINES                    </t>
  </si>
  <si>
    <t>INGE-BRUWER MALAN</t>
  </si>
  <si>
    <t>inge</t>
  </si>
  <si>
    <t>POD received from cell 0735999620 M</t>
  </si>
  <si>
    <t xml:space="preserve">CAREL F CRONJE                     </t>
  </si>
  <si>
    <t>illeg</t>
  </si>
  <si>
    <t xml:space="preserve">SOUTHERN SKY OPS                   </t>
  </si>
  <si>
    <t>SIMON STEWART</t>
  </si>
  <si>
    <t>Irene</t>
  </si>
  <si>
    <t>POD received from cell 0849783185 M</t>
  </si>
  <si>
    <t xml:space="preserve">EVANHU PLASTICS                    </t>
  </si>
  <si>
    <t>BILAL JAKHARA</t>
  </si>
  <si>
    <t>lombuleo</t>
  </si>
  <si>
    <t>abh</t>
  </si>
  <si>
    <t>POD received from cell 0814795132 M</t>
  </si>
  <si>
    <t xml:space="preserve">TELTRA AUTOMATION                  </t>
  </si>
  <si>
    <t>ZONDI M.B.</t>
  </si>
  <si>
    <t>c beg</t>
  </si>
  <si>
    <t>UAT</t>
  </si>
  <si>
    <t xml:space="preserve">AUTO INDUSTRIAL                    </t>
  </si>
  <si>
    <t>NA</t>
  </si>
  <si>
    <t xml:space="preserve">Larry                         </t>
  </si>
  <si>
    <t xml:space="preserve">POD received from cell 0837323487 M     </t>
  </si>
  <si>
    <t>Carriston</t>
  </si>
  <si>
    <t>POD received from cell 0684745132 M</t>
  </si>
  <si>
    <t>BOKSB</t>
  </si>
  <si>
    <t>BOKSBURG</t>
  </si>
  <si>
    <t xml:space="preserve">SERROPLAST SA                      </t>
  </si>
  <si>
    <t>WILLWM</t>
  </si>
  <si>
    <t>willie</t>
  </si>
  <si>
    <t xml:space="preserve">AECI MINING                        </t>
  </si>
  <si>
    <t>JOHN</t>
  </si>
  <si>
    <t>Francina</t>
  </si>
  <si>
    <t>POD received from cell 0766412100 M</t>
  </si>
  <si>
    <t>GEORG</t>
  </si>
  <si>
    <t>GEORGE</t>
  </si>
  <si>
    <t xml:space="preserve">SIGMA LF                           </t>
  </si>
  <si>
    <t>ON2</t>
  </si>
  <si>
    <t>FRANCOIS BERRY</t>
  </si>
  <si>
    <t>tione saka</t>
  </si>
  <si>
    <t>POD received from cell 0659814186 M</t>
  </si>
  <si>
    <t>HEID2</t>
  </si>
  <si>
    <t>HEIDELBERG (TVL)</t>
  </si>
  <si>
    <t xml:space="preserve">CARMEN BRITS                       </t>
  </si>
  <si>
    <t>CARMEN BRITS</t>
  </si>
  <si>
    <t>POD received from cell 0692133137 M</t>
  </si>
  <si>
    <t xml:space="preserve">LORYN DEEB                         </t>
  </si>
  <si>
    <t>esther</t>
  </si>
  <si>
    <t>POD received from cell 0769347056 M</t>
  </si>
  <si>
    <t xml:space="preserve">JENNIFER                           </t>
  </si>
  <si>
    <t>wessl</t>
  </si>
  <si>
    <t>mmd</t>
  </si>
  <si>
    <t>POD received from cell 0611615708 M</t>
  </si>
  <si>
    <t xml:space="preserve">LOYSON CONSULTING                  </t>
  </si>
  <si>
    <t>GRAHAM REYNOLDS</t>
  </si>
  <si>
    <t>Cara</t>
  </si>
  <si>
    <t>POD received from cell 0659746866 M</t>
  </si>
  <si>
    <t>ROODE</t>
  </si>
  <si>
    <t>ROODEPOORT</t>
  </si>
  <si>
    <t xml:space="preserve">AYANDA CELE                        </t>
  </si>
  <si>
    <t>Ayanda Cele</t>
  </si>
  <si>
    <t>POD received from cell 0783350261 M</t>
  </si>
  <si>
    <t xml:space="preserve">SAFETY S TRAVEL GOODS              </t>
  </si>
  <si>
    <t>IMTIAZ</t>
  </si>
  <si>
    <t>abdullah</t>
  </si>
  <si>
    <t xml:space="preserve">KAREN GOVENDER                     </t>
  </si>
  <si>
    <t>KAREN GOVENDER</t>
  </si>
  <si>
    <t>POD received from cell 0677382036 M</t>
  </si>
  <si>
    <t>BARBE</t>
  </si>
  <si>
    <t>BARBERTON</t>
  </si>
  <si>
    <t xml:space="preserve">ON THE SPOT MOTOR SPARES           </t>
  </si>
  <si>
    <t>NAAILAH ESSA</t>
  </si>
  <si>
    <t>allhre</t>
  </si>
  <si>
    <t>POD received from cell 0715046712 M</t>
  </si>
  <si>
    <t xml:space="preserve">RIAAN VAN WAMELEN                  </t>
  </si>
  <si>
    <t>ilse VAN WAMELEN</t>
  </si>
  <si>
    <t>POD received from cell 0760995128 M</t>
  </si>
  <si>
    <t xml:space="preserve">ANDREW ROBERT GRACE                </t>
  </si>
  <si>
    <t>ANDREW ROBERT GRACE</t>
  </si>
  <si>
    <t>jon</t>
  </si>
  <si>
    <t>POD received from cell 0766993275 M</t>
  </si>
  <si>
    <t xml:space="preserve">RCCG HEAVEN S GATE                 </t>
  </si>
  <si>
    <t>JOSEPH HANOUR</t>
  </si>
  <si>
    <t>POD received from cell 0764958693 M</t>
  </si>
  <si>
    <t xml:space="preserve">COIRTEX                            </t>
  </si>
  <si>
    <t>HERMA</t>
  </si>
  <si>
    <t>HERMANUS</t>
  </si>
  <si>
    <t xml:space="preserve">BALCONY BLDG                       </t>
  </si>
  <si>
    <t>HERMANUS FACTORY SHOP</t>
  </si>
  <si>
    <t>CHARMAIN</t>
  </si>
  <si>
    <t>POD received from cell 0737748150 M</t>
  </si>
  <si>
    <t>rose</t>
  </si>
  <si>
    <t>POD received from cell 0782320940 M</t>
  </si>
  <si>
    <t xml:space="preserve">BAT S.A                            </t>
  </si>
  <si>
    <t>AREEN</t>
  </si>
  <si>
    <t>bongs</t>
  </si>
  <si>
    <t>MO VAN ZYL</t>
  </si>
  <si>
    <t xml:space="preserve">ROBERT BOSCH                       </t>
  </si>
  <si>
    <t>LESEGO MAKINTA</t>
  </si>
  <si>
    <t>Nicholas</t>
  </si>
  <si>
    <t>POD received from cell 0646961472 M</t>
  </si>
  <si>
    <t>SDX</t>
  </si>
  <si>
    <t>***SDX***</t>
  </si>
  <si>
    <t>c beger  illeg</t>
  </si>
  <si>
    <t>DSD / FUE / doc</t>
  </si>
  <si>
    <t xml:space="preserve">DANIE BRINK                        </t>
  </si>
  <si>
    <t>wendy</t>
  </si>
  <si>
    <t>POD received from cell 0663884967 M</t>
  </si>
  <si>
    <t>BOTSH</t>
  </si>
  <si>
    <t>BOTSHABELO</t>
  </si>
  <si>
    <t xml:space="preserve">LESTER HENDSON                     </t>
  </si>
  <si>
    <t>gladys</t>
  </si>
  <si>
    <t>HND / FUE / doc</t>
  </si>
  <si>
    <t>POD received from cell 0603131978 M</t>
  </si>
  <si>
    <t>ESTCO</t>
  </si>
  <si>
    <t>ESTCOURT</t>
  </si>
  <si>
    <t xml:space="preserve">MACKSONS                           </t>
  </si>
  <si>
    <t>RUWAIDA MANACK</t>
  </si>
  <si>
    <t>ruwaida</t>
  </si>
  <si>
    <t>POD received from cell 0716405211 M</t>
  </si>
  <si>
    <t xml:space="preserve">CARMEN VICTORIA SAULS              </t>
  </si>
  <si>
    <t>A Sauls</t>
  </si>
  <si>
    <t>POD received from cell 0679193801 M</t>
  </si>
  <si>
    <t>KIMBE</t>
  </si>
  <si>
    <t>KIMBERLEY</t>
  </si>
  <si>
    <t xml:space="preserve">KARMEN WHITTEN                     </t>
  </si>
  <si>
    <t>REECE</t>
  </si>
  <si>
    <t>ma jonkes</t>
  </si>
  <si>
    <t>lic</t>
  </si>
  <si>
    <t xml:space="preserve">WATERSTONE EAST T104               </t>
  </si>
  <si>
    <t>TRACY CHRISTIAN</t>
  </si>
  <si>
    <t>Tracy</t>
  </si>
  <si>
    <t>POD received from cell 0671799174 M</t>
  </si>
  <si>
    <t xml:space="preserve">BOARDWALK MEANDER EST              </t>
  </si>
  <si>
    <t>JACO SMIT</t>
  </si>
  <si>
    <t>smit</t>
  </si>
  <si>
    <t>POD received from cell 0665269457 M</t>
  </si>
  <si>
    <t xml:space="preserve">ALISON PALMER                      </t>
  </si>
  <si>
    <t>filtah</t>
  </si>
  <si>
    <t>POD received from cell 0797074161 M</t>
  </si>
  <si>
    <t xml:space="preserve">ROELOF BEKKER                      </t>
  </si>
  <si>
    <t>ROELOF BEKKER</t>
  </si>
  <si>
    <t>POD received from cell 0833522045 M</t>
  </si>
  <si>
    <t xml:space="preserve">NYASHA KWADZI                      </t>
  </si>
  <si>
    <t>NYASHA KWADZI</t>
  </si>
  <si>
    <t>NAM</t>
  </si>
  <si>
    <t>POD received from cell 0723940461 M</t>
  </si>
  <si>
    <t xml:space="preserve">PREMIER FMCG                       </t>
  </si>
  <si>
    <t>JAYMAL</t>
  </si>
  <si>
    <t>Joyce</t>
  </si>
  <si>
    <t>Client refused delivery</t>
  </si>
  <si>
    <t>siz</t>
  </si>
  <si>
    <t>GRAIG JARVIS</t>
  </si>
  <si>
    <t>evette</t>
  </si>
  <si>
    <t xml:space="preserve">LEDA ENG. SERV. CC                 </t>
  </si>
  <si>
    <t>CHRISTOPHER</t>
  </si>
  <si>
    <t>Erica</t>
  </si>
  <si>
    <t>POD received from cell 0614378844 M</t>
  </si>
  <si>
    <t>PAARL</t>
  </si>
  <si>
    <t xml:space="preserve">SA BANDSAW COMPANY                 </t>
  </si>
  <si>
    <t>PETER</t>
  </si>
  <si>
    <t>James</t>
  </si>
  <si>
    <t>POD received from cell 0765515095 M</t>
  </si>
  <si>
    <t xml:space="preserve">DNONE SOUTHERN S                   </t>
  </si>
  <si>
    <t>A STEYN</t>
  </si>
  <si>
    <t>POD received from cell 0839573774 M</t>
  </si>
  <si>
    <t xml:space="preserve">DOT ENGINEERING                    </t>
  </si>
  <si>
    <t>jo jo</t>
  </si>
  <si>
    <t>POD received from cell 0749032672 M</t>
  </si>
  <si>
    <t xml:space="preserve">ELIQUIP SOLUTION                   </t>
  </si>
  <si>
    <t>ASHLEY</t>
  </si>
  <si>
    <t>C Smit</t>
  </si>
  <si>
    <t>POD received from cell 0837842729 M</t>
  </si>
  <si>
    <t>FREDDIE VAN NIEKERK</t>
  </si>
  <si>
    <t>ARREN3</t>
  </si>
  <si>
    <t>buhle</t>
  </si>
  <si>
    <t xml:space="preserve">ICTS GROUP                         </t>
  </si>
  <si>
    <t>TREVOR GLASSOCK</t>
  </si>
  <si>
    <t>dineo</t>
  </si>
  <si>
    <t>POD received from cell 0638804307 M</t>
  </si>
  <si>
    <t>UITEN</t>
  </si>
  <si>
    <t>UITENHAGE</t>
  </si>
  <si>
    <t xml:space="preserve">PE PROPSHAFTS                      </t>
  </si>
  <si>
    <t>NIKUS ARNO DE BEER</t>
  </si>
  <si>
    <t>natalie</t>
  </si>
  <si>
    <t>POD received from cell 0608702785 M</t>
  </si>
  <si>
    <t xml:space="preserve">SUE-MARIE FERREIRA                 </t>
  </si>
  <si>
    <t>SUE-MARIE FERREIRA</t>
  </si>
  <si>
    <t>POD received from cell 0681920801 M</t>
  </si>
  <si>
    <t xml:space="preserve">GLOBAL LAOD CONTROL                </t>
  </si>
  <si>
    <t>ZAMAMBO MKHIZE</t>
  </si>
  <si>
    <t>Qondile</t>
  </si>
  <si>
    <t>POD received from cell 0814169974 M</t>
  </si>
  <si>
    <t xml:space="preserve">FAIRFIELD EST                      </t>
  </si>
  <si>
    <t>ISHPAQ SAFI</t>
  </si>
  <si>
    <t>Mapula</t>
  </si>
  <si>
    <t xml:space="preserve">JUDD LIPCHIN                       </t>
  </si>
  <si>
    <t>POD received from cell 0636700337 M</t>
  </si>
  <si>
    <t>LESLEY TREGONING</t>
  </si>
  <si>
    <t>Michael</t>
  </si>
  <si>
    <t>POD received from cell 0683004232 M</t>
  </si>
  <si>
    <t xml:space="preserve">LUHKSA PTY LTD                     </t>
  </si>
  <si>
    <t>ASHLEY BLACK</t>
  </si>
  <si>
    <t>Ashley</t>
  </si>
  <si>
    <t>MIDD2</t>
  </si>
  <si>
    <t>MIDDELBURG (Mpumalanga)</t>
  </si>
  <si>
    <t>ELIZABETH VAN WYK</t>
  </si>
  <si>
    <t>signed</t>
  </si>
  <si>
    <t>POD received from cell 0721342551 M</t>
  </si>
  <si>
    <t>VRYHE</t>
  </si>
  <si>
    <t>VRYHEID</t>
  </si>
  <si>
    <t>LIZELLE SOLMS</t>
  </si>
  <si>
    <t>Isaac</t>
  </si>
  <si>
    <t>POD received from cell 0785988150 M</t>
  </si>
  <si>
    <t>BENNIE STRYDOM</t>
  </si>
  <si>
    <t>Joseph</t>
  </si>
  <si>
    <t>SYSTEM</t>
  </si>
  <si>
    <t>POD received from cell 0649538281 M</t>
  </si>
  <si>
    <t xml:space="preserve">P V T                              </t>
  </si>
  <si>
    <t>JENNIFER</t>
  </si>
  <si>
    <t>reeze</t>
  </si>
  <si>
    <t>POD received from cell 0736814363 M</t>
  </si>
  <si>
    <t>Sarel</t>
  </si>
  <si>
    <t>PIET2</t>
  </si>
  <si>
    <t>PIETERSBURG</t>
  </si>
  <si>
    <t>LUGGAGE WAREHOUSE</t>
  </si>
  <si>
    <t>MOSIKE JANICE</t>
  </si>
  <si>
    <t xml:space="preserve">reeze                         </t>
  </si>
  <si>
    <t xml:space="preserve">POD received from cell 0618916490 M     </t>
  </si>
  <si>
    <t>BRAKP</t>
  </si>
  <si>
    <t>BRAKPAN</t>
  </si>
  <si>
    <t>PAMELA ZUMA</t>
  </si>
  <si>
    <t>pamela</t>
  </si>
  <si>
    <t>LET</t>
  </si>
  <si>
    <t>POD received from cell 0737690344 M</t>
  </si>
  <si>
    <t>WHITE</t>
  </si>
  <si>
    <t>WHITE RIVER</t>
  </si>
  <si>
    <t>NGUMAZINO KHOZA</t>
  </si>
  <si>
    <t>ngumazino</t>
  </si>
  <si>
    <t>RUSTE</t>
  </si>
  <si>
    <t>RUSTENBURG</t>
  </si>
  <si>
    <t xml:space="preserve">SMILE BRIGHT DENTAL                </t>
  </si>
  <si>
    <t>LIZE-SMITH OOSTHUIZEN</t>
  </si>
  <si>
    <t xml:space="preserve">angelique                     </t>
  </si>
  <si>
    <t xml:space="preserve">POD received from cell 0766750423 M     </t>
  </si>
  <si>
    <t xml:space="preserve">TECTRA AUTOMATION CT               </t>
  </si>
  <si>
    <t>VINCENT</t>
  </si>
  <si>
    <t>Vincent</t>
  </si>
  <si>
    <t>KEVIN NAIDU</t>
  </si>
  <si>
    <t>kevin</t>
  </si>
  <si>
    <t>COBUS ERASMUS</t>
  </si>
  <si>
    <t>Philemon</t>
  </si>
  <si>
    <t>POD received from cell 0842709527 M</t>
  </si>
  <si>
    <t>NTHABISENG SOLE</t>
  </si>
  <si>
    <t>koketso</t>
  </si>
  <si>
    <t xml:space="preserve">SOMERSET FORREST WALK ESTATE       </t>
  </si>
  <si>
    <t>KIM ARENDSE</t>
  </si>
  <si>
    <t>kimm</t>
  </si>
  <si>
    <t xml:space="preserve">LUMICO PTY LTD                     </t>
  </si>
  <si>
    <t>ELEN COOKE</t>
  </si>
  <si>
    <t>isabel</t>
  </si>
  <si>
    <t>BELINDA WILLIAMS</t>
  </si>
  <si>
    <t>Charles</t>
  </si>
  <si>
    <t>POD received from cell 0607649891 M</t>
  </si>
  <si>
    <t xml:space="preserve">HG MOLENAAR AND CO                 </t>
  </si>
  <si>
    <t>RONNIE</t>
  </si>
  <si>
    <t>Werner</t>
  </si>
  <si>
    <t xml:space="preserve">COLPAK                             </t>
  </si>
  <si>
    <t>LEEVAN</t>
  </si>
  <si>
    <t>thembisa</t>
  </si>
  <si>
    <t>POD received from cell 0624916044 M</t>
  </si>
  <si>
    <t xml:space="preserve">TECTRA CAPE TOWN                   </t>
  </si>
  <si>
    <t xml:space="preserve">ENDECO OMEGA SINTO                 </t>
  </si>
  <si>
    <t>MARCUS</t>
  </si>
  <si>
    <t>apton</t>
  </si>
  <si>
    <t xml:space="preserve">CHEMLINK SA                        </t>
  </si>
  <si>
    <t>ANDRE</t>
  </si>
  <si>
    <t>Andrie</t>
  </si>
  <si>
    <t xml:space="preserve">ALRODE BEARINGS CC                 </t>
  </si>
  <si>
    <t>MORNE</t>
  </si>
  <si>
    <t>morne</t>
  </si>
  <si>
    <t xml:space="preserve">HIRE KING                          </t>
  </si>
  <si>
    <t>KEVIN</t>
  </si>
  <si>
    <t>BRIAN</t>
  </si>
  <si>
    <t xml:space="preserve">Carriston                     </t>
  </si>
  <si>
    <t>uat</t>
  </si>
  <si>
    <t xml:space="preserve">POD received from cell 0684745132 M     </t>
  </si>
  <si>
    <t>lazelle</t>
  </si>
  <si>
    <t>POD received from cell 0717429658 M</t>
  </si>
  <si>
    <t>YESHE SCHEPERS</t>
  </si>
  <si>
    <t xml:space="preserve">YESHE                         </t>
  </si>
  <si>
    <t>jlc</t>
  </si>
  <si>
    <t xml:space="preserve">                                        </t>
  </si>
  <si>
    <t xml:space="preserve">ROBERT BOSCH SA                    </t>
  </si>
  <si>
    <t>KATLEGO</t>
  </si>
  <si>
    <t xml:space="preserve">KATLEGO                       </t>
  </si>
  <si>
    <t>Jordan</t>
  </si>
  <si>
    <t>RUDI JOUBERT</t>
  </si>
  <si>
    <t>Wendy</t>
  </si>
  <si>
    <t>POD received from cell 0658000152 M</t>
  </si>
  <si>
    <t xml:space="preserve">SCRADER PNEUMATICS                 </t>
  </si>
  <si>
    <t>SKYE</t>
  </si>
  <si>
    <t>Skye</t>
  </si>
  <si>
    <t>POD received from cell 0643226593 M</t>
  </si>
  <si>
    <t xml:space="preserve">PAPER   PULP INDUSTRIES            </t>
  </si>
  <si>
    <t>ALI</t>
  </si>
  <si>
    <t>sunshine</t>
  </si>
  <si>
    <t xml:space="preserve">JARVIS PRODUCTS CORP SA            </t>
  </si>
  <si>
    <t>Martin</t>
  </si>
  <si>
    <t xml:space="preserve">VULKAN                             </t>
  </si>
  <si>
    <t>COLLEN</t>
  </si>
  <si>
    <t>kyan</t>
  </si>
  <si>
    <t>NGODW</t>
  </si>
  <si>
    <t>NGODWANA</t>
  </si>
  <si>
    <t xml:space="preserve">SAPPI SOUTHERN AFRICA              </t>
  </si>
  <si>
    <t>SUZETTE</t>
  </si>
  <si>
    <t>dumi</t>
  </si>
  <si>
    <t>POD received from cell 0713578712 M</t>
  </si>
  <si>
    <t xml:space="preserve">TOTAL 921 AUTO PARTS               </t>
  </si>
  <si>
    <t>RACINE GOUVENDER</t>
  </si>
  <si>
    <t>Reele</t>
  </si>
  <si>
    <t>TULBA</t>
  </si>
  <si>
    <t>TULBAGH</t>
  </si>
  <si>
    <t xml:space="preserve">TULBAGH AGRIMARK                   </t>
  </si>
  <si>
    <t>Beverley</t>
  </si>
  <si>
    <t>POD received from cell 0718252724 M</t>
  </si>
  <si>
    <t xml:space="preserve">GOPALS BAGS   LUGGAGE              </t>
  </si>
  <si>
    <t>NATISHA</t>
  </si>
  <si>
    <t>renardo</t>
  </si>
  <si>
    <t>POD received from cell 0618916490 M</t>
  </si>
  <si>
    <t xml:space="preserve">C O MRS TANIA GANZ                 </t>
  </si>
  <si>
    <t>DR JAMES MCINTYRE</t>
  </si>
  <si>
    <t>Kyle</t>
  </si>
  <si>
    <t xml:space="preserve">PAARL AGRIMARK                     </t>
  </si>
  <si>
    <t>Nigel</t>
  </si>
  <si>
    <t>POD received from cell 0730260841 M</t>
  </si>
  <si>
    <t>KAKAM</t>
  </si>
  <si>
    <t>KAKAMAS</t>
  </si>
  <si>
    <t xml:space="preserve">KAKAMAS AGRIMARK                   </t>
  </si>
  <si>
    <t>BRAILON</t>
  </si>
  <si>
    <t>POD received from cell 0665183432 M</t>
  </si>
  <si>
    <t>VERUL</t>
  </si>
  <si>
    <t>VERULAM</t>
  </si>
  <si>
    <t xml:space="preserve">WOODWORK FURNISHING                </t>
  </si>
  <si>
    <t>leonie</t>
  </si>
  <si>
    <t xml:space="preserve">STELLENBOSCH AGRIMARK              </t>
  </si>
  <si>
    <t>karla</t>
  </si>
  <si>
    <t>VEREE</t>
  </si>
  <si>
    <t>VEREENIGING</t>
  </si>
  <si>
    <t>JEANDRE</t>
  </si>
  <si>
    <t>POD received from cell 0787891940 M</t>
  </si>
  <si>
    <t xml:space="preserve">lazelle                       </t>
  </si>
  <si>
    <t xml:space="preserve">POD received from cell 0717429658 M     </t>
  </si>
  <si>
    <t xml:space="preserve">SOHARISKA                          </t>
  </si>
  <si>
    <t xml:space="preserve">VUGGAGE WAREHOUSE                  </t>
  </si>
  <si>
    <t>SNYMAN</t>
  </si>
  <si>
    <t xml:space="preserve">DAWIE KOTZE                        </t>
  </si>
  <si>
    <t>Ruben</t>
  </si>
  <si>
    <t xml:space="preserve">SAMANTHA SRIRAM                    </t>
  </si>
  <si>
    <t>SAMANTHA SRIRAM</t>
  </si>
  <si>
    <t>POD received from cell 0744435413 M</t>
  </si>
  <si>
    <t xml:space="preserve">NIRVANNA HARIPERSAD                </t>
  </si>
  <si>
    <t>NIRVANNA HARIPERSAD</t>
  </si>
  <si>
    <t>POD received from cell 0635553328 M</t>
  </si>
  <si>
    <t xml:space="preserve">SHIKAR SINGH                       </t>
  </si>
  <si>
    <t>NELSP</t>
  </si>
  <si>
    <t>NELSPRUIT</t>
  </si>
  <si>
    <t xml:space="preserve">LIZETTE ROGERS                     </t>
  </si>
  <si>
    <t>LIZETTE ROGERS</t>
  </si>
  <si>
    <t>POD received from cell 0636317762 M</t>
  </si>
  <si>
    <t xml:space="preserve">KHAKUTSELO                         </t>
  </si>
  <si>
    <t>sanele</t>
  </si>
  <si>
    <t>POD received from cell 0720506267 M</t>
  </si>
  <si>
    <t xml:space="preserve">YUMNA HALIM                        </t>
  </si>
  <si>
    <t>Matsidiso</t>
  </si>
  <si>
    <t>POD received from cell 0747997508 M</t>
  </si>
  <si>
    <t xml:space="preserve">VARISHA SATAYAPAL                  </t>
  </si>
  <si>
    <t>Ashika</t>
  </si>
  <si>
    <t>POD received from cell 0732237417 M</t>
  </si>
  <si>
    <t xml:space="preserve">BREADCRUMBS LINGULSTICS            </t>
  </si>
  <si>
    <t>TEGAN CRUMBLE</t>
  </si>
  <si>
    <t>TEGAN</t>
  </si>
  <si>
    <t>POD received from cell 0783301931 M</t>
  </si>
  <si>
    <t>SHAYLIN</t>
  </si>
  <si>
    <t>shaylin</t>
  </si>
  <si>
    <t>lev</t>
  </si>
  <si>
    <t>POD received from cell 0733966806 M</t>
  </si>
  <si>
    <t>CALED</t>
  </si>
  <si>
    <t>CALEDON</t>
  </si>
  <si>
    <t xml:space="preserve">GLEN OAKES FARM                    </t>
  </si>
  <si>
    <t>JULIE</t>
  </si>
  <si>
    <t>Incorrect route allocation</t>
  </si>
  <si>
    <t xml:space="preserve">ALPHA PARK PACKAGING               </t>
  </si>
  <si>
    <t>ASTIN BLACK</t>
  </si>
  <si>
    <t>Yvette</t>
  </si>
  <si>
    <t xml:space="preserve">ROBERT COETZEE                     </t>
  </si>
  <si>
    <t>ROBERT</t>
  </si>
  <si>
    <t xml:space="preserve">BARVANA MAHARAJ                    </t>
  </si>
  <si>
    <t>willy</t>
  </si>
  <si>
    <t xml:space="preserve">TRANSAMINE                         </t>
  </si>
  <si>
    <t>LISA MAVRIC</t>
  </si>
  <si>
    <t>keanic</t>
  </si>
  <si>
    <t>POD received from cell 0822272106 M</t>
  </si>
  <si>
    <t>Lyzo</t>
  </si>
  <si>
    <t xml:space="preserve">RFG FOODS                          </t>
  </si>
  <si>
    <t>NTSAKO</t>
  </si>
  <si>
    <t>ntsako</t>
  </si>
  <si>
    <t>SIMON</t>
  </si>
  <si>
    <t>SIMONDIUM</t>
  </si>
  <si>
    <t xml:space="preserve">ADA LIGHTING                       </t>
  </si>
  <si>
    <t>CAPE</t>
  </si>
  <si>
    <t>CAPE ST FRANCIS</t>
  </si>
  <si>
    <t xml:space="preserve">MARCUS ATTINGER                    </t>
  </si>
  <si>
    <t>.</t>
  </si>
  <si>
    <t xml:space="preserve">LOESCHE SA PTYLTD                  </t>
  </si>
  <si>
    <t>ROBERT BOOTH</t>
  </si>
  <si>
    <t>Jacky</t>
  </si>
  <si>
    <t>POD received from cell 0822621815 M</t>
  </si>
  <si>
    <t>FANUEL</t>
  </si>
  <si>
    <t xml:space="preserve">TETRA AUTOMATION                   </t>
  </si>
  <si>
    <t>Thulani</t>
  </si>
  <si>
    <t>ZANELLE SCHOLTZ</t>
  </si>
  <si>
    <t>e wessels</t>
  </si>
  <si>
    <t>PIET1</t>
  </si>
  <si>
    <t>PIETERMARITZBURG</t>
  </si>
  <si>
    <t xml:space="preserve">NON DE PLUM STUDIO                 </t>
  </si>
  <si>
    <t>TRACY KELLY INTERIORS</t>
  </si>
  <si>
    <t>ange</t>
  </si>
  <si>
    <t xml:space="preserve">HERMANUS FACTORY SHOP              </t>
  </si>
  <si>
    <t>FRANSIES</t>
  </si>
  <si>
    <t>karen</t>
  </si>
  <si>
    <t xml:space="preserve">HERMANUS FACTORY                   </t>
  </si>
  <si>
    <t>FRANSIEN</t>
  </si>
  <si>
    <t xml:space="preserve">EFAMATIC MACHINE TOOLS             </t>
  </si>
  <si>
    <t>TERENCE</t>
  </si>
  <si>
    <t>nelly</t>
  </si>
  <si>
    <t xml:space="preserve">COCA-COLA BEVERAGES                </t>
  </si>
  <si>
    <t>MUKONDELELI</t>
  </si>
  <si>
    <t xml:space="preserve">Chris                         </t>
  </si>
  <si>
    <t xml:space="preserve">POD received from cell 0791116698 M     </t>
  </si>
  <si>
    <t xml:space="preserve">DC WELGHING   CONTROL CC           </t>
  </si>
  <si>
    <t>LISA</t>
  </si>
  <si>
    <t>Fernando</t>
  </si>
  <si>
    <t>POD received from cell 0728883541 M</t>
  </si>
  <si>
    <t>vincent</t>
  </si>
  <si>
    <t xml:space="preserve">SILCOM                             </t>
  </si>
  <si>
    <t>CLINTON</t>
  </si>
  <si>
    <t>RYNO</t>
  </si>
  <si>
    <t>POD received from cell 0799731759 M</t>
  </si>
  <si>
    <t xml:space="preserve">CITI BEARINGS   SEALS              </t>
  </si>
  <si>
    <t>PHILLIP</t>
  </si>
  <si>
    <t>Phillip</t>
  </si>
  <si>
    <t>POD received from cell 0711711010 M</t>
  </si>
  <si>
    <t>BENNI</t>
  </si>
  <si>
    <t>terrence</t>
  </si>
  <si>
    <t xml:space="preserve">WARBURTON SAAGMEULE                </t>
  </si>
  <si>
    <t>Petr Cranje</t>
  </si>
  <si>
    <t xml:space="preserve">RENLAW SHARPENING SERVICE          </t>
  </si>
  <si>
    <t>JEROME</t>
  </si>
  <si>
    <t xml:space="preserve">leslene                       </t>
  </si>
  <si>
    <t>NGF</t>
  </si>
  <si>
    <t xml:space="preserve">POD received from cell 0736814363 M     </t>
  </si>
  <si>
    <t xml:space="preserve">RG BROSE AUTOMOTIVE COMPONENTS     </t>
  </si>
  <si>
    <t>KAYLA ISSACS</t>
  </si>
  <si>
    <t>Kayla Isaacs</t>
  </si>
  <si>
    <t>FREDDIE VAN NIEKER</t>
  </si>
  <si>
    <t>Charlie</t>
  </si>
  <si>
    <t xml:space="preserve">MATSAM SUPPLIES                    </t>
  </si>
  <si>
    <t>JASON</t>
  </si>
  <si>
    <t>Nelson</t>
  </si>
  <si>
    <t>BLOE1</t>
  </si>
  <si>
    <t>BLOEMFONTEIN</t>
  </si>
  <si>
    <t xml:space="preserve">CLOVER SA                          </t>
  </si>
  <si>
    <t>KRUGER</t>
  </si>
  <si>
    <t>the</t>
  </si>
  <si>
    <t xml:space="preserve">KENNAMETAL MANUFACTURING SA        </t>
  </si>
  <si>
    <t>SHAUN</t>
  </si>
  <si>
    <t xml:space="preserve">ce v merwe                    </t>
  </si>
  <si>
    <t xml:space="preserve">POD received from cell 0839573774 M     </t>
  </si>
  <si>
    <t xml:space="preserve">AECI MINING LTD                    </t>
  </si>
  <si>
    <t xml:space="preserve">STEPHANIE                          </t>
  </si>
  <si>
    <t>011 606 2713</t>
  </si>
  <si>
    <t>STEPHANIE</t>
  </si>
  <si>
    <t xml:space="preserve">Tumelo                        </t>
  </si>
  <si>
    <t xml:space="preserve">POD received from cell 0766412100 M     </t>
  </si>
  <si>
    <t>AEL MODDERFONTEIN FACTORY</t>
  </si>
  <si>
    <t xml:space="preserve">STEPHANIE TRAUT                    </t>
  </si>
  <si>
    <t>Traut</t>
  </si>
  <si>
    <t>KATHU</t>
  </si>
  <si>
    <t xml:space="preserve">LEIGH ANNE V WYK                   </t>
  </si>
  <si>
    <t>LEIGH ANNE V WYK</t>
  </si>
  <si>
    <t>mad</t>
  </si>
  <si>
    <t>POD received from cell 0795227379 M</t>
  </si>
  <si>
    <t>KAREE</t>
  </si>
  <si>
    <t>KAREEDOUW</t>
  </si>
  <si>
    <t xml:space="preserve">JOUBERT DU PLESSIS                 </t>
  </si>
  <si>
    <t>NICOLETTE</t>
  </si>
  <si>
    <t xml:space="preserve">MOSIKE JANICE MOGOBOYA             </t>
  </si>
  <si>
    <t>m m  seabi</t>
  </si>
  <si>
    <t>POD received from cell 0735980209 M</t>
  </si>
  <si>
    <t>NEWCA</t>
  </si>
  <si>
    <t>NEWCASTLE</t>
  </si>
  <si>
    <t xml:space="preserve">ILONKA SWARTZ                      </t>
  </si>
  <si>
    <t>ILONKA SWARTZ</t>
  </si>
  <si>
    <t>POD received from cell 0792484704 M</t>
  </si>
  <si>
    <t xml:space="preserve">BUKIWE                             </t>
  </si>
  <si>
    <t>nomzaw</t>
  </si>
  <si>
    <t xml:space="preserve">FRASERS CLEAWATER                  </t>
  </si>
  <si>
    <t xml:space="preserve">LUGGAGE GLOVE CC                   </t>
  </si>
  <si>
    <t>CAPRICORN PARK</t>
  </si>
  <si>
    <t>TRACEY</t>
  </si>
  <si>
    <t>Reece</t>
  </si>
  <si>
    <t xml:space="preserve">KATHLEEN WEBB                      </t>
  </si>
  <si>
    <t xml:space="preserve">KATHLEEN WEBB                 </t>
  </si>
  <si>
    <t xml:space="preserve">POD received from cell 0739148770 M     </t>
  </si>
  <si>
    <t xml:space="preserve">NATASHA PATTERSON                  </t>
  </si>
  <si>
    <t xml:space="preserve">MUSI                          </t>
  </si>
  <si>
    <t xml:space="preserve">POD received from cell 0659825059 M     </t>
  </si>
  <si>
    <t>VELDR</t>
  </si>
  <si>
    <t>VELDRIFT</t>
  </si>
  <si>
    <t xml:space="preserve">DS SMITH                           </t>
  </si>
  <si>
    <t>DS SMITH</t>
  </si>
  <si>
    <t>POD received from cell 0717479643 M</t>
  </si>
  <si>
    <t xml:space="preserve">VARUDA NURMAMAD                    </t>
  </si>
  <si>
    <t>vadura</t>
  </si>
  <si>
    <t>SEDGE</t>
  </si>
  <si>
    <t>SEDGEFIELD</t>
  </si>
  <si>
    <t xml:space="preserve">JANINE GREEN                       </t>
  </si>
  <si>
    <t>O G GREEN</t>
  </si>
  <si>
    <t>POD received from cell 0694009838 M</t>
  </si>
  <si>
    <t xml:space="preserve">DEBBIE STEWARD                     </t>
  </si>
  <si>
    <t xml:space="preserve">Tesba                         </t>
  </si>
  <si>
    <t xml:space="preserve">POD received from cell 0682067571 M     </t>
  </si>
  <si>
    <t>NIGEL</t>
  </si>
  <si>
    <t xml:space="preserve">SUPREME SPRING A DIV OF            </t>
  </si>
  <si>
    <t>sig</t>
  </si>
  <si>
    <t xml:space="preserve">PREMIER FMCO                       </t>
  </si>
  <si>
    <t>KOOS</t>
  </si>
  <si>
    <t xml:space="preserve">KELIS DUBE                         </t>
  </si>
  <si>
    <t>KELIS DUBE</t>
  </si>
  <si>
    <t>kelis dube</t>
  </si>
  <si>
    <t>POD received from cell 0649858858 M</t>
  </si>
  <si>
    <t xml:space="preserve">ENDECO                             </t>
  </si>
  <si>
    <t>MARCUS  VICTOR</t>
  </si>
  <si>
    <t>jordan</t>
  </si>
  <si>
    <t>POD received from cell 0738359586 M</t>
  </si>
  <si>
    <t xml:space="preserve">TRANSPORT ENGINEERING              </t>
  </si>
  <si>
    <t>M MALIEHO</t>
  </si>
  <si>
    <t>KHANGWELO</t>
  </si>
  <si>
    <t>POD received from cell 0679041717 M</t>
  </si>
  <si>
    <t xml:space="preserve">LIGHTING REVOLUTION                </t>
  </si>
  <si>
    <t xml:space="preserve">ALBERT OBELHOLZER                  </t>
  </si>
  <si>
    <t>ALBERT</t>
  </si>
  <si>
    <t>LUCANDA</t>
  </si>
  <si>
    <t>KARABO</t>
  </si>
  <si>
    <t xml:space="preserve">TAMAS SLAVIK                       </t>
  </si>
  <si>
    <t>TAMAS</t>
  </si>
  <si>
    <t>Lucas</t>
  </si>
  <si>
    <t>PHALA</t>
  </si>
  <si>
    <t>PHALABORWA</t>
  </si>
  <si>
    <t xml:space="preserve">LEBOGANG MAKOFANE                  </t>
  </si>
  <si>
    <t>LEBOGANG</t>
  </si>
  <si>
    <t>NICKY</t>
  </si>
  <si>
    <t>POD received from cell 0785331999 M</t>
  </si>
  <si>
    <t>RUDI</t>
  </si>
  <si>
    <t>SANDT</t>
  </si>
  <si>
    <t>SANDTON</t>
  </si>
  <si>
    <t>REGGIE TERBLANCHE</t>
  </si>
  <si>
    <t>reggie</t>
  </si>
  <si>
    <t xml:space="preserve">PRIME CIRCLE                       </t>
  </si>
  <si>
    <t>MARCO GOWES</t>
  </si>
  <si>
    <t>ALYSON DAMON</t>
  </si>
  <si>
    <t>Alyson</t>
  </si>
  <si>
    <t xml:space="preserve">UNIVERSITY OF CAPE TOWN            </t>
  </si>
  <si>
    <t>POPYENI KAUTONDOKWA</t>
  </si>
  <si>
    <t>carol</t>
  </si>
  <si>
    <t>ros</t>
  </si>
  <si>
    <t>ALAN CHEENNE</t>
  </si>
  <si>
    <t>Alan Cheene</t>
  </si>
  <si>
    <t>VANDE</t>
  </si>
  <si>
    <t>VANDERBIJLPARK</t>
  </si>
  <si>
    <t xml:space="preserve">KIDAMOR KLEUTERSKOOL               </t>
  </si>
  <si>
    <t>ELZETTE OOSTHUIZEN</t>
  </si>
  <si>
    <t>carel</t>
  </si>
  <si>
    <t>POD received from cell 0639164839 M</t>
  </si>
  <si>
    <t xml:space="preserve">GARIEP MEDICLINIC KIMBERLEY        </t>
  </si>
  <si>
    <t>GERHARD CONRADIE</t>
  </si>
  <si>
    <t>tenesa</t>
  </si>
  <si>
    <t>POD received from cell 0767214111 M</t>
  </si>
  <si>
    <t>DEBBIE BIRCH</t>
  </si>
  <si>
    <t>lushen</t>
  </si>
  <si>
    <t>TRACY CHAMBERS</t>
  </si>
  <si>
    <t>honest</t>
  </si>
  <si>
    <t xml:space="preserve">QURTUBA A; QASR COMPLEX            </t>
  </si>
  <si>
    <t>DAIL 9201 AT THE GATE</t>
  </si>
  <si>
    <t>MAHAMED SHAKEEL MAHAMED</t>
  </si>
  <si>
    <t>mahomed</t>
  </si>
  <si>
    <t>ADNAVHA BADASING</t>
  </si>
  <si>
    <t>G THURSTO</t>
  </si>
  <si>
    <t>HEINRICH KONCKI</t>
  </si>
  <si>
    <t>Heinrich Koncki</t>
  </si>
  <si>
    <t>POD received from cell 0679716569 M</t>
  </si>
  <si>
    <t>CAROLINE KOORNHOF-0722761317</t>
  </si>
  <si>
    <t>Crolline</t>
  </si>
  <si>
    <t>POD received from cell 0737617518 M</t>
  </si>
  <si>
    <t xml:space="preserve">SPHINX ACRYLIC BATHROOMWARE        </t>
  </si>
  <si>
    <t>CRAIG</t>
  </si>
  <si>
    <t xml:space="preserve">UNILEC SA                          </t>
  </si>
  <si>
    <t>RICK</t>
  </si>
  <si>
    <t>POD received from cell 0727812225 M</t>
  </si>
  <si>
    <t xml:space="preserve">TECTRA AUTO                        </t>
  </si>
  <si>
    <t xml:space="preserve">CUMMINS TEMBERBAY                  </t>
  </si>
  <si>
    <t>KNYSN</t>
  </si>
  <si>
    <t>KNYSNA</t>
  </si>
  <si>
    <t xml:space="preserve">MARK MILLS                         </t>
  </si>
  <si>
    <t>MARLE</t>
  </si>
  <si>
    <t xml:space="preserve">TECTRA AUTOMAI=TION PTY            </t>
  </si>
  <si>
    <t xml:space="preserve">MESHCO                             </t>
  </si>
  <si>
    <t>MELINDA JOHAN</t>
  </si>
  <si>
    <t>sinyzo</t>
  </si>
  <si>
    <t>POD received from cell 0621330967 M</t>
  </si>
  <si>
    <t xml:space="preserve">SIYALUKA WEBBING                   </t>
  </si>
  <si>
    <t xml:space="preserve">COIRTEX CARPETS                    </t>
  </si>
  <si>
    <t>PAUL</t>
  </si>
  <si>
    <t>R Osmar</t>
  </si>
  <si>
    <t>POD received from cell 0613937665 M</t>
  </si>
  <si>
    <t>R Oswe</t>
  </si>
  <si>
    <t xml:space="preserve">THE FORENSIC FIRM                  </t>
  </si>
  <si>
    <t>NIYANTA ARJUN</t>
  </si>
  <si>
    <t>Niyanta</t>
  </si>
  <si>
    <t xml:space="preserve">PSG                                </t>
  </si>
  <si>
    <t>MARISE SCHUTTE</t>
  </si>
  <si>
    <t>Vanessa</t>
  </si>
  <si>
    <t>POD received from cell 0712723821 M</t>
  </si>
  <si>
    <t>ALLEY VOGEL</t>
  </si>
  <si>
    <t>jubelee</t>
  </si>
  <si>
    <t>rum</t>
  </si>
  <si>
    <t>JOHAN VAN STRAATEN</t>
  </si>
  <si>
    <t>straater</t>
  </si>
  <si>
    <t xml:space="preserve">GLEN VD WETT                       </t>
  </si>
  <si>
    <t>CLOOF</t>
  </si>
  <si>
    <t>I MOYO</t>
  </si>
  <si>
    <t xml:space="preserve">POWER TORQUE PTY LTD               </t>
  </si>
  <si>
    <t>YVETTE LOTTER</t>
  </si>
  <si>
    <t>C Lotter</t>
  </si>
  <si>
    <t>LANCE MORGAN</t>
  </si>
  <si>
    <t>Lance</t>
  </si>
  <si>
    <t>MELISSA LOADER</t>
  </si>
  <si>
    <t>Melissa</t>
  </si>
  <si>
    <t>POD received from cell 0734137793 M</t>
  </si>
  <si>
    <t>TISETSO</t>
  </si>
  <si>
    <t>tisetso</t>
  </si>
  <si>
    <t>SAMUUKELISIWE SITHOLE</t>
  </si>
  <si>
    <t>sithole</t>
  </si>
  <si>
    <t>POD received from cell 0606492497 M</t>
  </si>
  <si>
    <t>QUENTIN DE WITT</t>
  </si>
  <si>
    <t>coller</t>
  </si>
  <si>
    <t>ANNCHEN DE ZOVZI</t>
  </si>
  <si>
    <t>sindi</t>
  </si>
  <si>
    <t>POD received from cell 0638667139 M</t>
  </si>
  <si>
    <t>OU TOP OF THE HEAD VIEWPOINT</t>
  </si>
  <si>
    <t>HILARY BARNHOORN</t>
  </si>
  <si>
    <t>Hilary</t>
  </si>
  <si>
    <t xml:space="preserve">TATALAZI AUTO PARTS                </t>
  </si>
  <si>
    <t>RACINE GOVENDER</t>
  </si>
  <si>
    <t>pacine</t>
  </si>
  <si>
    <t>JENNIFER KEMP</t>
  </si>
  <si>
    <t>Derrick</t>
  </si>
  <si>
    <t>POD received from cell 0847863055 M</t>
  </si>
  <si>
    <t>RONALDO DE SANTANA</t>
  </si>
  <si>
    <t>Ronald</t>
  </si>
  <si>
    <t>RICH2</t>
  </si>
  <si>
    <t>RICHMOND (NATAL)</t>
  </si>
  <si>
    <t>WILLIAM STUBBS</t>
  </si>
  <si>
    <t>liesel</t>
  </si>
  <si>
    <t>POD received from cell 0827850225 M</t>
  </si>
  <si>
    <t>CITRU</t>
  </si>
  <si>
    <t>CITRUSDAL</t>
  </si>
  <si>
    <t xml:space="preserve">CITRUSDAL AGRIMARK                 </t>
  </si>
  <si>
    <t>Julian</t>
  </si>
  <si>
    <t>WORCE</t>
  </si>
  <si>
    <t>WORCESTER</t>
  </si>
  <si>
    <t xml:space="preserve">WORCESTER AGRIMARK                 </t>
  </si>
  <si>
    <t>ELDON</t>
  </si>
  <si>
    <t xml:space="preserve">L F MEDIA                          </t>
  </si>
  <si>
    <t xml:space="preserve">PVT                                </t>
  </si>
  <si>
    <t>LEE</t>
  </si>
  <si>
    <t>V Nene</t>
  </si>
  <si>
    <t>POD received from cell 0782274968 M</t>
  </si>
  <si>
    <t xml:space="preserve">RIGHT TO CARE-VMMC OFFICE          </t>
  </si>
  <si>
    <t>lydia</t>
  </si>
  <si>
    <t>Outlying delivery location</t>
  </si>
  <si>
    <t>PTM</t>
  </si>
  <si>
    <t>POD received from cell 0766706547 M</t>
  </si>
  <si>
    <t>Shaylin</t>
  </si>
  <si>
    <t xml:space="preserve">PRISCILLA JONES                    </t>
  </si>
  <si>
    <t>M  JONES</t>
  </si>
  <si>
    <t xml:space="preserve">HILARY BARKHOORN                   </t>
  </si>
  <si>
    <t>HILARY BARKHOORN</t>
  </si>
  <si>
    <t xml:space="preserve">SIGI GRAHAM                        </t>
  </si>
  <si>
    <t xml:space="preserve">ZAAHIR HOOSEN                      </t>
  </si>
  <si>
    <t>prince</t>
  </si>
  <si>
    <t>POD received from cell 0825419099 M</t>
  </si>
  <si>
    <t xml:space="preserve">LAURENCE MARAIS                    </t>
  </si>
  <si>
    <t>MILANA   4 UITSIG STREET</t>
  </si>
  <si>
    <t>POD received from cell 0732432786 M</t>
  </si>
  <si>
    <t xml:space="preserve">LIZELLE SOLMS                      </t>
  </si>
  <si>
    <t>MPUME</t>
  </si>
  <si>
    <t xml:space="preserve">KOBUE RICHARD TSHAGONG             </t>
  </si>
  <si>
    <t>monthati</t>
  </si>
  <si>
    <t>POD received from cell 0763629217 M</t>
  </si>
  <si>
    <t xml:space="preserve">LF MEDIA                           </t>
  </si>
  <si>
    <t xml:space="preserve">ABDUL                              </t>
  </si>
  <si>
    <t>Michaela</t>
  </si>
  <si>
    <t>saj</t>
  </si>
  <si>
    <t xml:space="preserve">GRW ENGINEERING                    </t>
  </si>
  <si>
    <t>JAMES LESLIE</t>
  </si>
  <si>
    <t>BRETT</t>
  </si>
  <si>
    <t>stuwan</t>
  </si>
  <si>
    <t>POD received from cell 0788312180 M</t>
  </si>
  <si>
    <t>JONATHAN DE VILLIERS</t>
  </si>
  <si>
    <t>GERALDINE</t>
  </si>
  <si>
    <t>Sithembele</t>
  </si>
  <si>
    <t>POD received from cell 0678838337 M</t>
  </si>
  <si>
    <t xml:space="preserve">M.ERCEDES - BENZ SA                </t>
  </si>
  <si>
    <t>MR PATIL</t>
  </si>
  <si>
    <t>Nicholaas Goms</t>
  </si>
  <si>
    <t xml:space="preserve">MDW PNEUMATIC TRADING              </t>
  </si>
  <si>
    <t>DULTON</t>
  </si>
  <si>
    <t>Dulton</t>
  </si>
  <si>
    <t>POD received from cell 0723623160 M</t>
  </si>
  <si>
    <t xml:space="preserve">D44C FUSELISAP FIC ENGINEERING     </t>
  </si>
  <si>
    <t>JOHN WEYMOUTH</t>
  </si>
  <si>
    <t>francina</t>
  </si>
  <si>
    <t xml:space="preserve">GRINDING MEDIA SA                  </t>
  </si>
  <si>
    <t>NTOKOZO SAMUEL NTSHANGASE</t>
  </si>
  <si>
    <t>Piet</t>
  </si>
  <si>
    <t xml:space="preserve">RSH MINING                         </t>
  </si>
  <si>
    <t>DANIE</t>
  </si>
  <si>
    <t xml:space="preserve">le smit                       </t>
  </si>
  <si>
    <t xml:space="preserve">POD received from cell 0833616148 M     </t>
  </si>
  <si>
    <t>fanuel</t>
  </si>
  <si>
    <t xml:space="preserve">STROMOSA MANOKA GARDENS            </t>
  </si>
  <si>
    <t>THULANI KHWELA</t>
  </si>
  <si>
    <t>FAY MURDOCK EATON</t>
  </si>
  <si>
    <t>murdock</t>
  </si>
  <si>
    <t>ZOYA NAIDOO</t>
  </si>
  <si>
    <t xml:space="preserve">ITAIPA (PTY) LTD                   </t>
  </si>
  <si>
    <t>BENNIE</t>
  </si>
  <si>
    <t>Keneth</t>
  </si>
  <si>
    <t>POD received from cell 0729919507 M</t>
  </si>
  <si>
    <t xml:space="preserve">KOBYE RICHARD                      </t>
  </si>
  <si>
    <t>Tumelo</t>
  </si>
  <si>
    <t xml:space="preserve">AFGRI                              </t>
  </si>
  <si>
    <t>ANGELIQUE POTGIETER</t>
  </si>
  <si>
    <t>johannah</t>
  </si>
  <si>
    <t xml:space="preserve">STEENBRAS HYDROELECTION POWER      </t>
  </si>
  <si>
    <t>VERNA JONES</t>
  </si>
  <si>
    <t>Verna</t>
  </si>
  <si>
    <t xml:space="preserve">ROZANNE SWART                      </t>
  </si>
  <si>
    <t>Charmaine</t>
  </si>
  <si>
    <t xml:space="preserve">ASOS                               </t>
  </si>
  <si>
    <t>T VASSILATOS</t>
  </si>
  <si>
    <t>lushen Parcel counter</t>
  </si>
  <si>
    <t>col</t>
  </si>
  <si>
    <t xml:space="preserve">TRACY PILLAY                       </t>
  </si>
  <si>
    <t>lorraine</t>
  </si>
  <si>
    <t xml:space="preserve">TELTRA AUTO                        </t>
  </si>
  <si>
    <t xml:space="preserve">ROZAHN SWANEPOEL                   </t>
  </si>
  <si>
    <t xml:space="preserve">NEST INTERIORS                     </t>
  </si>
  <si>
    <t>lezelle</t>
  </si>
  <si>
    <t xml:space="preserve">CHARMAINE  BRONKHORST              </t>
  </si>
  <si>
    <t>C  BRONKHORST</t>
  </si>
  <si>
    <t xml:space="preserve">E BRINK INC                        </t>
  </si>
  <si>
    <t>SERANIE LAAS</t>
  </si>
  <si>
    <t xml:space="preserve">jacky                         </t>
  </si>
  <si>
    <t xml:space="preserve">POD received from cell 0794763095 M     </t>
  </si>
  <si>
    <t xml:space="preserve">PRITISKA MUNGAL                    </t>
  </si>
  <si>
    <t>P Haripersad</t>
  </si>
  <si>
    <t>ENRICE</t>
  </si>
  <si>
    <t>BILLY</t>
  </si>
  <si>
    <t>JO</t>
  </si>
  <si>
    <t>Jo mines</t>
  </si>
  <si>
    <t>DARLI</t>
  </si>
  <si>
    <t>DARLING</t>
  </si>
  <si>
    <t xml:space="preserve">HANAH MARIAS                       </t>
  </si>
  <si>
    <t xml:space="preserve">COASTAL HIRE                       </t>
  </si>
  <si>
    <t>DRIEKIE OOSTHUIZEN</t>
  </si>
  <si>
    <t>drikiee</t>
  </si>
  <si>
    <t>POD received from cell 0607336702 M</t>
  </si>
  <si>
    <t xml:space="preserve">CARL CAPAZARIO                     </t>
  </si>
  <si>
    <t>Rachel</t>
  </si>
  <si>
    <t>POD received from cell 0818590343 M</t>
  </si>
  <si>
    <t xml:space="preserve">LIONEL DEDEKIND                    </t>
  </si>
  <si>
    <t>jacky</t>
  </si>
  <si>
    <t>POD received from cell 0720300789 M</t>
  </si>
  <si>
    <t>VRED3</t>
  </si>
  <si>
    <t>VREDENBURG</t>
  </si>
  <si>
    <t xml:space="preserve">JAN SROBODA                        </t>
  </si>
  <si>
    <t xml:space="preserve">C O NATIONAL BIO PRODUCTS INST     </t>
  </si>
  <si>
    <t>DAVID STUBBINGS</t>
  </si>
  <si>
    <t>Zuzile</t>
  </si>
  <si>
    <t>POD received from cell 0693513712 M</t>
  </si>
  <si>
    <t xml:space="preserve">DAVID FOURIE                       </t>
  </si>
  <si>
    <t>DAVID FOURIE</t>
  </si>
  <si>
    <t xml:space="preserve">RGC ENG                            </t>
  </si>
  <si>
    <t>AURELIO GRECH-CUMBO</t>
  </si>
  <si>
    <t xml:space="preserve">TRANSNET NATIONAL PORT AUTHORI     </t>
  </si>
  <si>
    <t>BABALWA PETSE</t>
  </si>
  <si>
    <t xml:space="preserve">EY                                 </t>
  </si>
  <si>
    <t>TAVIS VAN ASWEGEN</t>
  </si>
  <si>
    <t>REFILWE</t>
  </si>
  <si>
    <t>HELENNE ULSTER</t>
  </si>
  <si>
    <t>RIVER</t>
  </si>
  <si>
    <t>RIVERSDALE</t>
  </si>
  <si>
    <t>ALBERT VAN DER VUYER</t>
  </si>
  <si>
    <t xml:space="preserve">C STREAM PROJECTS                  </t>
  </si>
  <si>
    <t>LYNETTE VAN EYK</t>
  </si>
  <si>
    <t>Johan</t>
  </si>
  <si>
    <t xml:space="preserve">SERENGETI GOLFAND WILDLIFE EST     </t>
  </si>
  <si>
    <t>DANIE BOOYSEN</t>
  </si>
  <si>
    <t>Danie</t>
  </si>
  <si>
    <t>CARMEN WHYTE</t>
  </si>
  <si>
    <t>ELLIS</t>
  </si>
  <si>
    <t>ELLISRAS</t>
  </si>
  <si>
    <t>TEBOGO MALEPA</t>
  </si>
  <si>
    <t>NURAAN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</si>
</sst>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E86A-53EE-444E-B297-572E84AF0474}">
  <dimension ref="A1:CN334"/>
  <sheetViews>
    <sheetView tabSelected="1" topLeftCell="A315" workbookViewId="0">
      <selection activeCell="A335" sqref="A335:XFD33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ht="15" customHeight="1" x14ac:dyDescent="0.3">
      <c r="A2" t="s">
        <v>72</v>
      </c>
      <c r="B2" t="s">
        <v>73</v>
      </c>
      <c r="C2" t="s">
        <v>74</v>
      </c>
      <c r="E2" t="str">
        <f>"009943061774"</f>
        <v>009943061774</v>
      </c>
      <c r="F2" s="3">
        <v>44890</v>
      </c>
      <c r="G2">
        <v>202308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"188651                        "</f>
        <v xml:space="preserve">188651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70.52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7.2</v>
      </c>
      <c r="BJ2">
        <v>21.2</v>
      </c>
      <c r="BK2">
        <v>22</v>
      </c>
      <c r="BL2">
        <v>184.26</v>
      </c>
      <c r="BM2">
        <v>27.64</v>
      </c>
      <c r="BN2">
        <v>211.9</v>
      </c>
      <c r="BO2">
        <v>211.9</v>
      </c>
      <c r="BR2" t="s">
        <v>83</v>
      </c>
      <c r="BS2" s="3">
        <v>44894</v>
      </c>
      <c r="BT2" s="4">
        <v>0.44305555555555554</v>
      </c>
      <c r="BU2" t="s">
        <v>84</v>
      </c>
      <c r="BV2" t="s">
        <v>85</v>
      </c>
      <c r="BY2">
        <v>106132.68</v>
      </c>
      <c r="BZ2" t="s">
        <v>86</v>
      </c>
      <c r="CA2" t="s">
        <v>87</v>
      </c>
      <c r="CC2" t="s">
        <v>80</v>
      </c>
      <c r="CD2">
        <v>2165</v>
      </c>
      <c r="CE2" t="s">
        <v>88</v>
      </c>
      <c r="CF2" s="3">
        <v>44894</v>
      </c>
      <c r="CI2">
        <v>2</v>
      </c>
      <c r="CJ2">
        <v>2</v>
      </c>
      <c r="CK2">
        <v>41</v>
      </c>
      <c r="CL2" t="s">
        <v>89</v>
      </c>
    </row>
    <row r="3" spans="1:92" ht="15" customHeight="1" x14ac:dyDescent="0.3">
      <c r="A3" t="s">
        <v>72</v>
      </c>
      <c r="B3" t="s">
        <v>73</v>
      </c>
      <c r="C3" t="s">
        <v>74</v>
      </c>
      <c r="E3" t="str">
        <f>"009943061775"</f>
        <v>009943061775</v>
      </c>
      <c r="F3" s="3">
        <v>44890</v>
      </c>
      <c r="G3">
        <v>202308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"188652                        "</f>
        <v xml:space="preserve">188652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77.19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1.5</v>
      </c>
      <c r="BJ3">
        <v>6.8</v>
      </c>
      <c r="BK3">
        <v>7</v>
      </c>
      <c r="BL3">
        <v>201.19</v>
      </c>
      <c r="BM3">
        <v>30.18</v>
      </c>
      <c r="BN3">
        <v>231.37</v>
      </c>
      <c r="BO3">
        <v>231.37</v>
      </c>
      <c r="BR3" t="s">
        <v>83</v>
      </c>
      <c r="BS3" t="s">
        <v>93</v>
      </c>
      <c r="BY3">
        <v>33926.400000000001</v>
      </c>
      <c r="BZ3" t="s">
        <v>86</v>
      </c>
      <c r="CC3" t="s">
        <v>91</v>
      </c>
      <c r="CD3">
        <v>4285</v>
      </c>
      <c r="CE3" t="s">
        <v>88</v>
      </c>
      <c r="CI3">
        <v>3</v>
      </c>
      <c r="CJ3" t="s">
        <v>93</v>
      </c>
      <c r="CK3">
        <v>43</v>
      </c>
      <c r="CL3" t="s">
        <v>89</v>
      </c>
    </row>
    <row r="4" spans="1:92" ht="15" customHeight="1" x14ac:dyDescent="0.3">
      <c r="A4" t="s">
        <v>72</v>
      </c>
      <c r="B4" t="s">
        <v>73</v>
      </c>
      <c r="C4" t="s">
        <v>74</v>
      </c>
      <c r="E4" t="str">
        <f>"009942381248"</f>
        <v>009942381248</v>
      </c>
      <c r="F4" s="3">
        <v>44890</v>
      </c>
      <c r="G4">
        <v>202308</v>
      </c>
      <c r="H4" t="s">
        <v>75</v>
      </c>
      <c r="I4" t="s">
        <v>76</v>
      </c>
      <c r="J4" t="s">
        <v>94</v>
      </c>
      <c r="K4" t="s">
        <v>78</v>
      </c>
      <c r="L4" t="s">
        <v>75</v>
      </c>
      <c r="M4" t="s">
        <v>76</v>
      </c>
      <c r="N4" t="s">
        <v>95</v>
      </c>
      <c r="O4" t="s">
        <v>96</v>
      </c>
      <c r="P4" t="str">
        <f>"C21807                        "</f>
        <v xml:space="preserve">C21807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22.11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0.6</v>
      </c>
      <c r="BJ4">
        <v>0.9</v>
      </c>
      <c r="BK4">
        <v>1</v>
      </c>
      <c r="BL4">
        <v>56.12</v>
      </c>
      <c r="BM4">
        <v>8.42</v>
      </c>
      <c r="BN4">
        <v>64.540000000000006</v>
      </c>
      <c r="BO4">
        <v>64.540000000000006</v>
      </c>
      <c r="BQ4" t="s">
        <v>97</v>
      </c>
      <c r="BS4" s="3">
        <v>44893</v>
      </c>
      <c r="BT4" s="4">
        <v>0.46180555555555558</v>
      </c>
      <c r="BU4" t="s">
        <v>98</v>
      </c>
      <c r="BV4" t="s">
        <v>89</v>
      </c>
      <c r="BW4" t="s">
        <v>99</v>
      </c>
      <c r="BX4" t="s">
        <v>100</v>
      </c>
      <c r="BY4">
        <v>4371</v>
      </c>
      <c r="BZ4" t="s">
        <v>101</v>
      </c>
      <c r="CA4" t="s">
        <v>102</v>
      </c>
      <c r="CC4" t="s">
        <v>76</v>
      </c>
      <c r="CD4">
        <v>8000</v>
      </c>
      <c r="CE4" t="s">
        <v>88</v>
      </c>
      <c r="CF4" s="3">
        <v>44894</v>
      </c>
      <c r="CI4">
        <v>1</v>
      </c>
      <c r="CJ4">
        <v>1</v>
      </c>
      <c r="CK4">
        <v>22</v>
      </c>
      <c r="CL4" t="s">
        <v>89</v>
      </c>
    </row>
    <row r="5" spans="1:92" ht="15" customHeight="1" x14ac:dyDescent="0.3">
      <c r="A5" t="s">
        <v>72</v>
      </c>
      <c r="B5" t="s">
        <v>73</v>
      </c>
      <c r="C5" t="s">
        <v>74</v>
      </c>
      <c r="E5" t="str">
        <f>"009942381247"</f>
        <v>009942381247</v>
      </c>
      <c r="F5" s="3">
        <v>44890</v>
      </c>
      <c r="G5">
        <v>202308</v>
      </c>
      <c r="H5" t="s">
        <v>75</v>
      </c>
      <c r="I5" t="s">
        <v>76</v>
      </c>
      <c r="J5" t="s">
        <v>94</v>
      </c>
      <c r="K5" t="s">
        <v>78</v>
      </c>
      <c r="L5" t="s">
        <v>75</v>
      </c>
      <c r="M5" t="s">
        <v>76</v>
      </c>
      <c r="N5" t="s">
        <v>103</v>
      </c>
      <c r="O5" t="s">
        <v>96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22.11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0.9</v>
      </c>
      <c r="BK5">
        <v>1</v>
      </c>
      <c r="BL5">
        <v>56.12</v>
      </c>
      <c r="BM5">
        <v>8.42</v>
      </c>
      <c r="BN5">
        <v>64.540000000000006</v>
      </c>
      <c r="BO5">
        <v>64.540000000000006</v>
      </c>
      <c r="BQ5" t="s">
        <v>104</v>
      </c>
      <c r="BR5" t="s">
        <v>105</v>
      </c>
      <c r="BS5" s="3">
        <v>44893</v>
      </c>
      <c r="BT5" s="4">
        <v>0.46111111111111108</v>
      </c>
      <c r="BU5" t="s">
        <v>106</v>
      </c>
      <c r="BV5" t="s">
        <v>89</v>
      </c>
      <c r="BW5" t="s">
        <v>99</v>
      </c>
      <c r="BX5" t="s">
        <v>100</v>
      </c>
      <c r="BY5">
        <v>4641</v>
      </c>
      <c r="BZ5" t="s">
        <v>101</v>
      </c>
      <c r="CA5" t="s">
        <v>107</v>
      </c>
      <c r="CC5" t="s">
        <v>76</v>
      </c>
      <c r="CD5">
        <v>7800</v>
      </c>
      <c r="CE5" t="s">
        <v>88</v>
      </c>
      <c r="CF5" s="3">
        <v>44894</v>
      </c>
      <c r="CI5">
        <v>1</v>
      </c>
      <c r="CJ5">
        <v>1</v>
      </c>
      <c r="CK5">
        <v>22</v>
      </c>
      <c r="CL5" t="s">
        <v>89</v>
      </c>
    </row>
    <row r="6" spans="1:92" ht="15" customHeight="1" x14ac:dyDescent="0.3">
      <c r="A6" t="s">
        <v>72</v>
      </c>
      <c r="B6" t="s">
        <v>73</v>
      </c>
      <c r="C6" t="s">
        <v>74</v>
      </c>
      <c r="E6" t="str">
        <f>"009942701266"</f>
        <v>009942701266</v>
      </c>
      <c r="F6" s="3">
        <v>44890</v>
      </c>
      <c r="G6">
        <v>202308</v>
      </c>
      <c r="H6" t="s">
        <v>108</v>
      </c>
      <c r="I6" t="s">
        <v>109</v>
      </c>
      <c r="J6" t="s">
        <v>110</v>
      </c>
      <c r="K6" t="s">
        <v>78</v>
      </c>
      <c r="L6" t="s">
        <v>111</v>
      </c>
      <c r="M6" t="s">
        <v>112</v>
      </c>
      <c r="N6" t="s">
        <v>94</v>
      </c>
      <c r="O6" t="s">
        <v>96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183.89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13</v>
      </c>
      <c r="BJ6">
        <v>1.4</v>
      </c>
      <c r="BK6">
        <v>13</v>
      </c>
      <c r="BL6">
        <v>466.79</v>
      </c>
      <c r="BM6">
        <v>70.02</v>
      </c>
      <c r="BN6">
        <v>536.80999999999995</v>
      </c>
      <c r="BO6">
        <v>536.80999999999995</v>
      </c>
      <c r="BQ6" t="s">
        <v>113</v>
      </c>
      <c r="BR6" t="s">
        <v>114</v>
      </c>
      <c r="BS6" s="3">
        <v>44893</v>
      </c>
      <c r="BT6" s="4">
        <v>0.4375</v>
      </c>
      <c r="BU6" t="s">
        <v>115</v>
      </c>
      <c r="BV6" t="s">
        <v>85</v>
      </c>
      <c r="BY6">
        <v>7238</v>
      </c>
      <c r="BZ6" t="s">
        <v>101</v>
      </c>
      <c r="CA6" t="s">
        <v>116</v>
      </c>
      <c r="CC6" t="s">
        <v>112</v>
      </c>
      <c r="CD6">
        <v>1620</v>
      </c>
      <c r="CE6" t="s">
        <v>88</v>
      </c>
      <c r="CF6" s="3">
        <v>44894</v>
      </c>
      <c r="CI6">
        <v>1</v>
      </c>
      <c r="CJ6">
        <v>1</v>
      </c>
      <c r="CK6">
        <v>21</v>
      </c>
      <c r="CL6" t="s">
        <v>89</v>
      </c>
    </row>
    <row r="7" spans="1:92" ht="15" customHeight="1" x14ac:dyDescent="0.3">
      <c r="A7" t="s">
        <v>72</v>
      </c>
      <c r="B7" t="s">
        <v>73</v>
      </c>
      <c r="C7" t="s">
        <v>74</v>
      </c>
      <c r="E7" t="str">
        <f>"009942701396"</f>
        <v>009942701396</v>
      </c>
      <c r="F7" s="3">
        <v>44890</v>
      </c>
      <c r="G7">
        <v>202308</v>
      </c>
      <c r="H7" t="s">
        <v>108</v>
      </c>
      <c r="I7" t="s">
        <v>109</v>
      </c>
      <c r="J7" t="s">
        <v>110</v>
      </c>
      <c r="K7" t="s">
        <v>78</v>
      </c>
      <c r="L7" t="s">
        <v>117</v>
      </c>
      <c r="M7" t="s">
        <v>118</v>
      </c>
      <c r="N7" t="s">
        <v>119</v>
      </c>
      <c r="O7" t="s">
        <v>96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28.3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71.84</v>
      </c>
      <c r="BM7">
        <v>10.78</v>
      </c>
      <c r="BN7">
        <v>82.62</v>
      </c>
      <c r="BO7">
        <v>82.62</v>
      </c>
      <c r="BQ7" t="s">
        <v>120</v>
      </c>
      <c r="BR7" t="s">
        <v>114</v>
      </c>
      <c r="BS7" s="3">
        <v>44893</v>
      </c>
      <c r="BT7" s="4">
        <v>0.72430555555555554</v>
      </c>
      <c r="BU7" t="s">
        <v>121</v>
      </c>
      <c r="BV7" t="s">
        <v>89</v>
      </c>
      <c r="BW7" t="s">
        <v>122</v>
      </c>
      <c r="BX7" t="s">
        <v>123</v>
      </c>
      <c r="BY7">
        <v>1200</v>
      </c>
      <c r="BZ7" t="s">
        <v>101</v>
      </c>
      <c r="CA7" t="s">
        <v>124</v>
      </c>
      <c r="CC7" t="s">
        <v>118</v>
      </c>
      <c r="CD7">
        <v>3608</v>
      </c>
      <c r="CE7" t="s">
        <v>88</v>
      </c>
      <c r="CF7" s="3">
        <v>44894</v>
      </c>
      <c r="CI7">
        <v>1</v>
      </c>
      <c r="CJ7">
        <v>1</v>
      </c>
      <c r="CK7">
        <v>21</v>
      </c>
      <c r="CL7" t="s">
        <v>89</v>
      </c>
    </row>
    <row r="8" spans="1:92" ht="15" customHeight="1" x14ac:dyDescent="0.3">
      <c r="A8" t="s">
        <v>72</v>
      </c>
      <c r="B8" t="s">
        <v>73</v>
      </c>
      <c r="C8" t="s">
        <v>74</v>
      </c>
      <c r="E8" t="str">
        <f>"009942701278"</f>
        <v>009942701278</v>
      </c>
      <c r="F8" s="3">
        <v>44890</v>
      </c>
      <c r="G8">
        <v>202308</v>
      </c>
      <c r="H8" t="s">
        <v>108</v>
      </c>
      <c r="I8" t="s">
        <v>109</v>
      </c>
      <c r="J8" t="s">
        <v>110</v>
      </c>
      <c r="K8" t="s">
        <v>78</v>
      </c>
      <c r="L8" t="s">
        <v>125</v>
      </c>
      <c r="M8" t="s">
        <v>126</v>
      </c>
      <c r="N8" t="s">
        <v>127</v>
      </c>
      <c r="O8" t="s">
        <v>96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84.88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6</v>
      </c>
      <c r="BJ8">
        <v>2.1</v>
      </c>
      <c r="BK8">
        <v>6</v>
      </c>
      <c r="BL8">
        <v>215.46</v>
      </c>
      <c r="BM8">
        <v>32.32</v>
      </c>
      <c r="BN8">
        <v>247.78</v>
      </c>
      <c r="BO8">
        <v>247.78</v>
      </c>
      <c r="BQ8" t="s">
        <v>128</v>
      </c>
      <c r="BR8" t="s">
        <v>114</v>
      </c>
      <c r="BS8" s="3">
        <v>44894</v>
      </c>
      <c r="BT8" s="4">
        <v>0.3923611111111111</v>
      </c>
      <c r="BU8" t="s">
        <v>129</v>
      </c>
      <c r="BV8" t="s">
        <v>89</v>
      </c>
      <c r="BW8" t="s">
        <v>130</v>
      </c>
      <c r="BX8" t="s">
        <v>131</v>
      </c>
      <c r="BY8">
        <v>10700</v>
      </c>
      <c r="BZ8" t="s">
        <v>101</v>
      </c>
      <c r="CA8" t="s">
        <v>132</v>
      </c>
      <c r="CC8" t="s">
        <v>126</v>
      </c>
      <c r="CD8">
        <v>5200</v>
      </c>
      <c r="CE8" t="s">
        <v>88</v>
      </c>
      <c r="CF8" s="3">
        <v>44894</v>
      </c>
      <c r="CI8">
        <v>1</v>
      </c>
      <c r="CJ8">
        <v>2</v>
      </c>
      <c r="CK8">
        <v>21</v>
      </c>
      <c r="CL8" t="s">
        <v>89</v>
      </c>
    </row>
    <row r="9" spans="1:92" ht="15" customHeight="1" x14ac:dyDescent="0.3">
      <c r="A9" t="s">
        <v>72</v>
      </c>
      <c r="B9" t="s">
        <v>73</v>
      </c>
      <c r="C9" t="s">
        <v>74</v>
      </c>
      <c r="E9" t="str">
        <f>"009943061761"</f>
        <v>009943061761</v>
      </c>
      <c r="F9" s="3">
        <v>44889</v>
      </c>
      <c r="G9">
        <v>202308</v>
      </c>
      <c r="H9" t="s">
        <v>75</v>
      </c>
      <c r="I9" t="s">
        <v>76</v>
      </c>
      <c r="J9" t="s">
        <v>77</v>
      </c>
      <c r="K9" t="s">
        <v>78</v>
      </c>
      <c r="L9" t="s">
        <v>75</v>
      </c>
      <c r="M9" t="s">
        <v>76</v>
      </c>
      <c r="N9" t="s">
        <v>133</v>
      </c>
      <c r="O9" t="s">
        <v>96</v>
      </c>
      <c r="P9" t="str">
        <f>"188577                        "</f>
        <v xml:space="preserve">188577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22.11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2.4</v>
      </c>
      <c r="BK9">
        <v>2.5</v>
      </c>
      <c r="BL9">
        <v>56.12</v>
      </c>
      <c r="BM9">
        <v>8.42</v>
      </c>
      <c r="BN9">
        <v>64.540000000000006</v>
      </c>
      <c r="BO9">
        <v>64.540000000000006</v>
      </c>
      <c r="BR9" t="s">
        <v>83</v>
      </c>
      <c r="BS9" t="s">
        <v>93</v>
      </c>
      <c r="BY9">
        <v>12000</v>
      </c>
      <c r="BZ9" t="s">
        <v>101</v>
      </c>
      <c r="CC9" t="s">
        <v>76</v>
      </c>
      <c r="CD9">
        <v>7806</v>
      </c>
      <c r="CE9" t="s">
        <v>88</v>
      </c>
      <c r="CI9">
        <v>1</v>
      </c>
      <c r="CJ9" t="s">
        <v>93</v>
      </c>
      <c r="CK9">
        <v>22</v>
      </c>
      <c r="CL9" t="s">
        <v>89</v>
      </c>
    </row>
    <row r="10" spans="1:92" ht="15" customHeight="1" x14ac:dyDescent="0.3">
      <c r="A10" t="s">
        <v>72</v>
      </c>
      <c r="B10" t="s">
        <v>73</v>
      </c>
      <c r="C10" t="s">
        <v>74</v>
      </c>
      <c r="E10" t="str">
        <f>"009943061788"</f>
        <v>009943061788</v>
      </c>
      <c r="F10" s="3">
        <v>44890</v>
      </c>
      <c r="G10">
        <v>202308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134</v>
      </c>
      <c r="O10" t="s">
        <v>96</v>
      </c>
      <c r="P10" t="str">
        <f>"188680                        "</f>
        <v xml:space="preserve">188680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28.3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0.7</v>
      </c>
      <c r="BK10">
        <v>1</v>
      </c>
      <c r="BL10">
        <v>71.84</v>
      </c>
      <c r="BM10">
        <v>10.78</v>
      </c>
      <c r="BN10">
        <v>82.62</v>
      </c>
      <c r="BO10">
        <v>82.62</v>
      </c>
      <c r="BR10" t="s">
        <v>83</v>
      </c>
      <c r="BS10" s="3">
        <v>44893</v>
      </c>
      <c r="BT10" s="4">
        <v>0.38680555555555557</v>
      </c>
      <c r="BU10" t="s">
        <v>135</v>
      </c>
      <c r="BV10" t="s">
        <v>85</v>
      </c>
      <c r="BY10">
        <v>3623.55</v>
      </c>
      <c r="BZ10" t="s">
        <v>101</v>
      </c>
      <c r="CA10" t="s">
        <v>136</v>
      </c>
      <c r="CC10" t="s">
        <v>80</v>
      </c>
      <c r="CD10">
        <v>2196</v>
      </c>
      <c r="CE10" t="s">
        <v>88</v>
      </c>
      <c r="CF10" s="3">
        <v>44894</v>
      </c>
      <c r="CI10">
        <v>1</v>
      </c>
      <c r="CJ10">
        <v>1</v>
      </c>
      <c r="CK10">
        <v>21</v>
      </c>
      <c r="CL10" t="s">
        <v>89</v>
      </c>
    </row>
    <row r="11" spans="1:92" ht="15" customHeight="1" x14ac:dyDescent="0.3">
      <c r="A11" t="s">
        <v>72</v>
      </c>
      <c r="B11" t="s">
        <v>73</v>
      </c>
      <c r="C11" t="s">
        <v>74</v>
      </c>
      <c r="E11" t="str">
        <f>"009943061772"</f>
        <v>009943061772</v>
      </c>
      <c r="F11" s="3">
        <v>44890</v>
      </c>
      <c r="G11">
        <v>202308</v>
      </c>
      <c r="H11" t="s">
        <v>75</v>
      </c>
      <c r="I11" t="s">
        <v>76</v>
      </c>
      <c r="J11" t="s">
        <v>77</v>
      </c>
      <c r="K11" t="s">
        <v>78</v>
      </c>
      <c r="L11" t="s">
        <v>137</v>
      </c>
      <c r="M11" t="s">
        <v>138</v>
      </c>
      <c r="N11" t="s">
        <v>139</v>
      </c>
      <c r="O11" t="s">
        <v>82</v>
      </c>
      <c r="P11" t="str">
        <f>"188637                        "</f>
        <v xml:space="preserve">188637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69.88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3.7</v>
      </c>
      <c r="BJ11">
        <v>20.399999999999999</v>
      </c>
      <c r="BK11">
        <v>21</v>
      </c>
      <c r="BL11">
        <v>182.64</v>
      </c>
      <c r="BM11">
        <v>27.4</v>
      </c>
      <c r="BN11">
        <v>210.04</v>
      </c>
      <c r="BO11">
        <v>210.04</v>
      </c>
      <c r="BR11" t="s">
        <v>83</v>
      </c>
      <c r="BS11" s="3">
        <v>44893</v>
      </c>
      <c r="BT11" s="4">
        <v>0.58333333333333337</v>
      </c>
      <c r="BU11" t="s">
        <v>140</v>
      </c>
      <c r="BV11" t="s">
        <v>85</v>
      </c>
      <c r="BY11">
        <v>101936.07</v>
      </c>
      <c r="BZ11" t="s">
        <v>86</v>
      </c>
      <c r="CA11" t="s">
        <v>141</v>
      </c>
      <c r="CC11" t="s">
        <v>138</v>
      </c>
      <c r="CD11">
        <v>7300</v>
      </c>
      <c r="CE11" t="s">
        <v>88</v>
      </c>
      <c r="CF11" s="3">
        <v>44894</v>
      </c>
      <c r="CI11">
        <v>1</v>
      </c>
      <c r="CJ11">
        <v>1</v>
      </c>
      <c r="CK11">
        <v>44</v>
      </c>
      <c r="CL11" t="s">
        <v>89</v>
      </c>
    </row>
    <row r="12" spans="1:92" ht="15" customHeight="1" x14ac:dyDescent="0.3">
      <c r="A12" t="s">
        <v>72</v>
      </c>
      <c r="B12" t="s">
        <v>73</v>
      </c>
      <c r="C12" t="s">
        <v>74</v>
      </c>
      <c r="E12" t="str">
        <f>"009943061773"</f>
        <v>009943061773</v>
      </c>
      <c r="F12" s="3">
        <v>44890</v>
      </c>
      <c r="G12">
        <v>202308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142</v>
      </c>
      <c r="O12" t="s">
        <v>96</v>
      </c>
      <c r="P12" t="str">
        <f>"188643                        "</f>
        <v xml:space="preserve">188643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22.11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0.6</v>
      </c>
      <c r="BK12">
        <v>1</v>
      </c>
      <c r="BL12">
        <v>56.12</v>
      </c>
      <c r="BM12">
        <v>8.42</v>
      </c>
      <c r="BN12">
        <v>64.540000000000006</v>
      </c>
      <c r="BO12">
        <v>64.540000000000006</v>
      </c>
      <c r="BQ12" t="s">
        <v>143</v>
      </c>
      <c r="BR12" t="s">
        <v>83</v>
      </c>
      <c r="BS12" s="3">
        <v>44893</v>
      </c>
      <c r="BT12" s="4">
        <v>0.38541666666666669</v>
      </c>
      <c r="BU12" t="s">
        <v>144</v>
      </c>
      <c r="BV12" t="s">
        <v>85</v>
      </c>
      <c r="BY12">
        <v>3002.4</v>
      </c>
      <c r="BZ12" t="s">
        <v>101</v>
      </c>
      <c r="CA12" t="s">
        <v>145</v>
      </c>
      <c r="CC12" t="s">
        <v>76</v>
      </c>
      <c r="CD12">
        <v>7441</v>
      </c>
      <c r="CE12" t="s">
        <v>88</v>
      </c>
      <c r="CF12" s="3">
        <v>44894</v>
      </c>
      <c r="CI12">
        <v>1</v>
      </c>
      <c r="CJ12">
        <v>1</v>
      </c>
      <c r="CK12">
        <v>22</v>
      </c>
      <c r="CL12" t="s">
        <v>89</v>
      </c>
    </row>
    <row r="13" spans="1:92" ht="15" customHeight="1" x14ac:dyDescent="0.3">
      <c r="A13" t="s">
        <v>72</v>
      </c>
      <c r="B13" t="s">
        <v>73</v>
      </c>
      <c r="C13" t="s">
        <v>74</v>
      </c>
      <c r="E13" t="str">
        <f>"009943061776"</f>
        <v>009943061776</v>
      </c>
      <c r="F13" s="3">
        <v>44890</v>
      </c>
      <c r="G13">
        <v>202308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146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54.73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3.2</v>
      </c>
      <c r="BJ13">
        <v>11.4</v>
      </c>
      <c r="BK13">
        <v>12</v>
      </c>
      <c r="BL13">
        <v>144.18</v>
      </c>
      <c r="BM13">
        <v>21.63</v>
      </c>
      <c r="BN13">
        <v>165.81</v>
      </c>
      <c r="BO13">
        <v>165.81</v>
      </c>
      <c r="BR13" t="s">
        <v>83</v>
      </c>
      <c r="BS13" s="3">
        <v>44894</v>
      </c>
      <c r="BT13" s="4">
        <v>0.625</v>
      </c>
      <c r="BU13" t="s">
        <v>147</v>
      </c>
      <c r="BV13" t="s">
        <v>85</v>
      </c>
      <c r="BY13">
        <v>57153.599999999999</v>
      </c>
      <c r="BZ13" t="s">
        <v>86</v>
      </c>
      <c r="CC13" t="s">
        <v>80</v>
      </c>
      <c r="CD13">
        <v>2196</v>
      </c>
      <c r="CE13" t="s">
        <v>88</v>
      </c>
      <c r="CF13" s="3">
        <v>44895</v>
      </c>
      <c r="CI13">
        <v>2</v>
      </c>
      <c r="CJ13">
        <v>2</v>
      </c>
      <c r="CK13">
        <v>41</v>
      </c>
      <c r="CL13" t="s">
        <v>89</v>
      </c>
    </row>
    <row r="14" spans="1:92" ht="15" customHeight="1" x14ac:dyDescent="0.3">
      <c r="A14" t="s">
        <v>72</v>
      </c>
      <c r="B14" t="s">
        <v>73</v>
      </c>
      <c r="C14" t="s">
        <v>74</v>
      </c>
      <c r="E14" t="str">
        <f>"009943061770"</f>
        <v>009943061770</v>
      </c>
      <c r="F14" s="3">
        <v>44890</v>
      </c>
      <c r="G14">
        <v>202308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148</v>
      </c>
      <c r="O14" t="s">
        <v>82</v>
      </c>
      <c r="P14" t="str">
        <f>"28226                         "</f>
        <v xml:space="preserve">28226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54.73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2.7</v>
      </c>
      <c r="BJ14">
        <v>11.4</v>
      </c>
      <c r="BK14">
        <v>12</v>
      </c>
      <c r="BL14">
        <v>144.18</v>
      </c>
      <c r="BM14">
        <v>21.63</v>
      </c>
      <c r="BN14">
        <v>165.81</v>
      </c>
      <c r="BO14">
        <v>165.81</v>
      </c>
      <c r="BR14" t="s">
        <v>83</v>
      </c>
      <c r="BS14" s="3">
        <v>44893</v>
      </c>
      <c r="BT14" s="4">
        <v>0.4375</v>
      </c>
      <c r="BU14" t="s">
        <v>149</v>
      </c>
      <c r="BV14" t="s">
        <v>85</v>
      </c>
      <c r="BY14">
        <v>57153.599999999999</v>
      </c>
      <c r="BZ14" t="s">
        <v>86</v>
      </c>
      <c r="CC14" t="s">
        <v>80</v>
      </c>
      <c r="CD14">
        <v>2119</v>
      </c>
      <c r="CE14" t="s">
        <v>88</v>
      </c>
      <c r="CF14" s="3">
        <v>44894</v>
      </c>
      <c r="CI14">
        <v>2</v>
      </c>
      <c r="CJ14">
        <v>1</v>
      </c>
      <c r="CK14">
        <v>41</v>
      </c>
      <c r="CL14" t="s">
        <v>89</v>
      </c>
    </row>
    <row r="15" spans="1:92" ht="15" customHeight="1" x14ac:dyDescent="0.3">
      <c r="A15" t="s">
        <v>72</v>
      </c>
      <c r="B15" t="s">
        <v>73</v>
      </c>
      <c r="C15" t="s">
        <v>74</v>
      </c>
      <c r="E15" t="str">
        <f>"009943061771"</f>
        <v>009943061771</v>
      </c>
      <c r="F15" s="3">
        <v>44890</v>
      </c>
      <c r="G15">
        <v>202308</v>
      </c>
      <c r="H15" t="s">
        <v>75</v>
      </c>
      <c r="I15" t="s">
        <v>76</v>
      </c>
      <c r="J15" t="s">
        <v>77</v>
      </c>
      <c r="K15" t="s">
        <v>78</v>
      </c>
      <c r="L15" t="s">
        <v>75</v>
      </c>
      <c r="M15" t="s">
        <v>76</v>
      </c>
      <c r="N15" t="s">
        <v>150</v>
      </c>
      <c r="O15" t="s">
        <v>82</v>
      </c>
      <c r="P15" t="str">
        <f>"188606                        "</f>
        <v xml:space="preserve">188606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49.64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3.9</v>
      </c>
      <c r="BJ15">
        <v>20.3</v>
      </c>
      <c r="BK15">
        <v>21</v>
      </c>
      <c r="BL15">
        <v>131.26</v>
      </c>
      <c r="BM15">
        <v>19.690000000000001</v>
      </c>
      <c r="BN15">
        <v>150.94999999999999</v>
      </c>
      <c r="BO15">
        <v>150.94999999999999</v>
      </c>
      <c r="BR15" t="s">
        <v>83</v>
      </c>
      <c r="BS15" s="3">
        <v>44894</v>
      </c>
      <c r="BT15" s="4">
        <v>0.58680555555555558</v>
      </c>
      <c r="BU15" t="s">
        <v>151</v>
      </c>
      <c r="BV15" t="s">
        <v>89</v>
      </c>
      <c r="BW15" t="s">
        <v>99</v>
      </c>
      <c r="BX15" t="s">
        <v>152</v>
      </c>
      <c r="BY15">
        <v>101630.45</v>
      </c>
      <c r="BZ15" t="s">
        <v>86</v>
      </c>
      <c r="CC15" t="s">
        <v>76</v>
      </c>
      <c r="CD15">
        <v>7550</v>
      </c>
      <c r="CE15" t="s">
        <v>88</v>
      </c>
      <c r="CI15">
        <v>1</v>
      </c>
      <c r="CJ15">
        <v>2</v>
      </c>
      <c r="CK15">
        <v>42</v>
      </c>
      <c r="CL15" t="s">
        <v>89</v>
      </c>
    </row>
    <row r="16" spans="1:92" ht="15" customHeight="1" x14ac:dyDescent="0.3">
      <c r="A16" t="s">
        <v>72</v>
      </c>
      <c r="B16" t="s">
        <v>73</v>
      </c>
      <c r="C16" t="s">
        <v>74</v>
      </c>
      <c r="E16" t="str">
        <f>"009943061769"</f>
        <v>009943061769</v>
      </c>
      <c r="F16" s="3">
        <v>44890</v>
      </c>
      <c r="G16">
        <v>202308</v>
      </c>
      <c r="H16" t="s">
        <v>75</v>
      </c>
      <c r="I16" t="s">
        <v>76</v>
      </c>
      <c r="J16" t="s">
        <v>77</v>
      </c>
      <c r="K16" t="s">
        <v>78</v>
      </c>
      <c r="L16" t="s">
        <v>153</v>
      </c>
      <c r="M16" t="s">
        <v>154</v>
      </c>
      <c r="N16" t="s">
        <v>155</v>
      </c>
      <c r="O16" t="s">
        <v>96</v>
      </c>
      <c r="P16" t="str">
        <f>"188610                        "</f>
        <v xml:space="preserve">188610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136.72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1.3</v>
      </c>
      <c r="BJ16">
        <v>6.7</v>
      </c>
      <c r="BK16">
        <v>7</v>
      </c>
      <c r="BL16">
        <v>347.06</v>
      </c>
      <c r="BM16">
        <v>52.06</v>
      </c>
      <c r="BN16">
        <v>399.12</v>
      </c>
      <c r="BO16">
        <v>399.12</v>
      </c>
      <c r="BR16" t="s">
        <v>83</v>
      </c>
      <c r="BS16" s="3">
        <v>44893</v>
      </c>
      <c r="BT16" s="4">
        <v>0.69236111111111109</v>
      </c>
      <c r="BU16" t="s">
        <v>156</v>
      </c>
      <c r="BV16" t="s">
        <v>89</v>
      </c>
      <c r="BW16" t="s">
        <v>157</v>
      </c>
      <c r="BX16" t="s">
        <v>158</v>
      </c>
      <c r="BY16">
        <v>33682.480000000003</v>
      </c>
      <c r="BZ16" t="s">
        <v>101</v>
      </c>
      <c r="CA16" t="s">
        <v>159</v>
      </c>
      <c r="CC16" t="s">
        <v>154</v>
      </c>
      <c r="CD16">
        <v>7140</v>
      </c>
      <c r="CE16" t="s">
        <v>88</v>
      </c>
      <c r="CF16" s="3">
        <v>44894</v>
      </c>
      <c r="CI16">
        <v>1</v>
      </c>
      <c r="CJ16">
        <v>1</v>
      </c>
      <c r="CK16">
        <v>24</v>
      </c>
      <c r="CL16" t="s">
        <v>89</v>
      </c>
    </row>
    <row r="17" spans="1:90" ht="15" customHeight="1" x14ac:dyDescent="0.3">
      <c r="A17" t="s">
        <v>72</v>
      </c>
      <c r="B17" t="s">
        <v>73</v>
      </c>
      <c r="C17" t="s">
        <v>74</v>
      </c>
      <c r="E17" t="str">
        <f>"009942917364"</f>
        <v>009942917364</v>
      </c>
      <c r="F17" s="3">
        <v>44890</v>
      </c>
      <c r="G17">
        <v>202308</v>
      </c>
      <c r="H17" t="s">
        <v>111</v>
      </c>
      <c r="I17" t="s">
        <v>112</v>
      </c>
      <c r="J17" t="s">
        <v>94</v>
      </c>
      <c r="K17" t="s">
        <v>78</v>
      </c>
      <c r="L17" t="s">
        <v>160</v>
      </c>
      <c r="M17" t="s">
        <v>161</v>
      </c>
      <c r="N17" t="s">
        <v>162</v>
      </c>
      <c r="O17" t="s">
        <v>96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39.81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1.8</v>
      </c>
      <c r="BJ17">
        <v>0.6</v>
      </c>
      <c r="BK17">
        <v>2</v>
      </c>
      <c r="BL17">
        <v>101.05</v>
      </c>
      <c r="BM17">
        <v>15.16</v>
      </c>
      <c r="BN17">
        <v>116.21</v>
      </c>
      <c r="BO17">
        <v>116.21</v>
      </c>
      <c r="BQ17" t="s">
        <v>163</v>
      </c>
      <c r="BR17" t="s">
        <v>113</v>
      </c>
      <c r="BS17" s="3">
        <v>44893</v>
      </c>
      <c r="BT17" s="4">
        <v>0.54097222222222219</v>
      </c>
      <c r="BU17" t="s">
        <v>164</v>
      </c>
      <c r="BV17" t="s">
        <v>85</v>
      </c>
      <c r="BY17">
        <v>2963.1</v>
      </c>
      <c r="BZ17" t="s">
        <v>101</v>
      </c>
      <c r="CA17" t="s">
        <v>165</v>
      </c>
      <c r="CC17" t="s">
        <v>161</v>
      </c>
      <c r="CD17">
        <v>2333</v>
      </c>
      <c r="CE17" t="s">
        <v>88</v>
      </c>
      <c r="CF17" s="3">
        <v>44894</v>
      </c>
      <c r="CI17">
        <v>5</v>
      </c>
      <c r="CJ17">
        <v>1</v>
      </c>
      <c r="CK17">
        <v>24</v>
      </c>
      <c r="CL17" t="s">
        <v>89</v>
      </c>
    </row>
    <row r="18" spans="1:90" ht="15" customHeight="1" x14ac:dyDescent="0.3">
      <c r="A18" t="s">
        <v>72</v>
      </c>
      <c r="B18" t="s">
        <v>73</v>
      </c>
      <c r="C18" t="s">
        <v>74</v>
      </c>
      <c r="E18" t="str">
        <f>"009943061801"</f>
        <v>009943061801</v>
      </c>
      <c r="F18" s="3">
        <v>44894</v>
      </c>
      <c r="G18">
        <v>202308</v>
      </c>
      <c r="H18" t="s">
        <v>75</v>
      </c>
      <c r="I18" t="s">
        <v>76</v>
      </c>
      <c r="J18" t="s">
        <v>77</v>
      </c>
      <c r="K18" t="s">
        <v>78</v>
      </c>
      <c r="L18" t="s">
        <v>166</v>
      </c>
      <c r="M18" t="s">
        <v>167</v>
      </c>
      <c r="N18" t="s">
        <v>168</v>
      </c>
      <c r="O18" t="s">
        <v>96</v>
      </c>
      <c r="P18" t="str">
        <f>"INV188937                     "</f>
        <v xml:space="preserve">INV188937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35.369999999999997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2.5</v>
      </c>
      <c r="BK18">
        <v>2.5</v>
      </c>
      <c r="BL18">
        <v>89.79</v>
      </c>
      <c r="BM18">
        <v>13.47</v>
      </c>
      <c r="BN18">
        <v>103.26</v>
      </c>
      <c r="BO18">
        <v>103.26</v>
      </c>
      <c r="BQ18" t="s">
        <v>169</v>
      </c>
      <c r="BR18" t="s">
        <v>83</v>
      </c>
      <c r="BS18" s="3">
        <v>44895</v>
      </c>
      <c r="BT18" s="4">
        <v>0.36041666666666666</v>
      </c>
      <c r="BU18" t="s">
        <v>170</v>
      </c>
      <c r="BV18" t="s">
        <v>85</v>
      </c>
      <c r="BY18">
        <v>12726.28</v>
      </c>
      <c r="BZ18" t="s">
        <v>101</v>
      </c>
      <c r="CA18" t="s">
        <v>171</v>
      </c>
      <c r="CC18" t="s">
        <v>167</v>
      </c>
      <c r="CD18">
        <v>1</v>
      </c>
      <c r="CE18" t="s">
        <v>88</v>
      </c>
      <c r="CI18">
        <v>1</v>
      </c>
      <c r="CJ18">
        <v>1</v>
      </c>
      <c r="CK18">
        <v>21</v>
      </c>
      <c r="CL18" t="s">
        <v>89</v>
      </c>
    </row>
    <row r="19" spans="1:90" ht="15" customHeight="1" x14ac:dyDescent="0.3">
      <c r="A19" t="s">
        <v>72</v>
      </c>
      <c r="B19" t="s">
        <v>73</v>
      </c>
      <c r="C19" t="s">
        <v>74</v>
      </c>
      <c r="E19" t="str">
        <f>"009943061800"</f>
        <v>009943061800</v>
      </c>
      <c r="F19" s="3">
        <v>44894</v>
      </c>
      <c r="G19">
        <v>202308</v>
      </c>
      <c r="H19" t="s">
        <v>75</v>
      </c>
      <c r="I19" t="s">
        <v>76</v>
      </c>
      <c r="J19" t="s">
        <v>77</v>
      </c>
      <c r="K19" t="s">
        <v>78</v>
      </c>
      <c r="L19" t="s">
        <v>172</v>
      </c>
      <c r="M19" t="s">
        <v>173</v>
      </c>
      <c r="N19" t="s">
        <v>174</v>
      </c>
      <c r="O19" t="s">
        <v>82</v>
      </c>
      <c r="P19" t="str">
        <f>"INV188934                     "</f>
        <v xml:space="preserve">INV188934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54.73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3.2</v>
      </c>
      <c r="BJ19">
        <v>12.2</v>
      </c>
      <c r="BK19">
        <v>13</v>
      </c>
      <c r="BL19">
        <v>144.18</v>
      </c>
      <c r="BM19">
        <v>21.63</v>
      </c>
      <c r="BN19">
        <v>165.81</v>
      </c>
      <c r="BO19">
        <v>165.81</v>
      </c>
      <c r="BQ19" t="s">
        <v>175</v>
      </c>
      <c r="BR19" t="s">
        <v>83</v>
      </c>
      <c r="BS19" t="s">
        <v>93</v>
      </c>
      <c r="BY19">
        <v>60898.25</v>
      </c>
      <c r="BZ19" t="s">
        <v>86</v>
      </c>
      <c r="CC19" t="s">
        <v>173</v>
      </c>
      <c r="CD19">
        <v>1501</v>
      </c>
      <c r="CE19" t="s">
        <v>88</v>
      </c>
      <c r="CI19">
        <v>2</v>
      </c>
      <c r="CJ19" t="s">
        <v>93</v>
      </c>
      <c r="CK19">
        <v>41</v>
      </c>
      <c r="CL19" t="s">
        <v>89</v>
      </c>
    </row>
    <row r="20" spans="1:90" ht="15" customHeight="1" x14ac:dyDescent="0.3">
      <c r="A20" t="s">
        <v>72</v>
      </c>
      <c r="B20" t="s">
        <v>73</v>
      </c>
      <c r="C20" t="s">
        <v>74</v>
      </c>
      <c r="E20" t="str">
        <f>"009943061791"</f>
        <v>009943061791</v>
      </c>
      <c r="F20" s="3">
        <v>44894</v>
      </c>
      <c r="G20">
        <v>202308</v>
      </c>
      <c r="H20" t="s">
        <v>75</v>
      </c>
      <c r="I20" t="s">
        <v>76</v>
      </c>
      <c r="J20" t="s">
        <v>77</v>
      </c>
      <c r="K20" t="s">
        <v>78</v>
      </c>
      <c r="L20" t="s">
        <v>166</v>
      </c>
      <c r="M20" t="s">
        <v>167</v>
      </c>
      <c r="N20" t="s">
        <v>168</v>
      </c>
      <c r="O20" t="s">
        <v>96</v>
      </c>
      <c r="P20" t="str">
        <f>"INV1886                       "</f>
        <v xml:space="preserve">INV1886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106.09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2.2000000000000002</v>
      </c>
      <c r="BJ20">
        <v>7.3</v>
      </c>
      <c r="BK20">
        <v>7.5</v>
      </c>
      <c r="BL20">
        <v>269.31</v>
      </c>
      <c r="BM20">
        <v>40.4</v>
      </c>
      <c r="BN20">
        <v>309.70999999999998</v>
      </c>
      <c r="BO20">
        <v>309.70999999999998</v>
      </c>
      <c r="BQ20" t="s">
        <v>176</v>
      </c>
      <c r="BR20" t="s">
        <v>83</v>
      </c>
      <c r="BS20" t="s">
        <v>93</v>
      </c>
      <c r="BY20">
        <v>36480</v>
      </c>
      <c r="BZ20" t="s">
        <v>101</v>
      </c>
      <c r="CC20" t="s">
        <v>167</v>
      </c>
      <c r="CD20">
        <v>1</v>
      </c>
      <c r="CE20" t="s">
        <v>88</v>
      </c>
      <c r="CI20">
        <v>1</v>
      </c>
      <c r="CJ20" t="s">
        <v>93</v>
      </c>
      <c r="CK20">
        <v>21</v>
      </c>
      <c r="CL20" t="s">
        <v>89</v>
      </c>
    </row>
    <row r="21" spans="1:90" ht="15" customHeight="1" x14ac:dyDescent="0.3">
      <c r="A21" t="s">
        <v>72</v>
      </c>
      <c r="B21" t="s">
        <v>73</v>
      </c>
      <c r="C21" t="s">
        <v>74</v>
      </c>
      <c r="E21" t="str">
        <f>"009943061799"</f>
        <v>009943061799</v>
      </c>
      <c r="F21" s="3">
        <v>44894</v>
      </c>
      <c r="G21">
        <v>202308</v>
      </c>
      <c r="H21" t="s">
        <v>75</v>
      </c>
      <c r="I21" t="s">
        <v>76</v>
      </c>
      <c r="J21" t="s">
        <v>77</v>
      </c>
      <c r="K21" t="s">
        <v>78</v>
      </c>
      <c r="L21" t="s">
        <v>177</v>
      </c>
      <c r="M21" t="s">
        <v>178</v>
      </c>
      <c r="N21" t="s">
        <v>168</v>
      </c>
      <c r="O21" t="s">
        <v>82</v>
      </c>
      <c r="P21" t="str">
        <f>"INV188935                     "</f>
        <v xml:space="preserve">INV188935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77.19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0.8</v>
      </c>
      <c r="BJ21">
        <v>3.1</v>
      </c>
      <c r="BK21">
        <v>4</v>
      </c>
      <c r="BL21">
        <v>201.19</v>
      </c>
      <c r="BM21">
        <v>30.18</v>
      </c>
      <c r="BN21">
        <v>231.37</v>
      </c>
      <c r="BO21">
        <v>231.37</v>
      </c>
      <c r="BQ21" t="s">
        <v>179</v>
      </c>
      <c r="BR21" t="s">
        <v>83</v>
      </c>
      <c r="BS21" t="s">
        <v>93</v>
      </c>
      <c r="BY21">
        <v>15329.58</v>
      </c>
      <c r="BZ21" t="s">
        <v>86</v>
      </c>
      <c r="CC21" t="s">
        <v>178</v>
      </c>
      <c r="CD21">
        <v>4170</v>
      </c>
      <c r="CE21" t="s">
        <v>88</v>
      </c>
      <c r="CI21">
        <v>3</v>
      </c>
      <c r="CJ21" t="s">
        <v>93</v>
      </c>
      <c r="CK21">
        <v>43</v>
      </c>
      <c r="CL21" t="s">
        <v>89</v>
      </c>
    </row>
    <row r="22" spans="1:90" ht="15" customHeight="1" x14ac:dyDescent="0.3">
      <c r="A22" t="s">
        <v>72</v>
      </c>
      <c r="B22" t="s">
        <v>73</v>
      </c>
      <c r="C22" t="s">
        <v>74</v>
      </c>
      <c r="E22" t="str">
        <f>"009943061793"</f>
        <v>009943061793</v>
      </c>
      <c r="F22" s="3">
        <v>44894</v>
      </c>
      <c r="G22">
        <v>202308</v>
      </c>
      <c r="H22" t="s">
        <v>75</v>
      </c>
      <c r="I22" t="s">
        <v>76</v>
      </c>
      <c r="J22" t="s">
        <v>77</v>
      </c>
      <c r="K22" t="s">
        <v>78</v>
      </c>
      <c r="L22" t="s">
        <v>180</v>
      </c>
      <c r="M22" t="s">
        <v>181</v>
      </c>
      <c r="N22" t="s">
        <v>168</v>
      </c>
      <c r="O22" t="s">
        <v>82</v>
      </c>
      <c r="P22" t="str">
        <f>"INV18888                      "</f>
        <v xml:space="preserve">INV18888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54.73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0.6</v>
      </c>
      <c r="BK22">
        <v>1</v>
      </c>
      <c r="BL22">
        <v>144.18</v>
      </c>
      <c r="BM22">
        <v>21.63</v>
      </c>
      <c r="BN22">
        <v>165.81</v>
      </c>
      <c r="BO22">
        <v>165.81</v>
      </c>
      <c r="BQ22" t="s">
        <v>182</v>
      </c>
      <c r="BR22" t="s">
        <v>83</v>
      </c>
      <c r="BS22" t="s">
        <v>93</v>
      </c>
      <c r="BY22">
        <v>3039.4</v>
      </c>
      <c r="BZ22" t="s">
        <v>86</v>
      </c>
      <c r="CC22" t="s">
        <v>181</v>
      </c>
      <c r="CD22">
        <v>4051</v>
      </c>
      <c r="CE22" t="s">
        <v>88</v>
      </c>
      <c r="CI22">
        <v>3</v>
      </c>
      <c r="CJ22" t="s">
        <v>93</v>
      </c>
      <c r="CK22">
        <v>41</v>
      </c>
      <c r="CL22" t="s">
        <v>89</v>
      </c>
    </row>
    <row r="23" spans="1:90" ht="15" customHeight="1" x14ac:dyDescent="0.3">
      <c r="A23" t="s">
        <v>72</v>
      </c>
      <c r="B23" t="s">
        <v>73</v>
      </c>
      <c r="C23" t="s">
        <v>74</v>
      </c>
      <c r="E23" t="str">
        <f>"009943061794"</f>
        <v>009943061794</v>
      </c>
      <c r="F23" s="3">
        <v>44894</v>
      </c>
      <c r="G23">
        <v>202308</v>
      </c>
      <c r="H23" t="s">
        <v>75</v>
      </c>
      <c r="I23" t="s">
        <v>76</v>
      </c>
      <c r="J23" t="s">
        <v>77</v>
      </c>
      <c r="K23" t="s">
        <v>78</v>
      </c>
      <c r="L23" t="s">
        <v>166</v>
      </c>
      <c r="M23" t="s">
        <v>167</v>
      </c>
      <c r="N23" t="s">
        <v>168</v>
      </c>
      <c r="O23" t="s">
        <v>96</v>
      </c>
      <c r="P23" t="str">
        <f>"INV18885                      "</f>
        <v xml:space="preserve">INV18885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42.45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2.6</v>
      </c>
      <c r="BK23">
        <v>3</v>
      </c>
      <c r="BL23">
        <v>107.75</v>
      </c>
      <c r="BM23">
        <v>16.16</v>
      </c>
      <c r="BN23">
        <v>123.91</v>
      </c>
      <c r="BO23">
        <v>123.91</v>
      </c>
      <c r="BQ23" t="s">
        <v>183</v>
      </c>
      <c r="BR23" t="s">
        <v>83</v>
      </c>
      <c r="BS23" t="s">
        <v>93</v>
      </c>
      <c r="BY23">
        <v>13108.29</v>
      </c>
      <c r="BZ23" t="s">
        <v>101</v>
      </c>
      <c r="CC23" t="s">
        <v>167</v>
      </c>
      <c r="CD23">
        <v>1</v>
      </c>
      <c r="CE23" t="s">
        <v>88</v>
      </c>
      <c r="CI23">
        <v>1</v>
      </c>
      <c r="CJ23" t="s">
        <v>93</v>
      </c>
      <c r="CK23">
        <v>21</v>
      </c>
      <c r="CL23" t="s">
        <v>89</v>
      </c>
    </row>
    <row r="24" spans="1:90" ht="15" customHeight="1" x14ac:dyDescent="0.3">
      <c r="A24" t="s">
        <v>72</v>
      </c>
      <c r="B24" t="s">
        <v>73</v>
      </c>
      <c r="C24" t="s">
        <v>74</v>
      </c>
      <c r="E24" t="str">
        <f>"009943061790"</f>
        <v>009943061790</v>
      </c>
      <c r="F24" s="3">
        <v>44894</v>
      </c>
      <c r="G24">
        <v>202308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168</v>
      </c>
      <c r="O24" t="s">
        <v>96</v>
      </c>
      <c r="P24" t="str">
        <f>"INV188833                     "</f>
        <v xml:space="preserve">INV188833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22.11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0.8</v>
      </c>
      <c r="BK24">
        <v>1</v>
      </c>
      <c r="BL24">
        <v>56.12</v>
      </c>
      <c r="BM24">
        <v>8.42</v>
      </c>
      <c r="BN24">
        <v>64.540000000000006</v>
      </c>
      <c r="BO24">
        <v>64.540000000000006</v>
      </c>
      <c r="BQ24" t="s">
        <v>184</v>
      </c>
      <c r="BR24" t="s">
        <v>83</v>
      </c>
      <c r="BS24" t="s">
        <v>93</v>
      </c>
      <c r="BY24">
        <v>3825.92</v>
      </c>
      <c r="BZ24" t="s">
        <v>101</v>
      </c>
      <c r="CC24" t="s">
        <v>76</v>
      </c>
      <c r="CD24">
        <v>8060</v>
      </c>
      <c r="CE24" t="s">
        <v>88</v>
      </c>
      <c r="CI24">
        <v>1</v>
      </c>
      <c r="CJ24" t="s">
        <v>93</v>
      </c>
      <c r="CK24">
        <v>22</v>
      </c>
      <c r="CL24" t="s">
        <v>89</v>
      </c>
    </row>
    <row r="25" spans="1:90" ht="15" customHeight="1" x14ac:dyDescent="0.3">
      <c r="A25" t="s">
        <v>72</v>
      </c>
      <c r="B25" t="s">
        <v>73</v>
      </c>
      <c r="C25" t="s">
        <v>74</v>
      </c>
      <c r="E25" t="str">
        <f>"009943061792"</f>
        <v>009943061792</v>
      </c>
      <c r="F25" s="3">
        <v>44894</v>
      </c>
      <c r="G25">
        <v>202308</v>
      </c>
      <c r="H25" t="s">
        <v>75</v>
      </c>
      <c r="I25" t="s">
        <v>76</v>
      </c>
      <c r="J25" t="s">
        <v>77</v>
      </c>
      <c r="K25" t="s">
        <v>78</v>
      </c>
      <c r="L25" t="s">
        <v>185</v>
      </c>
      <c r="M25" t="s">
        <v>186</v>
      </c>
      <c r="N25" t="s">
        <v>187</v>
      </c>
      <c r="O25" t="s">
        <v>82</v>
      </c>
      <c r="P25" t="str">
        <f>"INV188891                     "</f>
        <v xml:space="preserve">INV188891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77.19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0.7</v>
      </c>
      <c r="BK25">
        <v>1</v>
      </c>
      <c r="BL25">
        <v>201.19</v>
      </c>
      <c r="BM25">
        <v>30.18</v>
      </c>
      <c r="BN25">
        <v>231.37</v>
      </c>
      <c r="BO25">
        <v>231.37</v>
      </c>
      <c r="BQ25" t="s">
        <v>188</v>
      </c>
      <c r="BR25" t="s">
        <v>83</v>
      </c>
      <c r="BS25" t="s">
        <v>93</v>
      </c>
      <c r="BY25">
        <v>3526</v>
      </c>
      <c r="BZ25" t="s">
        <v>86</v>
      </c>
      <c r="CC25" t="s">
        <v>186</v>
      </c>
      <c r="CD25">
        <v>216</v>
      </c>
      <c r="CE25" t="s">
        <v>88</v>
      </c>
      <c r="CI25">
        <v>3</v>
      </c>
      <c r="CJ25" t="s">
        <v>93</v>
      </c>
      <c r="CK25">
        <v>43</v>
      </c>
      <c r="CL25" t="s">
        <v>89</v>
      </c>
    </row>
    <row r="26" spans="1:90" ht="15" customHeight="1" x14ac:dyDescent="0.3">
      <c r="A26" t="s">
        <v>72</v>
      </c>
      <c r="B26" t="s">
        <v>73</v>
      </c>
      <c r="C26" t="s">
        <v>74</v>
      </c>
      <c r="E26" t="str">
        <f>"009943061796"</f>
        <v>009943061796</v>
      </c>
      <c r="F26" s="3">
        <v>44894</v>
      </c>
      <c r="G26">
        <v>202308</v>
      </c>
      <c r="H26" t="s">
        <v>75</v>
      </c>
      <c r="I26" t="s">
        <v>76</v>
      </c>
      <c r="J26" t="s">
        <v>77</v>
      </c>
      <c r="K26" t="s">
        <v>78</v>
      </c>
      <c r="L26" t="s">
        <v>172</v>
      </c>
      <c r="M26" t="s">
        <v>173</v>
      </c>
      <c r="N26" t="s">
        <v>168</v>
      </c>
      <c r="O26" t="s">
        <v>96</v>
      </c>
      <c r="P26" t="str">
        <f>"INV18882                      "</f>
        <v xml:space="preserve">INV18882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28.3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0.7</v>
      </c>
      <c r="BK26">
        <v>1</v>
      </c>
      <c r="BL26">
        <v>71.84</v>
      </c>
      <c r="BM26">
        <v>10.78</v>
      </c>
      <c r="BN26">
        <v>82.62</v>
      </c>
      <c r="BO26">
        <v>82.62</v>
      </c>
      <c r="BQ26" t="s">
        <v>189</v>
      </c>
      <c r="BR26" t="s">
        <v>83</v>
      </c>
      <c r="BS26" t="s">
        <v>93</v>
      </c>
      <c r="BY26">
        <v>3527.16</v>
      </c>
      <c r="BZ26" t="s">
        <v>101</v>
      </c>
      <c r="CC26" t="s">
        <v>173</v>
      </c>
      <c r="CD26">
        <v>1500</v>
      </c>
      <c r="CE26" t="s">
        <v>88</v>
      </c>
      <c r="CI26">
        <v>1</v>
      </c>
      <c r="CJ26" t="s">
        <v>93</v>
      </c>
      <c r="CK26">
        <v>21</v>
      </c>
      <c r="CL26" t="s">
        <v>89</v>
      </c>
    </row>
    <row r="27" spans="1:90" ht="15" customHeight="1" x14ac:dyDescent="0.3">
      <c r="A27" t="s">
        <v>72</v>
      </c>
      <c r="B27" t="s">
        <v>73</v>
      </c>
      <c r="C27" t="s">
        <v>74</v>
      </c>
      <c r="E27" t="str">
        <f>"009942899875"</f>
        <v>009942899875</v>
      </c>
      <c r="F27" s="3">
        <v>44887</v>
      </c>
      <c r="G27">
        <v>202308</v>
      </c>
      <c r="H27" t="s">
        <v>111</v>
      </c>
      <c r="I27" t="s">
        <v>112</v>
      </c>
      <c r="J27" t="s">
        <v>94</v>
      </c>
      <c r="K27" t="s">
        <v>78</v>
      </c>
      <c r="L27" t="s">
        <v>79</v>
      </c>
      <c r="M27" t="s">
        <v>80</v>
      </c>
      <c r="N27" t="s">
        <v>190</v>
      </c>
      <c r="O27" t="s">
        <v>96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22.11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</v>
      </c>
      <c r="BK27">
        <v>1</v>
      </c>
      <c r="BL27">
        <v>56.12</v>
      </c>
      <c r="BM27">
        <v>8.42</v>
      </c>
      <c r="BN27">
        <v>64.540000000000006</v>
      </c>
      <c r="BO27">
        <v>64.540000000000006</v>
      </c>
      <c r="BQ27" t="s">
        <v>191</v>
      </c>
      <c r="BR27" t="s">
        <v>113</v>
      </c>
      <c r="BS27" s="3">
        <v>44888</v>
      </c>
      <c r="BT27" s="4">
        <v>0.42708333333333331</v>
      </c>
      <c r="BU27" t="s">
        <v>192</v>
      </c>
      <c r="BV27" t="s">
        <v>85</v>
      </c>
      <c r="BY27">
        <v>4800</v>
      </c>
      <c r="BZ27" t="s">
        <v>101</v>
      </c>
      <c r="CA27" t="s">
        <v>193</v>
      </c>
      <c r="CC27" t="s">
        <v>80</v>
      </c>
      <c r="CD27">
        <v>2094</v>
      </c>
      <c r="CE27" t="s">
        <v>88</v>
      </c>
      <c r="CF27" s="3">
        <v>44889</v>
      </c>
      <c r="CI27">
        <v>1</v>
      </c>
      <c r="CJ27">
        <v>1</v>
      </c>
      <c r="CK27">
        <v>22</v>
      </c>
      <c r="CL27" t="s">
        <v>89</v>
      </c>
    </row>
    <row r="28" spans="1:90" ht="15" customHeight="1" x14ac:dyDescent="0.3">
      <c r="A28" t="s">
        <v>72</v>
      </c>
      <c r="B28" t="s">
        <v>73</v>
      </c>
      <c r="C28" t="s">
        <v>74</v>
      </c>
      <c r="E28" t="str">
        <f>"009942899871"</f>
        <v>009942899871</v>
      </c>
      <c r="F28" s="3">
        <v>44887</v>
      </c>
      <c r="G28">
        <v>202308</v>
      </c>
      <c r="H28" t="s">
        <v>111</v>
      </c>
      <c r="I28" t="s">
        <v>112</v>
      </c>
      <c r="J28" t="s">
        <v>94</v>
      </c>
      <c r="K28" t="s">
        <v>78</v>
      </c>
      <c r="L28" t="s">
        <v>194</v>
      </c>
      <c r="M28" t="s">
        <v>195</v>
      </c>
      <c r="N28" t="s">
        <v>196</v>
      </c>
      <c r="O28" t="s">
        <v>96</v>
      </c>
      <c r="P28" t="str">
        <f>"J28448                        "</f>
        <v xml:space="preserve">J28448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32.71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9.6</v>
      </c>
      <c r="BK28">
        <v>10</v>
      </c>
      <c r="BL28">
        <v>83.04</v>
      </c>
      <c r="BM28">
        <v>12.46</v>
      </c>
      <c r="BN28">
        <v>95.5</v>
      </c>
      <c r="BO28">
        <v>95.5</v>
      </c>
      <c r="BQ28" t="s">
        <v>197</v>
      </c>
      <c r="BR28" t="s">
        <v>113</v>
      </c>
      <c r="BS28" s="3">
        <v>44888</v>
      </c>
      <c r="BT28" s="4">
        <v>0.35625000000000001</v>
      </c>
      <c r="BU28" t="s">
        <v>198</v>
      </c>
      <c r="BV28" t="s">
        <v>85</v>
      </c>
      <c r="BY28">
        <v>48000</v>
      </c>
      <c r="BZ28" t="s">
        <v>101</v>
      </c>
      <c r="CA28" t="s">
        <v>199</v>
      </c>
      <c r="CC28" t="s">
        <v>195</v>
      </c>
      <c r="CD28">
        <v>1453</v>
      </c>
      <c r="CE28" t="s">
        <v>88</v>
      </c>
      <c r="CF28" s="3">
        <v>44889</v>
      </c>
      <c r="CI28">
        <v>1</v>
      </c>
      <c r="CJ28">
        <v>1</v>
      </c>
      <c r="CK28">
        <v>22</v>
      </c>
      <c r="CL28" t="s">
        <v>89</v>
      </c>
    </row>
    <row r="29" spans="1:90" ht="15" customHeight="1" x14ac:dyDescent="0.3">
      <c r="A29" t="s">
        <v>72</v>
      </c>
      <c r="B29" t="s">
        <v>73</v>
      </c>
      <c r="C29" t="s">
        <v>74</v>
      </c>
      <c r="E29" t="str">
        <f>"009942899872"</f>
        <v>009942899872</v>
      </c>
      <c r="F29" s="3">
        <v>44887</v>
      </c>
      <c r="G29">
        <v>202308</v>
      </c>
      <c r="H29" t="s">
        <v>111</v>
      </c>
      <c r="I29" t="s">
        <v>112</v>
      </c>
      <c r="J29" t="s">
        <v>94</v>
      </c>
      <c r="K29" t="s">
        <v>78</v>
      </c>
      <c r="L29" t="s">
        <v>200</v>
      </c>
      <c r="M29" t="s">
        <v>201</v>
      </c>
      <c r="N29" t="s">
        <v>202</v>
      </c>
      <c r="O29" t="s">
        <v>96</v>
      </c>
      <c r="P29" t="str">
        <f>"J29228                        "</f>
        <v xml:space="preserve">J29228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22.11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0.6</v>
      </c>
      <c r="BK29">
        <v>1</v>
      </c>
      <c r="BL29">
        <v>56.12</v>
      </c>
      <c r="BM29">
        <v>8.42</v>
      </c>
      <c r="BN29">
        <v>64.540000000000006</v>
      </c>
      <c r="BO29">
        <v>64.540000000000006</v>
      </c>
      <c r="BQ29" t="s">
        <v>203</v>
      </c>
      <c r="BR29" t="s">
        <v>113</v>
      </c>
      <c r="BS29" s="3">
        <v>44889</v>
      </c>
      <c r="BT29" s="4">
        <v>0.39374999999999999</v>
      </c>
      <c r="BU29" t="s">
        <v>204</v>
      </c>
      <c r="BV29" t="s">
        <v>89</v>
      </c>
      <c r="BW29" t="s">
        <v>205</v>
      </c>
      <c r="BX29" t="s">
        <v>206</v>
      </c>
      <c r="BY29">
        <v>3000</v>
      </c>
      <c r="BZ29" t="s">
        <v>101</v>
      </c>
      <c r="CA29" t="s">
        <v>207</v>
      </c>
      <c r="CC29" t="s">
        <v>201</v>
      </c>
      <c r="CD29">
        <v>1422</v>
      </c>
      <c r="CE29" t="s">
        <v>88</v>
      </c>
      <c r="CI29">
        <v>1</v>
      </c>
      <c r="CJ29">
        <v>2</v>
      </c>
      <c r="CK29">
        <v>22</v>
      </c>
      <c r="CL29" t="s">
        <v>89</v>
      </c>
    </row>
    <row r="30" spans="1:90" ht="15" customHeight="1" x14ac:dyDescent="0.3">
      <c r="A30" t="s">
        <v>72</v>
      </c>
      <c r="B30" t="s">
        <v>73</v>
      </c>
      <c r="C30" t="s">
        <v>74</v>
      </c>
      <c r="E30" t="str">
        <f>"009943064934"</f>
        <v>009943064934</v>
      </c>
      <c r="F30" s="3">
        <v>44876</v>
      </c>
      <c r="G30">
        <v>202308</v>
      </c>
      <c r="H30" t="s">
        <v>75</v>
      </c>
      <c r="I30" t="s">
        <v>76</v>
      </c>
      <c r="J30" t="s">
        <v>77</v>
      </c>
      <c r="K30" t="s">
        <v>78</v>
      </c>
      <c r="L30" t="s">
        <v>79</v>
      </c>
      <c r="M30" t="s">
        <v>80</v>
      </c>
      <c r="N30" t="s">
        <v>208</v>
      </c>
      <c r="O30" t="s">
        <v>96</v>
      </c>
      <c r="P30" t="str">
        <f>"188157                        "</f>
        <v xml:space="preserve">188157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70.73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0.9</v>
      </c>
      <c r="BJ30">
        <v>4.5999999999999996</v>
      </c>
      <c r="BK30">
        <v>5</v>
      </c>
      <c r="BL30">
        <v>179.55</v>
      </c>
      <c r="BM30">
        <v>26.93</v>
      </c>
      <c r="BN30">
        <v>206.48</v>
      </c>
      <c r="BO30">
        <v>206.48</v>
      </c>
      <c r="BR30" t="s">
        <v>83</v>
      </c>
      <c r="BS30" s="3">
        <v>44879</v>
      </c>
      <c r="BT30" s="4">
        <v>0.42777777777777781</v>
      </c>
      <c r="BU30" t="s">
        <v>209</v>
      </c>
      <c r="BV30" t="s">
        <v>85</v>
      </c>
      <c r="BY30">
        <v>22994.400000000001</v>
      </c>
      <c r="BZ30" t="s">
        <v>101</v>
      </c>
      <c r="CA30" t="s">
        <v>210</v>
      </c>
      <c r="CC30" t="s">
        <v>80</v>
      </c>
      <c r="CD30">
        <v>2021</v>
      </c>
      <c r="CE30" t="s">
        <v>88</v>
      </c>
      <c r="CF30" s="3">
        <v>44879</v>
      </c>
      <c r="CI30">
        <v>1</v>
      </c>
      <c r="CJ30">
        <v>1</v>
      </c>
      <c r="CK30">
        <v>21</v>
      </c>
      <c r="CL30" t="s">
        <v>89</v>
      </c>
    </row>
    <row r="31" spans="1:90" ht="15" customHeight="1" x14ac:dyDescent="0.3">
      <c r="A31" t="s">
        <v>72</v>
      </c>
      <c r="B31" t="s">
        <v>73</v>
      </c>
      <c r="C31" t="s">
        <v>74</v>
      </c>
      <c r="E31" t="str">
        <f>"009942822315"</f>
        <v>009942822315</v>
      </c>
      <c r="F31" s="3">
        <v>44889</v>
      </c>
      <c r="G31">
        <v>202308</v>
      </c>
      <c r="H31" t="s">
        <v>211</v>
      </c>
      <c r="I31" t="s">
        <v>212</v>
      </c>
      <c r="J31" t="s">
        <v>213</v>
      </c>
      <c r="K31" t="s">
        <v>78</v>
      </c>
      <c r="L31" t="s">
        <v>75</v>
      </c>
      <c r="M31" t="s">
        <v>76</v>
      </c>
      <c r="N31" t="s">
        <v>214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86.31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9</v>
      </c>
      <c r="BJ31">
        <v>28.3</v>
      </c>
      <c r="BK31">
        <v>29</v>
      </c>
      <c r="BL31">
        <v>224.34</v>
      </c>
      <c r="BM31">
        <v>33.65</v>
      </c>
      <c r="BN31">
        <v>257.99</v>
      </c>
      <c r="BO31">
        <v>257.99</v>
      </c>
      <c r="BQ31" t="s">
        <v>83</v>
      </c>
      <c r="BS31" s="3">
        <v>44893</v>
      </c>
      <c r="BT31" s="4">
        <v>0.41666666666666669</v>
      </c>
      <c r="BU31" t="s">
        <v>215</v>
      </c>
      <c r="BV31" t="s">
        <v>85</v>
      </c>
      <c r="BY31">
        <v>141440</v>
      </c>
      <c r="BZ31" t="s">
        <v>216</v>
      </c>
      <c r="CC31" t="s">
        <v>76</v>
      </c>
      <c r="CD31">
        <v>8000</v>
      </c>
      <c r="CE31" t="s">
        <v>88</v>
      </c>
      <c r="CF31" s="3">
        <v>44894</v>
      </c>
      <c r="CI31">
        <v>2</v>
      </c>
      <c r="CJ31">
        <v>2</v>
      </c>
      <c r="CK31">
        <v>41</v>
      </c>
      <c r="CL31" t="s">
        <v>89</v>
      </c>
    </row>
    <row r="32" spans="1:90" ht="15" customHeight="1" x14ac:dyDescent="0.3">
      <c r="A32" t="s">
        <v>72</v>
      </c>
      <c r="B32" t="s">
        <v>73</v>
      </c>
      <c r="C32" t="s">
        <v>74</v>
      </c>
      <c r="E32" t="str">
        <f>"009942899911"</f>
        <v>009942899911</v>
      </c>
      <c r="F32" s="3">
        <v>44873</v>
      </c>
      <c r="G32">
        <v>202308</v>
      </c>
      <c r="H32" t="s">
        <v>111</v>
      </c>
      <c r="I32" t="s">
        <v>112</v>
      </c>
      <c r="J32" t="s">
        <v>94</v>
      </c>
      <c r="K32" t="s">
        <v>78</v>
      </c>
      <c r="L32" t="s">
        <v>217</v>
      </c>
      <c r="M32" t="s">
        <v>218</v>
      </c>
      <c r="N32" t="s">
        <v>219</v>
      </c>
      <c r="O32" t="s">
        <v>96</v>
      </c>
      <c r="P32" t="str">
        <f>"J72426                        "</f>
        <v xml:space="preserve">J72426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22.11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</v>
      </c>
      <c r="BJ32">
        <v>7.2</v>
      </c>
      <c r="BK32">
        <v>7.5</v>
      </c>
      <c r="BL32">
        <v>56.12</v>
      </c>
      <c r="BM32">
        <v>8.42</v>
      </c>
      <c r="BN32">
        <v>64.540000000000006</v>
      </c>
      <c r="BO32">
        <v>64.540000000000006</v>
      </c>
      <c r="BQ32" t="s">
        <v>220</v>
      </c>
      <c r="BR32" t="s">
        <v>221</v>
      </c>
      <c r="BS32" s="3">
        <v>44882</v>
      </c>
      <c r="BT32" s="4">
        <v>0.4375</v>
      </c>
      <c r="BU32" t="s">
        <v>222</v>
      </c>
      <c r="BV32" t="s">
        <v>89</v>
      </c>
      <c r="BW32" t="s">
        <v>130</v>
      </c>
      <c r="BX32" t="s">
        <v>223</v>
      </c>
      <c r="BY32">
        <v>36000</v>
      </c>
      <c r="BZ32" t="s">
        <v>101</v>
      </c>
      <c r="CA32" t="s">
        <v>224</v>
      </c>
      <c r="CC32" t="s">
        <v>218</v>
      </c>
      <c r="CD32">
        <v>1682</v>
      </c>
      <c r="CE32" t="s">
        <v>88</v>
      </c>
      <c r="CF32" s="3">
        <v>44883</v>
      </c>
      <c r="CI32">
        <v>1</v>
      </c>
      <c r="CJ32">
        <v>7</v>
      </c>
      <c r="CK32">
        <v>22</v>
      </c>
      <c r="CL32" t="s">
        <v>89</v>
      </c>
    </row>
    <row r="33" spans="1:90" ht="15" customHeight="1" x14ac:dyDescent="0.3">
      <c r="A33" t="s">
        <v>72</v>
      </c>
      <c r="B33" t="s">
        <v>73</v>
      </c>
      <c r="C33" t="s">
        <v>74</v>
      </c>
      <c r="E33" t="str">
        <f>"009943064931"</f>
        <v>009943064931</v>
      </c>
      <c r="F33" s="3">
        <v>44876</v>
      </c>
      <c r="G33">
        <v>202308</v>
      </c>
      <c r="H33" t="s">
        <v>75</v>
      </c>
      <c r="I33" t="s">
        <v>76</v>
      </c>
      <c r="J33" t="s">
        <v>77</v>
      </c>
      <c r="K33" t="s">
        <v>78</v>
      </c>
      <c r="L33" t="s">
        <v>225</v>
      </c>
      <c r="M33" t="s">
        <v>226</v>
      </c>
      <c r="N33" t="s">
        <v>227</v>
      </c>
      <c r="O33" t="s">
        <v>82</v>
      </c>
      <c r="P33" t="str">
        <f>"188146                        "</f>
        <v xml:space="preserve">188146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77.19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10.199999999999999</v>
      </c>
      <c r="BK33">
        <v>11</v>
      </c>
      <c r="BL33">
        <v>201.19</v>
      </c>
      <c r="BM33">
        <v>30.18</v>
      </c>
      <c r="BN33">
        <v>231.37</v>
      </c>
      <c r="BO33">
        <v>231.37</v>
      </c>
      <c r="BQ33" t="s">
        <v>228</v>
      </c>
      <c r="BR33" t="s">
        <v>83</v>
      </c>
      <c r="BS33" s="3">
        <v>44879</v>
      </c>
      <c r="BT33" s="4">
        <v>0.50902777777777775</v>
      </c>
      <c r="BU33" t="s">
        <v>229</v>
      </c>
      <c r="BV33" t="s">
        <v>85</v>
      </c>
      <c r="BY33">
        <v>50903.55</v>
      </c>
      <c r="BZ33" t="s">
        <v>86</v>
      </c>
      <c r="CA33" t="s">
        <v>230</v>
      </c>
      <c r="CC33" t="s">
        <v>226</v>
      </c>
      <c r="CD33">
        <v>2531</v>
      </c>
      <c r="CE33" t="s">
        <v>88</v>
      </c>
      <c r="CF33" s="3">
        <v>44879</v>
      </c>
      <c r="CI33">
        <v>3</v>
      </c>
      <c r="CJ33">
        <v>1</v>
      </c>
      <c r="CK33">
        <v>43</v>
      </c>
      <c r="CL33" t="s">
        <v>89</v>
      </c>
    </row>
    <row r="34" spans="1:90" ht="15" customHeight="1" x14ac:dyDescent="0.3">
      <c r="A34" t="s">
        <v>72</v>
      </c>
      <c r="B34" t="s">
        <v>73</v>
      </c>
      <c r="C34" t="s">
        <v>74</v>
      </c>
      <c r="E34" t="str">
        <f>"009942899907"</f>
        <v>009942899907</v>
      </c>
      <c r="F34" s="3">
        <v>44876</v>
      </c>
      <c r="G34">
        <v>202308</v>
      </c>
      <c r="H34" t="s">
        <v>111</v>
      </c>
      <c r="I34" t="s">
        <v>112</v>
      </c>
      <c r="J34" t="s">
        <v>94</v>
      </c>
      <c r="K34" t="s">
        <v>78</v>
      </c>
      <c r="L34" t="s">
        <v>231</v>
      </c>
      <c r="M34" t="s">
        <v>232</v>
      </c>
      <c r="N34" t="s">
        <v>233</v>
      </c>
      <c r="O34" t="s">
        <v>96</v>
      </c>
      <c r="P34" t="str">
        <f>"J72460                        "</f>
        <v xml:space="preserve">J72460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22.11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3.7</v>
      </c>
      <c r="BJ34">
        <v>1.8</v>
      </c>
      <c r="BK34">
        <v>4</v>
      </c>
      <c r="BL34">
        <v>56.12</v>
      </c>
      <c r="BM34">
        <v>8.42</v>
      </c>
      <c r="BN34">
        <v>64.540000000000006</v>
      </c>
      <c r="BO34">
        <v>64.540000000000006</v>
      </c>
      <c r="BQ34" t="s">
        <v>234</v>
      </c>
      <c r="BR34" t="s">
        <v>221</v>
      </c>
      <c r="BS34" s="3">
        <v>44879</v>
      </c>
      <c r="BT34" s="4">
        <v>0.42291666666666666</v>
      </c>
      <c r="BU34" t="s">
        <v>235</v>
      </c>
      <c r="BV34" t="s">
        <v>85</v>
      </c>
      <c r="BY34">
        <v>9244.26</v>
      </c>
      <c r="BZ34" t="s">
        <v>101</v>
      </c>
      <c r="CA34" t="s">
        <v>236</v>
      </c>
      <c r="CC34" t="s">
        <v>232</v>
      </c>
      <c r="CD34">
        <v>2163</v>
      </c>
      <c r="CE34" t="s">
        <v>88</v>
      </c>
      <c r="CF34" s="3">
        <v>44880</v>
      </c>
      <c r="CI34">
        <v>1</v>
      </c>
      <c r="CJ34">
        <v>1</v>
      </c>
      <c r="CK34">
        <v>22</v>
      </c>
      <c r="CL34" t="s">
        <v>89</v>
      </c>
    </row>
    <row r="35" spans="1:90" ht="15" customHeight="1" x14ac:dyDescent="0.3">
      <c r="A35" t="s">
        <v>72</v>
      </c>
      <c r="B35" t="s">
        <v>73</v>
      </c>
      <c r="C35" t="s">
        <v>74</v>
      </c>
      <c r="E35" t="str">
        <f>"009942899902"</f>
        <v>009942899902</v>
      </c>
      <c r="F35" s="3">
        <v>44876</v>
      </c>
      <c r="G35">
        <v>202308</v>
      </c>
      <c r="H35" t="s">
        <v>111</v>
      </c>
      <c r="I35" t="s">
        <v>112</v>
      </c>
      <c r="J35" t="s">
        <v>94</v>
      </c>
      <c r="K35" t="s">
        <v>78</v>
      </c>
      <c r="L35" t="s">
        <v>231</v>
      </c>
      <c r="M35" t="s">
        <v>232</v>
      </c>
      <c r="N35" t="s">
        <v>237</v>
      </c>
      <c r="O35" t="s">
        <v>96</v>
      </c>
      <c r="P35" t="str">
        <f>"J28982                        "</f>
        <v xml:space="preserve">J28982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22.11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2.5</v>
      </c>
      <c r="BJ35">
        <v>1.1000000000000001</v>
      </c>
      <c r="BK35">
        <v>2.5</v>
      </c>
      <c r="BL35">
        <v>56.12</v>
      </c>
      <c r="BM35">
        <v>8.42</v>
      </c>
      <c r="BN35">
        <v>64.540000000000006</v>
      </c>
      <c r="BO35">
        <v>64.540000000000006</v>
      </c>
      <c r="BQ35" t="s">
        <v>238</v>
      </c>
      <c r="BR35" t="s">
        <v>221</v>
      </c>
      <c r="BS35" s="3">
        <v>44879</v>
      </c>
      <c r="BT35" s="4">
        <v>0.41666666666666669</v>
      </c>
      <c r="BU35" t="s">
        <v>239</v>
      </c>
      <c r="BV35" t="s">
        <v>85</v>
      </c>
      <c r="BY35">
        <v>5710.5</v>
      </c>
      <c r="BZ35" t="s">
        <v>101</v>
      </c>
      <c r="CA35" t="s">
        <v>236</v>
      </c>
      <c r="CC35" t="s">
        <v>232</v>
      </c>
      <c r="CD35">
        <v>2162</v>
      </c>
      <c r="CE35" t="s">
        <v>88</v>
      </c>
      <c r="CF35" s="3">
        <v>44880</v>
      </c>
      <c r="CI35">
        <v>1</v>
      </c>
      <c r="CJ35">
        <v>1</v>
      </c>
      <c r="CK35">
        <v>22</v>
      </c>
      <c r="CL35" t="s">
        <v>89</v>
      </c>
    </row>
    <row r="36" spans="1:90" ht="15" customHeight="1" x14ac:dyDescent="0.3">
      <c r="A36" t="s">
        <v>72</v>
      </c>
      <c r="B36" t="s">
        <v>73</v>
      </c>
      <c r="C36" t="s">
        <v>74</v>
      </c>
      <c r="E36" t="str">
        <f>"009942899910"</f>
        <v>009942899910</v>
      </c>
      <c r="F36" s="3">
        <v>44876</v>
      </c>
      <c r="G36">
        <v>202308</v>
      </c>
      <c r="H36" t="s">
        <v>111</v>
      </c>
      <c r="I36" t="s">
        <v>112</v>
      </c>
      <c r="J36" t="s">
        <v>94</v>
      </c>
      <c r="K36" t="s">
        <v>78</v>
      </c>
      <c r="L36" t="s">
        <v>240</v>
      </c>
      <c r="M36" t="s">
        <v>241</v>
      </c>
      <c r="N36" t="s">
        <v>242</v>
      </c>
      <c r="O36" t="s">
        <v>96</v>
      </c>
      <c r="P36" t="str">
        <f>"J72484 87                     "</f>
        <v xml:space="preserve">J72484 87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68.88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</v>
      </c>
      <c r="BJ36">
        <v>3.3</v>
      </c>
      <c r="BK36">
        <v>3.5</v>
      </c>
      <c r="BL36">
        <v>174.85</v>
      </c>
      <c r="BM36">
        <v>26.23</v>
      </c>
      <c r="BN36">
        <v>201.08</v>
      </c>
      <c r="BO36">
        <v>201.08</v>
      </c>
      <c r="BQ36" t="s">
        <v>243</v>
      </c>
      <c r="BR36" t="s">
        <v>221</v>
      </c>
      <c r="BS36" s="3">
        <v>44879</v>
      </c>
      <c r="BT36" s="4">
        <v>0.53125</v>
      </c>
      <c r="BU36" t="s">
        <v>244</v>
      </c>
      <c r="BV36" t="s">
        <v>85</v>
      </c>
      <c r="BY36">
        <v>16694.5</v>
      </c>
      <c r="BZ36" t="s">
        <v>101</v>
      </c>
      <c r="CA36" t="s">
        <v>245</v>
      </c>
      <c r="CC36" t="s">
        <v>241</v>
      </c>
      <c r="CD36">
        <v>1739</v>
      </c>
      <c r="CE36" t="s">
        <v>88</v>
      </c>
      <c r="CF36" s="3">
        <v>44880</v>
      </c>
      <c r="CI36">
        <v>1</v>
      </c>
      <c r="CJ36">
        <v>1</v>
      </c>
      <c r="CK36">
        <v>24</v>
      </c>
      <c r="CL36" t="s">
        <v>89</v>
      </c>
    </row>
    <row r="37" spans="1:90" ht="15" customHeight="1" x14ac:dyDescent="0.3">
      <c r="A37" t="s">
        <v>72</v>
      </c>
      <c r="B37" t="s">
        <v>73</v>
      </c>
      <c r="C37" t="s">
        <v>74</v>
      </c>
      <c r="E37" t="str">
        <f>"009942899909"</f>
        <v>009942899909</v>
      </c>
      <c r="F37" s="3">
        <v>44876</v>
      </c>
      <c r="G37">
        <v>202308</v>
      </c>
      <c r="H37" t="s">
        <v>111</v>
      </c>
      <c r="I37" t="s">
        <v>112</v>
      </c>
      <c r="J37" t="s">
        <v>94</v>
      </c>
      <c r="K37" t="s">
        <v>78</v>
      </c>
      <c r="L37" t="s">
        <v>246</v>
      </c>
      <c r="M37" t="s">
        <v>247</v>
      </c>
      <c r="N37" t="s">
        <v>248</v>
      </c>
      <c r="O37" t="s">
        <v>96</v>
      </c>
      <c r="P37" t="str">
        <f>"J72463 90                     "</f>
        <v xml:space="preserve">J72463 90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22.11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1.4</v>
      </c>
      <c r="BJ37">
        <v>3.4</v>
      </c>
      <c r="BK37">
        <v>3.5</v>
      </c>
      <c r="BL37">
        <v>56.12</v>
      </c>
      <c r="BM37">
        <v>8.42</v>
      </c>
      <c r="BN37">
        <v>64.540000000000006</v>
      </c>
      <c r="BO37">
        <v>64.540000000000006</v>
      </c>
      <c r="BQ37" t="s">
        <v>249</v>
      </c>
      <c r="BR37" t="s">
        <v>221</v>
      </c>
      <c r="BS37" s="3">
        <v>44879</v>
      </c>
      <c r="BT37" s="4">
        <v>0.3666666666666667</v>
      </c>
      <c r="BU37" t="s">
        <v>250</v>
      </c>
      <c r="BV37" t="s">
        <v>85</v>
      </c>
      <c r="BY37">
        <v>16893.240000000002</v>
      </c>
      <c r="BZ37" t="s">
        <v>101</v>
      </c>
      <c r="CA37" t="s">
        <v>251</v>
      </c>
      <c r="CC37" t="s">
        <v>247</v>
      </c>
      <c r="CD37">
        <v>1559</v>
      </c>
      <c r="CE37" t="s">
        <v>88</v>
      </c>
      <c r="CF37" s="3">
        <v>44879</v>
      </c>
      <c r="CI37">
        <v>1</v>
      </c>
      <c r="CJ37">
        <v>1</v>
      </c>
      <c r="CK37">
        <v>22</v>
      </c>
      <c r="CL37" t="s">
        <v>89</v>
      </c>
    </row>
    <row r="38" spans="1:90" ht="15" customHeight="1" x14ac:dyDescent="0.3">
      <c r="A38" t="s">
        <v>72</v>
      </c>
      <c r="B38" t="s">
        <v>73</v>
      </c>
      <c r="C38" t="s">
        <v>74</v>
      </c>
      <c r="E38" t="str">
        <f>"009942899908"</f>
        <v>009942899908</v>
      </c>
      <c r="F38" s="3">
        <v>44876</v>
      </c>
      <c r="G38">
        <v>202308</v>
      </c>
      <c r="H38" t="s">
        <v>111</v>
      </c>
      <c r="I38" t="s">
        <v>112</v>
      </c>
      <c r="J38" t="s">
        <v>94</v>
      </c>
      <c r="K38" t="s">
        <v>78</v>
      </c>
      <c r="L38" t="s">
        <v>79</v>
      </c>
      <c r="M38" t="s">
        <v>80</v>
      </c>
      <c r="N38" t="s">
        <v>103</v>
      </c>
      <c r="O38" t="s">
        <v>96</v>
      </c>
      <c r="P38" t="str">
        <f>"J72489                        "</f>
        <v xml:space="preserve">J72489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32.71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9.6</v>
      </c>
      <c r="BK38">
        <v>10</v>
      </c>
      <c r="BL38">
        <v>83.04</v>
      </c>
      <c r="BM38">
        <v>12.46</v>
      </c>
      <c r="BN38">
        <v>95.5</v>
      </c>
      <c r="BO38">
        <v>95.5</v>
      </c>
      <c r="BQ38" t="s">
        <v>79</v>
      </c>
      <c r="BR38" t="s">
        <v>221</v>
      </c>
      <c r="BS38" s="3">
        <v>44879</v>
      </c>
      <c r="BT38" s="4">
        <v>0.34027777777777773</v>
      </c>
      <c r="BU38" t="s">
        <v>252</v>
      </c>
      <c r="BV38" t="s">
        <v>85</v>
      </c>
      <c r="BY38">
        <v>48000</v>
      </c>
      <c r="BZ38" t="s">
        <v>101</v>
      </c>
      <c r="CA38" t="s">
        <v>253</v>
      </c>
      <c r="CC38" t="s">
        <v>80</v>
      </c>
      <c r="CD38">
        <v>2013</v>
      </c>
      <c r="CE38" t="s">
        <v>88</v>
      </c>
      <c r="CF38" s="3">
        <v>44880</v>
      </c>
      <c r="CI38">
        <v>1</v>
      </c>
      <c r="CJ38">
        <v>1</v>
      </c>
      <c r="CK38">
        <v>22</v>
      </c>
      <c r="CL38" t="s">
        <v>89</v>
      </c>
    </row>
    <row r="39" spans="1:90" ht="15" customHeight="1" x14ac:dyDescent="0.3">
      <c r="A39" t="s">
        <v>72</v>
      </c>
      <c r="B39" t="s">
        <v>73</v>
      </c>
      <c r="C39" t="s">
        <v>74</v>
      </c>
      <c r="E39" t="str">
        <f>"009942899906"</f>
        <v>009942899906</v>
      </c>
      <c r="F39" s="3">
        <v>44876</v>
      </c>
      <c r="G39">
        <v>202308</v>
      </c>
      <c r="H39" t="s">
        <v>111</v>
      </c>
      <c r="I39" t="s">
        <v>112</v>
      </c>
      <c r="J39" t="s">
        <v>94</v>
      </c>
      <c r="K39" t="s">
        <v>78</v>
      </c>
      <c r="L39" t="s">
        <v>254</v>
      </c>
      <c r="M39" t="s">
        <v>255</v>
      </c>
      <c r="N39" t="s">
        <v>256</v>
      </c>
      <c r="O39" t="s">
        <v>96</v>
      </c>
      <c r="P39" t="str">
        <f>"J28988                        "</f>
        <v xml:space="preserve">J28988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28.3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71.84</v>
      </c>
      <c r="BM39">
        <v>10.78</v>
      </c>
      <c r="BN39">
        <v>82.62</v>
      </c>
      <c r="BO39">
        <v>82.62</v>
      </c>
      <c r="BQ39" t="s">
        <v>257</v>
      </c>
      <c r="BR39" t="s">
        <v>258</v>
      </c>
      <c r="BS39" s="3">
        <v>44879</v>
      </c>
      <c r="BT39" s="4">
        <v>0.3743055555555555</v>
      </c>
      <c r="BU39" t="s">
        <v>259</v>
      </c>
      <c r="BV39" t="s">
        <v>85</v>
      </c>
      <c r="BY39">
        <v>1200</v>
      </c>
      <c r="BZ39" t="s">
        <v>101</v>
      </c>
      <c r="CA39" t="s">
        <v>260</v>
      </c>
      <c r="CC39" t="s">
        <v>255</v>
      </c>
      <c r="CD39">
        <v>157</v>
      </c>
      <c r="CE39" t="s">
        <v>88</v>
      </c>
      <c r="CF39" s="3">
        <v>44879</v>
      </c>
      <c r="CI39">
        <v>1</v>
      </c>
      <c r="CJ39">
        <v>1</v>
      </c>
      <c r="CK39">
        <v>21</v>
      </c>
      <c r="CL39" t="s">
        <v>89</v>
      </c>
    </row>
    <row r="40" spans="1:90" ht="15" customHeight="1" x14ac:dyDescent="0.3">
      <c r="A40" t="s">
        <v>72</v>
      </c>
      <c r="B40" t="s">
        <v>73</v>
      </c>
      <c r="C40" t="s">
        <v>74</v>
      </c>
      <c r="E40" t="str">
        <f>"009942899905"</f>
        <v>009942899905</v>
      </c>
      <c r="F40" s="3">
        <v>44876</v>
      </c>
      <c r="G40">
        <v>202308</v>
      </c>
      <c r="H40" t="s">
        <v>111</v>
      </c>
      <c r="I40" t="s">
        <v>112</v>
      </c>
      <c r="J40" t="s">
        <v>94</v>
      </c>
      <c r="K40" t="s">
        <v>78</v>
      </c>
      <c r="L40" t="s">
        <v>185</v>
      </c>
      <c r="M40" t="s">
        <v>186</v>
      </c>
      <c r="N40" t="s">
        <v>261</v>
      </c>
      <c r="O40" t="s">
        <v>96</v>
      </c>
      <c r="P40" t="str">
        <f>"J28023                        "</f>
        <v xml:space="preserve">J28023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54.83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139.19</v>
      </c>
      <c r="BM40">
        <v>20.88</v>
      </c>
      <c r="BN40">
        <v>160.07</v>
      </c>
      <c r="BO40">
        <v>160.07</v>
      </c>
      <c r="BQ40" t="s">
        <v>262</v>
      </c>
      <c r="BR40" t="s">
        <v>221</v>
      </c>
      <c r="BS40" s="3">
        <v>44882</v>
      </c>
      <c r="BT40" s="4">
        <v>0.41597222222222219</v>
      </c>
      <c r="BU40" t="s">
        <v>263</v>
      </c>
      <c r="BV40" t="s">
        <v>89</v>
      </c>
      <c r="BW40" t="s">
        <v>205</v>
      </c>
      <c r="BX40" t="s">
        <v>264</v>
      </c>
      <c r="BY40">
        <v>1200</v>
      </c>
      <c r="BZ40" t="s">
        <v>101</v>
      </c>
      <c r="CA40" t="s">
        <v>265</v>
      </c>
      <c r="CC40" t="s">
        <v>186</v>
      </c>
      <c r="CD40">
        <v>240</v>
      </c>
      <c r="CE40" t="s">
        <v>88</v>
      </c>
      <c r="CF40" s="3">
        <v>44884</v>
      </c>
      <c r="CI40">
        <v>1</v>
      </c>
      <c r="CJ40">
        <v>4</v>
      </c>
      <c r="CK40">
        <v>23</v>
      </c>
      <c r="CL40" t="s">
        <v>89</v>
      </c>
    </row>
    <row r="41" spans="1:90" ht="15" customHeight="1" x14ac:dyDescent="0.3">
      <c r="A41" t="s">
        <v>72</v>
      </c>
      <c r="B41" t="s">
        <v>73</v>
      </c>
      <c r="C41" t="s">
        <v>74</v>
      </c>
      <c r="E41" t="str">
        <f>"009942899904"</f>
        <v>009942899904</v>
      </c>
      <c r="F41" s="3">
        <v>44876</v>
      </c>
      <c r="G41">
        <v>202308</v>
      </c>
      <c r="H41" t="s">
        <v>111</v>
      </c>
      <c r="I41" t="s">
        <v>112</v>
      </c>
      <c r="J41" t="s">
        <v>94</v>
      </c>
      <c r="K41" t="s">
        <v>78</v>
      </c>
      <c r="L41" t="s">
        <v>246</v>
      </c>
      <c r="M41" t="s">
        <v>247</v>
      </c>
      <c r="N41" t="s">
        <v>266</v>
      </c>
      <c r="O41" t="s">
        <v>96</v>
      </c>
      <c r="P41" t="str">
        <f>"J27409                        "</f>
        <v xml:space="preserve">J27409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22.11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0.4</v>
      </c>
      <c r="BK41">
        <v>0.5</v>
      </c>
      <c r="BL41">
        <v>56.12</v>
      </c>
      <c r="BM41">
        <v>8.42</v>
      </c>
      <c r="BN41">
        <v>64.540000000000006</v>
      </c>
      <c r="BO41">
        <v>64.540000000000006</v>
      </c>
      <c r="BQ41" t="s">
        <v>258</v>
      </c>
      <c r="BR41" t="s">
        <v>221</v>
      </c>
      <c r="BS41" s="3">
        <v>44879</v>
      </c>
      <c r="BT41" s="4">
        <v>0.53611111111111109</v>
      </c>
      <c r="BU41" t="s">
        <v>267</v>
      </c>
      <c r="BV41" t="s">
        <v>85</v>
      </c>
      <c r="BY41">
        <v>1760.13</v>
      </c>
      <c r="BZ41" t="s">
        <v>101</v>
      </c>
      <c r="CA41" t="s">
        <v>268</v>
      </c>
      <c r="CC41" t="s">
        <v>247</v>
      </c>
      <c r="CD41">
        <v>1559</v>
      </c>
      <c r="CE41" t="s">
        <v>88</v>
      </c>
      <c r="CF41" s="3">
        <v>44880</v>
      </c>
      <c r="CI41">
        <v>1</v>
      </c>
      <c r="CJ41">
        <v>1</v>
      </c>
      <c r="CK41">
        <v>22</v>
      </c>
      <c r="CL41" t="s">
        <v>89</v>
      </c>
    </row>
    <row r="42" spans="1:90" ht="15" customHeight="1" x14ac:dyDescent="0.3">
      <c r="A42" t="s">
        <v>72</v>
      </c>
      <c r="B42" t="s">
        <v>73</v>
      </c>
      <c r="C42" t="s">
        <v>74</v>
      </c>
      <c r="E42" t="str">
        <f>"009942899903"</f>
        <v>009942899903</v>
      </c>
      <c r="F42" s="3">
        <v>44876</v>
      </c>
      <c r="G42">
        <v>202308</v>
      </c>
      <c r="H42" t="s">
        <v>111</v>
      </c>
      <c r="I42" t="s">
        <v>112</v>
      </c>
      <c r="J42" t="s">
        <v>94</v>
      </c>
      <c r="K42" t="s">
        <v>78</v>
      </c>
      <c r="L42" t="s">
        <v>246</v>
      </c>
      <c r="M42" t="s">
        <v>247</v>
      </c>
      <c r="N42" t="s">
        <v>269</v>
      </c>
      <c r="O42" t="s">
        <v>96</v>
      </c>
      <c r="P42" t="str">
        <f>"J72482                        "</f>
        <v xml:space="preserve">J72482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22.11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</v>
      </c>
      <c r="BJ42">
        <v>0.9</v>
      </c>
      <c r="BK42">
        <v>3</v>
      </c>
      <c r="BL42">
        <v>56.12</v>
      </c>
      <c r="BM42">
        <v>8.42</v>
      </c>
      <c r="BN42">
        <v>64.540000000000006</v>
      </c>
      <c r="BO42">
        <v>64.540000000000006</v>
      </c>
      <c r="BQ42" t="s">
        <v>270</v>
      </c>
      <c r="BR42" t="s">
        <v>221</v>
      </c>
      <c r="BS42" s="3">
        <v>44879</v>
      </c>
      <c r="BT42" s="4">
        <v>0.43333333333333335</v>
      </c>
      <c r="BU42" t="s">
        <v>271</v>
      </c>
      <c r="BV42" t="s">
        <v>85</v>
      </c>
      <c r="BY42">
        <v>4500</v>
      </c>
      <c r="BZ42" t="s">
        <v>101</v>
      </c>
      <c r="CA42" t="s">
        <v>272</v>
      </c>
      <c r="CC42" t="s">
        <v>247</v>
      </c>
      <c r="CD42">
        <v>1559</v>
      </c>
      <c r="CE42" t="s">
        <v>88</v>
      </c>
      <c r="CF42" s="3">
        <v>44879</v>
      </c>
      <c r="CI42">
        <v>1</v>
      </c>
      <c r="CJ42">
        <v>1</v>
      </c>
      <c r="CK42">
        <v>22</v>
      </c>
      <c r="CL42" t="s">
        <v>89</v>
      </c>
    </row>
    <row r="43" spans="1:90" ht="15" customHeight="1" x14ac:dyDescent="0.3">
      <c r="A43" t="s">
        <v>72</v>
      </c>
      <c r="B43" t="s">
        <v>73</v>
      </c>
      <c r="C43" t="s">
        <v>74</v>
      </c>
      <c r="E43" t="str">
        <f>"009942358085"</f>
        <v>009942358085</v>
      </c>
      <c r="F43" s="3">
        <v>44876</v>
      </c>
      <c r="G43">
        <v>202308</v>
      </c>
      <c r="H43" t="s">
        <v>75</v>
      </c>
      <c r="I43" t="s">
        <v>76</v>
      </c>
      <c r="J43" t="s">
        <v>273</v>
      </c>
      <c r="K43" t="s">
        <v>78</v>
      </c>
      <c r="L43" t="s">
        <v>166</v>
      </c>
      <c r="M43" t="s">
        <v>167</v>
      </c>
      <c r="N43" t="s">
        <v>274</v>
      </c>
      <c r="O43" t="s">
        <v>82</v>
      </c>
      <c r="P43" t="str">
        <f>"RE:ESQUE ONLINE               "</f>
        <v xml:space="preserve">RE:ESQUE ONLINE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15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54.73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11.8</v>
      </c>
      <c r="BJ43">
        <v>8.1</v>
      </c>
      <c r="BK43">
        <v>12</v>
      </c>
      <c r="BL43">
        <v>159.18</v>
      </c>
      <c r="BM43">
        <v>23.88</v>
      </c>
      <c r="BN43">
        <v>183.06</v>
      </c>
      <c r="BO43">
        <v>183.06</v>
      </c>
      <c r="BQ43" t="s">
        <v>275</v>
      </c>
      <c r="BR43" t="s">
        <v>276</v>
      </c>
      <c r="BS43" s="3">
        <v>44879</v>
      </c>
      <c r="BT43" s="4">
        <v>0.3611111111111111</v>
      </c>
      <c r="BU43" t="s">
        <v>277</v>
      </c>
      <c r="BV43" t="s">
        <v>85</v>
      </c>
      <c r="BY43">
        <v>40500</v>
      </c>
      <c r="BZ43" t="s">
        <v>278</v>
      </c>
      <c r="CA43" t="s">
        <v>279</v>
      </c>
      <c r="CC43" t="s">
        <v>167</v>
      </c>
      <c r="CD43">
        <v>81</v>
      </c>
      <c r="CE43" t="s">
        <v>88</v>
      </c>
      <c r="CF43" s="3">
        <v>44879</v>
      </c>
      <c r="CI43">
        <v>2</v>
      </c>
      <c r="CJ43">
        <v>1</v>
      </c>
      <c r="CK43">
        <v>41</v>
      </c>
      <c r="CL43" t="s">
        <v>89</v>
      </c>
    </row>
    <row r="44" spans="1:90" ht="15" customHeight="1" x14ac:dyDescent="0.3">
      <c r="A44" t="s">
        <v>72</v>
      </c>
      <c r="B44" t="s">
        <v>73</v>
      </c>
      <c r="C44" t="s">
        <v>74</v>
      </c>
      <c r="E44" t="str">
        <f>"009942867317"</f>
        <v>009942867317</v>
      </c>
      <c r="F44" s="3">
        <v>44879</v>
      </c>
      <c r="G44">
        <v>202308</v>
      </c>
      <c r="H44" t="s">
        <v>75</v>
      </c>
      <c r="I44" t="s">
        <v>76</v>
      </c>
      <c r="J44" t="s">
        <v>280</v>
      </c>
      <c r="K44" t="s">
        <v>78</v>
      </c>
      <c r="L44" t="s">
        <v>194</v>
      </c>
      <c r="M44" t="s">
        <v>195</v>
      </c>
      <c r="N44" t="s">
        <v>281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54.73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1.9</v>
      </c>
      <c r="BK44">
        <v>2</v>
      </c>
      <c r="BL44">
        <v>144.18</v>
      </c>
      <c r="BM44">
        <v>21.63</v>
      </c>
      <c r="BN44">
        <v>165.81</v>
      </c>
      <c r="BO44">
        <v>165.81</v>
      </c>
      <c r="BQ44" t="s">
        <v>282</v>
      </c>
      <c r="BR44" t="s">
        <v>283</v>
      </c>
      <c r="BS44" s="3">
        <v>44881</v>
      </c>
      <c r="BT44" s="4">
        <v>0.3527777777777778</v>
      </c>
      <c r="BU44" t="s">
        <v>284</v>
      </c>
      <c r="BV44" t="s">
        <v>85</v>
      </c>
      <c r="BY44">
        <v>9484.7999999999993</v>
      </c>
      <c r="BZ44" t="s">
        <v>86</v>
      </c>
      <c r="CA44" t="s">
        <v>285</v>
      </c>
      <c r="CC44" t="s">
        <v>195</v>
      </c>
      <c r="CD44">
        <v>1450</v>
      </c>
      <c r="CE44" t="s">
        <v>88</v>
      </c>
      <c r="CF44" s="3">
        <v>44881</v>
      </c>
      <c r="CI44">
        <v>2</v>
      </c>
      <c r="CJ44">
        <v>2</v>
      </c>
      <c r="CK44">
        <v>41</v>
      </c>
      <c r="CL44" t="s">
        <v>89</v>
      </c>
    </row>
    <row r="45" spans="1:90" ht="15" customHeight="1" x14ac:dyDescent="0.3">
      <c r="A45" t="s">
        <v>72</v>
      </c>
      <c r="B45" t="s">
        <v>73</v>
      </c>
      <c r="C45" t="s">
        <v>74</v>
      </c>
      <c r="E45" t="str">
        <f>"009943077480"</f>
        <v>009943077480</v>
      </c>
      <c r="F45" s="3">
        <v>44879</v>
      </c>
      <c r="G45">
        <v>202308</v>
      </c>
      <c r="H45" t="s">
        <v>75</v>
      </c>
      <c r="I45" t="s">
        <v>76</v>
      </c>
      <c r="J45" t="s">
        <v>286</v>
      </c>
      <c r="K45" t="s">
        <v>78</v>
      </c>
      <c r="L45" t="s">
        <v>108</v>
      </c>
      <c r="M45" t="s">
        <v>109</v>
      </c>
      <c r="N45" t="s">
        <v>287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54.73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7.3</v>
      </c>
      <c r="BJ45">
        <v>4</v>
      </c>
      <c r="BK45">
        <v>8</v>
      </c>
      <c r="BL45">
        <v>144.18</v>
      </c>
      <c r="BM45">
        <v>21.63</v>
      </c>
      <c r="BN45">
        <v>165.81</v>
      </c>
      <c r="BO45">
        <v>165.81</v>
      </c>
      <c r="BR45" t="s">
        <v>288</v>
      </c>
      <c r="BS45" s="3">
        <v>44881</v>
      </c>
      <c r="BT45" s="4">
        <v>0.51736111111111105</v>
      </c>
      <c r="BU45" t="s">
        <v>289</v>
      </c>
      <c r="BV45" t="s">
        <v>85</v>
      </c>
      <c r="BY45">
        <v>20090.599999999999</v>
      </c>
      <c r="BZ45" t="s">
        <v>86</v>
      </c>
      <c r="CA45" t="s">
        <v>290</v>
      </c>
      <c r="CC45" t="s">
        <v>109</v>
      </c>
      <c r="CD45">
        <v>6045</v>
      </c>
      <c r="CE45" t="s">
        <v>88</v>
      </c>
      <c r="CF45" s="3">
        <v>44882</v>
      </c>
      <c r="CI45">
        <v>2</v>
      </c>
      <c r="CJ45">
        <v>2</v>
      </c>
      <c r="CK45">
        <v>41</v>
      </c>
      <c r="CL45" t="s">
        <v>89</v>
      </c>
    </row>
    <row r="46" spans="1:90" ht="15" customHeight="1" x14ac:dyDescent="0.3">
      <c r="A46" t="s">
        <v>72</v>
      </c>
      <c r="B46" t="s">
        <v>73</v>
      </c>
      <c r="C46" t="s">
        <v>74</v>
      </c>
      <c r="E46" t="str">
        <f>"009943077479"</f>
        <v>009943077479</v>
      </c>
      <c r="F46" s="3">
        <v>44879</v>
      </c>
      <c r="G46">
        <v>202308</v>
      </c>
      <c r="H46" t="s">
        <v>75</v>
      </c>
      <c r="I46" t="s">
        <v>76</v>
      </c>
      <c r="J46" t="s">
        <v>286</v>
      </c>
      <c r="K46" t="s">
        <v>78</v>
      </c>
      <c r="L46" t="s">
        <v>166</v>
      </c>
      <c r="M46" t="s">
        <v>167</v>
      </c>
      <c r="N46" t="s">
        <v>291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54.73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6.2</v>
      </c>
      <c r="BJ46">
        <v>2.8</v>
      </c>
      <c r="BK46">
        <v>7</v>
      </c>
      <c r="BL46">
        <v>144.18</v>
      </c>
      <c r="BM46">
        <v>21.63</v>
      </c>
      <c r="BN46">
        <v>165.81</v>
      </c>
      <c r="BO46">
        <v>165.81</v>
      </c>
      <c r="BR46" t="s">
        <v>288</v>
      </c>
      <c r="BS46" s="3">
        <v>44882</v>
      </c>
      <c r="BT46" s="4">
        <v>0.41805555555555557</v>
      </c>
      <c r="BU46" t="s">
        <v>292</v>
      </c>
      <c r="BV46" t="s">
        <v>89</v>
      </c>
      <c r="BY46">
        <v>14123.6</v>
      </c>
      <c r="BZ46" t="s">
        <v>86</v>
      </c>
      <c r="CA46" t="s">
        <v>293</v>
      </c>
      <c r="CC46" t="s">
        <v>167</v>
      </c>
      <c r="CD46">
        <v>1</v>
      </c>
      <c r="CE46" t="s">
        <v>88</v>
      </c>
      <c r="CF46" s="3">
        <v>44882</v>
      </c>
      <c r="CI46">
        <v>2</v>
      </c>
      <c r="CJ46">
        <v>3</v>
      </c>
      <c r="CK46">
        <v>41</v>
      </c>
      <c r="CL46" t="s">
        <v>89</v>
      </c>
    </row>
    <row r="47" spans="1:90" ht="15" customHeight="1" x14ac:dyDescent="0.3">
      <c r="A47" t="s">
        <v>72</v>
      </c>
      <c r="B47" t="s">
        <v>73</v>
      </c>
      <c r="C47" t="s">
        <v>74</v>
      </c>
      <c r="E47" t="str">
        <f>"009943061678"</f>
        <v>009943061678</v>
      </c>
      <c r="F47" s="3">
        <v>44879</v>
      </c>
      <c r="G47">
        <v>202308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294</v>
      </c>
      <c r="O47" t="s">
        <v>82</v>
      </c>
      <c r="P47" t="str">
        <f>"22542                         "</f>
        <v xml:space="preserve">22542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54.73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0.4</v>
      </c>
      <c r="BJ47">
        <v>1.6</v>
      </c>
      <c r="BK47">
        <v>2</v>
      </c>
      <c r="BL47">
        <v>144.18</v>
      </c>
      <c r="BM47">
        <v>21.63</v>
      </c>
      <c r="BN47">
        <v>165.81</v>
      </c>
      <c r="BO47">
        <v>165.81</v>
      </c>
      <c r="BR47" t="s">
        <v>83</v>
      </c>
      <c r="BS47" s="3">
        <v>44881</v>
      </c>
      <c r="BT47" s="4">
        <v>0.60555555555555551</v>
      </c>
      <c r="BU47" t="s">
        <v>295</v>
      </c>
      <c r="BV47" t="s">
        <v>85</v>
      </c>
      <c r="BY47">
        <v>8076.75</v>
      </c>
      <c r="BZ47" t="s">
        <v>86</v>
      </c>
      <c r="CA47" t="s">
        <v>296</v>
      </c>
      <c r="CC47" t="s">
        <v>80</v>
      </c>
      <c r="CD47">
        <v>2110</v>
      </c>
      <c r="CE47" t="s">
        <v>88</v>
      </c>
      <c r="CF47" s="3">
        <v>44881</v>
      </c>
      <c r="CI47">
        <v>2</v>
      </c>
      <c r="CJ47">
        <v>2</v>
      </c>
      <c r="CK47">
        <v>41</v>
      </c>
      <c r="CL47" t="s">
        <v>89</v>
      </c>
    </row>
    <row r="48" spans="1:90" ht="15" customHeight="1" x14ac:dyDescent="0.3">
      <c r="A48" t="s">
        <v>72</v>
      </c>
      <c r="B48" t="s">
        <v>73</v>
      </c>
      <c r="C48" t="s">
        <v>74</v>
      </c>
      <c r="E48" t="str">
        <f>"009943064939"</f>
        <v>009943064939</v>
      </c>
      <c r="F48" s="3">
        <v>44879</v>
      </c>
      <c r="G48">
        <v>202308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297</v>
      </c>
      <c r="O48" t="s">
        <v>82</v>
      </c>
      <c r="P48" t="str">
        <f>"188256                        "</f>
        <v xml:space="preserve">188256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54.73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</v>
      </c>
      <c r="BK48">
        <v>1</v>
      </c>
      <c r="BL48">
        <v>144.18</v>
      </c>
      <c r="BM48">
        <v>21.63</v>
      </c>
      <c r="BN48">
        <v>165.81</v>
      </c>
      <c r="BO48">
        <v>165.81</v>
      </c>
      <c r="BR48" t="s">
        <v>83</v>
      </c>
      <c r="BS48" s="3">
        <v>44881</v>
      </c>
      <c r="BT48" s="4">
        <v>0.3215277777777778</v>
      </c>
      <c r="BU48" t="s">
        <v>298</v>
      </c>
      <c r="BV48" t="s">
        <v>85</v>
      </c>
      <c r="BY48">
        <v>4846.1400000000003</v>
      </c>
      <c r="BZ48" t="s">
        <v>86</v>
      </c>
      <c r="CA48" t="s">
        <v>136</v>
      </c>
      <c r="CC48" t="s">
        <v>80</v>
      </c>
      <c r="CD48">
        <v>2196</v>
      </c>
      <c r="CE48" t="s">
        <v>88</v>
      </c>
      <c r="CF48" s="3">
        <v>44882</v>
      </c>
      <c r="CI48">
        <v>2</v>
      </c>
      <c r="CJ48">
        <v>2</v>
      </c>
      <c r="CK48">
        <v>41</v>
      </c>
      <c r="CL48" t="s">
        <v>89</v>
      </c>
    </row>
    <row r="49" spans="1:90" ht="15" customHeight="1" x14ac:dyDescent="0.3">
      <c r="A49" t="s">
        <v>72</v>
      </c>
      <c r="B49" t="s">
        <v>73</v>
      </c>
      <c r="C49" t="s">
        <v>74</v>
      </c>
      <c r="E49" t="str">
        <f>"009943064936"</f>
        <v>009943064936</v>
      </c>
      <c r="F49" s="3">
        <v>44879</v>
      </c>
      <c r="G49">
        <v>202308</v>
      </c>
      <c r="H49" t="s">
        <v>75</v>
      </c>
      <c r="I49" t="s">
        <v>76</v>
      </c>
      <c r="J49" t="s">
        <v>77</v>
      </c>
      <c r="K49" t="s">
        <v>78</v>
      </c>
      <c r="L49" t="s">
        <v>180</v>
      </c>
      <c r="M49" t="s">
        <v>181</v>
      </c>
      <c r="N49" t="s">
        <v>299</v>
      </c>
      <c r="O49" t="s">
        <v>82</v>
      </c>
      <c r="P49" t="str">
        <f>"188246                        "</f>
        <v xml:space="preserve">188246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54.73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1.6</v>
      </c>
      <c r="BJ49">
        <v>13.1</v>
      </c>
      <c r="BK49">
        <v>14</v>
      </c>
      <c r="BL49">
        <v>144.18</v>
      </c>
      <c r="BM49">
        <v>21.63</v>
      </c>
      <c r="BN49">
        <v>165.81</v>
      </c>
      <c r="BO49">
        <v>165.81</v>
      </c>
      <c r="BQ49" t="s">
        <v>300</v>
      </c>
      <c r="BR49" t="s">
        <v>83</v>
      </c>
      <c r="BS49" s="3">
        <v>44881</v>
      </c>
      <c r="BT49" s="4">
        <v>0.61805555555555558</v>
      </c>
      <c r="BU49" t="s">
        <v>301</v>
      </c>
      <c r="BV49" t="s">
        <v>85</v>
      </c>
      <c r="BY49">
        <v>65268</v>
      </c>
      <c r="BZ49" t="s">
        <v>86</v>
      </c>
      <c r="CA49" t="s">
        <v>302</v>
      </c>
      <c r="CC49" t="s">
        <v>181</v>
      </c>
      <c r="CD49">
        <v>4001</v>
      </c>
      <c r="CE49" t="s">
        <v>88</v>
      </c>
      <c r="CF49" s="3">
        <v>44886</v>
      </c>
      <c r="CI49">
        <v>3</v>
      </c>
      <c r="CJ49">
        <v>2</v>
      </c>
      <c r="CK49">
        <v>41</v>
      </c>
      <c r="CL49" t="s">
        <v>89</v>
      </c>
    </row>
    <row r="50" spans="1:90" ht="15" customHeight="1" x14ac:dyDescent="0.3">
      <c r="A50" t="s">
        <v>72</v>
      </c>
      <c r="B50" t="s">
        <v>73</v>
      </c>
      <c r="C50" t="s">
        <v>74</v>
      </c>
      <c r="E50" t="str">
        <f>"009943064941"</f>
        <v>009943064941</v>
      </c>
      <c r="F50" s="3">
        <v>44879</v>
      </c>
      <c r="G50">
        <v>202308</v>
      </c>
      <c r="H50" t="s">
        <v>75</v>
      </c>
      <c r="I50" t="s">
        <v>76</v>
      </c>
      <c r="J50" t="s">
        <v>77</v>
      </c>
      <c r="K50" t="s">
        <v>78</v>
      </c>
      <c r="L50" t="s">
        <v>303</v>
      </c>
      <c r="M50" t="s">
        <v>304</v>
      </c>
      <c r="N50" t="s">
        <v>305</v>
      </c>
      <c r="O50" t="s">
        <v>82</v>
      </c>
      <c r="P50" t="str">
        <f>"188238                        "</f>
        <v xml:space="preserve">188238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77.19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1.3</v>
      </c>
      <c r="BJ50">
        <v>6.9</v>
      </c>
      <c r="BK50">
        <v>7</v>
      </c>
      <c r="BL50">
        <v>201.19</v>
      </c>
      <c r="BM50">
        <v>30.18</v>
      </c>
      <c r="BN50">
        <v>231.37</v>
      </c>
      <c r="BO50">
        <v>231.37</v>
      </c>
      <c r="BQ50" t="s">
        <v>306</v>
      </c>
      <c r="BR50" t="s">
        <v>83</v>
      </c>
      <c r="BS50" s="3">
        <v>44881</v>
      </c>
      <c r="BT50" s="4">
        <v>0.65902777777777777</v>
      </c>
      <c r="BU50" t="s">
        <v>307</v>
      </c>
      <c r="BV50" t="s">
        <v>85</v>
      </c>
      <c r="BY50">
        <v>34574.400000000001</v>
      </c>
      <c r="BZ50" t="s">
        <v>86</v>
      </c>
      <c r="CA50" t="s">
        <v>308</v>
      </c>
      <c r="CC50" t="s">
        <v>304</v>
      </c>
      <c r="CD50">
        <v>6139</v>
      </c>
      <c r="CE50" t="s">
        <v>88</v>
      </c>
      <c r="CF50" s="3">
        <v>44882</v>
      </c>
      <c r="CI50">
        <v>3</v>
      </c>
      <c r="CJ50">
        <v>2</v>
      </c>
      <c r="CK50">
        <v>43</v>
      </c>
      <c r="CL50" t="s">
        <v>89</v>
      </c>
    </row>
    <row r="51" spans="1:90" ht="15" customHeight="1" x14ac:dyDescent="0.3">
      <c r="A51" t="s">
        <v>72</v>
      </c>
      <c r="B51" t="s">
        <v>73</v>
      </c>
      <c r="C51" t="s">
        <v>74</v>
      </c>
      <c r="E51" t="str">
        <f>"009943064933"</f>
        <v>009943064933</v>
      </c>
      <c r="F51" s="3">
        <v>44879</v>
      </c>
      <c r="G51">
        <v>202308</v>
      </c>
      <c r="H51" t="s">
        <v>75</v>
      </c>
      <c r="I51" t="s">
        <v>76</v>
      </c>
      <c r="J51" t="s">
        <v>77</v>
      </c>
      <c r="K51" t="s">
        <v>78</v>
      </c>
      <c r="L51" t="s">
        <v>75</v>
      </c>
      <c r="M51" t="s">
        <v>76</v>
      </c>
      <c r="N51" t="s">
        <v>309</v>
      </c>
      <c r="O51" t="s">
        <v>82</v>
      </c>
      <c r="P51" t="str">
        <f>"188170                        "</f>
        <v xml:space="preserve">188170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42.23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2.9</v>
      </c>
      <c r="BJ51">
        <v>11.5</v>
      </c>
      <c r="BK51">
        <v>12</v>
      </c>
      <c r="BL51">
        <v>112.45</v>
      </c>
      <c r="BM51">
        <v>16.87</v>
      </c>
      <c r="BN51">
        <v>129.32</v>
      </c>
      <c r="BO51">
        <v>129.32</v>
      </c>
      <c r="BQ51" t="s">
        <v>310</v>
      </c>
      <c r="BR51" t="s">
        <v>83</v>
      </c>
      <c r="BS51" s="3">
        <v>44880</v>
      </c>
      <c r="BT51" s="4">
        <v>0.54583333333333328</v>
      </c>
      <c r="BU51" t="s">
        <v>311</v>
      </c>
      <c r="BV51" t="s">
        <v>85</v>
      </c>
      <c r="BY51">
        <v>57521.760000000002</v>
      </c>
      <c r="BZ51" t="s">
        <v>86</v>
      </c>
      <c r="CA51" t="s">
        <v>312</v>
      </c>
      <c r="CC51" t="s">
        <v>76</v>
      </c>
      <c r="CD51">
        <v>8001</v>
      </c>
      <c r="CE51" t="s">
        <v>88</v>
      </c>
      <c r="CF51" s="3">
        <v>44881</v>
      </c>
      <c r="CI51">
        <v>1</v>
      </c>
      <c r="CJ51">
        <v>1</v>
      </c>
      <c r="CK51">
        <v>42</v>
      </c>
      <c r="CL51" t="s">
        <v>89</v>
      </c>
    </row>
    <row r="52" spans="1:90" ht="15" customHeight="1" x14ac:dyDescent="0.3">
      <c r="A52" t="s">
        <v>72</v>
      </c>
      <c r="B52" t="s">
        <v>73</v>
      </c>
      <c r="C52" t="s">
        <v>74</v>
      </c>
      <c r="E52" t="str">
        <f>"009943064945"</f>
        <v>009943064945</v>
      </c>
      <c r="F52" s="3">
        <v>44879</v>
      </c>
      <c r="G52">
        <v>202308</v>
      </c>
      <c r="H52" t="s">
        <v>75</v>
      </c>
      <c r="I52" t="s">
        <v>76</v>
      </c>
      <c r="J52" t="s">
        <v>77</v>
      </c>
      <c r="K52" t="s">
        <v>78</v>
      </c>
      <c r="L52" t="s">
        <v>313</v>
      </c>
      <c r="M52" t="s">
        <v>313</v>
      </c>
      <c r="N52" t="s">
        <v>314</v>
      </c>
      <c r="O52" t="s">
        <v>82</v>
      </c>
      <c r="P52" t="str">
        <f>"188247                        "</f>
        <v xml:space="preserve">188247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77.19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0.9</v>
      </c>
      <c r="BJ52">
        <v>3</v>
      </c>
      <c r="BK52">
        <v>3</v>
      </c>
      <c r="BL52">
        <v>201.19</v>
      </c>
      <c r="BM52">
        <v>30.18</v>
      </c>
      <c r="BN52">
        <v>231.37</v>
      </c>
      <c r="BO52">
        <v>231.37</v>
      </c>
      <c r="BQ52" t="s">
        <v>315</v>
      </c>
      <c r="BR52" t="s">
        <v>83</v>
      </c>
      <c r="BS52" s="3">
        <v>44881</v>
      </c>
      <c r="BT52" s="4">
        <v>0.60972222222222217</v>
      </c>
      <c r="BU52" t="s">
        <v>316</v>
      </c>
      <c r="BV52" t="s">
        <v>85</v>
      </c>
      <c r="BY52">
        <v>15203.1</v>
      </c>
      <c r="BZ52" t="s">
        <v>86</v>
      </c>
      <c r="CA52" t="s">
        <v>317</v>
      </c>
      <c r="CC52" t="s">
        <v>313</v>
      </c>
      <c r="CD52">
        <v>9585</v>
      </c>
      <c r="CE52" t="s">
        <v>88</v>
      </c>
      <c r="CF52" s="3">
        <v>44881</v>
      </c>
      <c r="CI52">
        <v>3</v>
      </c>
      <c r="CJ52">
        <v>2</v>
      </c>
      <c r="CK52">
        <v>43</v>
      </c>
      <c r="CL52" t="s">
        <v>89</v>
      </c>
    </row>
    <row r="53" spans="1:90" ht="15" customHeight="1" x14ac:dyDescent="0.3">
      <c r="A53" t="s">
        <v>72</v>
      </c>
      <c r="B53" t="s">
        <v>73</v>
      </c>
      <c r="C53" t="s">
        <v>74</v>
      </c>
      <c r="E53" t="str">
        <f>"009943064938"</f>
        <v>009943064938</v>
      </c>
      <c r="F53" s="3">
        <v>44879</v>
      </c>
      <c r="G53">
        <v>202308</v>
      </c>
      <c r="H53" t="s">
        <v>75</v>
      </c>
      <c r="I53" t="s">
        <v>76</v>
      </c>
      <c r="J53" t="s">
        <v>77</v>
      </c>
      <c r="K53" t="s">
        <v>78</v>
      </c>
      <c r="L53" t="s">
        <v>79</v>
      </c>
      <c r="M53" t="s">
        <v>80</v>
      </c>
      <c r="N53" t="s">
        <v>318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54.73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0.7</v>
      </c>
      <c r="BJ53">
        <v>3</v>
      </c>
      <c r="BK53">
        <v>3</v>
      </c>
      <c r="BL53">
        <v>144.18</v>
      </c>
      <c r="BM53">
        <v>21.63</v>
      </c>
      <c r="BN53">
        <v>165.81</v>
      </c>
      <c r="BO53">
        <v>165.81</v>
      </c>
      <c r="BR53" t="s">
        <v>83</v>
      </c>
      <c r="BS53" s="3">
        <v>44882</v>
      </c>
      <c r="BT53" s="4">
        <v>0.71388888888888891</v>
      </c>
      <c r="BU53" t="s">
        <v>319</v>
      </c>
      <c r="BV53" t="s">
        <v>89</v>
      </c>
      <c r="BW53" t="s">
        <v>130</v>
      </c>
      <c r="BX53" t="s">
        <v>223</v>
      </c>
      <c r="BY53">
        <v>14962.5</v>
      </c>
      <c r="BZ53" t="s">
        <v>86</v>
      </c>
      <c r="CA53" t="s">
        <v>320</v>
      </c>
      <c r="CC53" t="s">
        <v>80</v>
      </c>
      <c r="CD53">
        <v>1724</v>
      </c>
      <c r="CE53" t="s">
        <v>88</v>
      </c>
      <c r="CF53" s="3">
        <v>44882</v>
      </c>
      <c r="CI53">
        <v>2</v>
      </c>
      <c r="CJ53">
        <v>3</v>
      </c>
      <c r="CK53">
        <v>41</v>
      </c>
      <c r="CL53" t="s">
        <v>89</v>
      </c>
    </row>
    <row r="54" spans="1:90" ht="15" customHeight="1" x14ac:dyDescent="0.3">
      <c r="A54" t="s">
        <v>72</v>
      </c>
      <c r="B54" t="s">
        <v>73</v>
      </c>
      <c r="C54" t="s">
        <v>74</v>
      </c>
      <c r="E54" t="str">
        <f>"009943064932"</f>
        <v>009943064932</v>
      </c>
      <c r="F54" s="3">
        <v>44879</v>
      </c>
      <c r="G54">
        <v>202308</v>
      </c>
      <c r="H54" t="s">
        <v>75</v>
      </c>
      <c r="I54" t="s">
        <v>76</v>
      </c>
      <c r="J54" t="s">
        <v>77</v>
      </c>
      <c r="K54" t="s">
        <v>78</v>
      </c>
      <c r="L54" t="s">
        <v>79</v>
      </c>
      <c r="M54" t="s">
        <v>80</v>
      </c>
      <c r="N54" t="s">
        <v>321</v>
      </c>
      <c r="O54" t="s">
        <v>82</v>
      </c>
      <c r="P54" t="str">
        <f>"188155                        "</f>
        <v xml:space="preserve">188155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54.73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1.4</v>
      </c>
      <c r="BK54">
        <v>2</v>
      </c>
      <c r="BL54">
        <v>144.18</v>
      </c>
      <c r="BM54">
        <v>21.63</v>
      </c>
      <c r="BN54">
        <v>165.81</v>
      </c>
      <c r="BO54">
        <v>165.81</v>
      </c>
      <c r="BR54" t="s">
        <v>83</v>
      </c>
      <c r="BS54" s="3">
        <v>44881</v>
      </c>
      <c r="BT54" s="4">
        <v>0.54236111111111118</v>
      </c>
      <c r="BU54" t="s">
        <v>322</v>
      </c>
      <c r="BV54" t="s">
        <v>85</v>
      </c>
      <c r="BY54">
        <v>6958.88</v>
      </c>
      <c r="BZ54" t="s">
        <v>86</v>
      </c>
      <c r="CA54" t="s">
        <v>323</v>
      </c>
      <c r="CC54" t="s">
        <v>80</v>
      </c>
      <c r="CD54">
        <v>2104</v>
      </c>
      <c r="CE54" t="s">
        <v>88</v>
      </c>
      <c r="CF54" s="3">
        <v>44882</v>
      </c>
      <c r="CI54">
        <v>2</v>
      </c>
      <c r="CJ54">
        <v>2</v>
      </c>
      <c r="CK54">
        <v>41</v>
      </c>
      <c r="CL54" t="s">
        <v>89</v>
      </c>
    </row>
    <row r="55" spans="1:90" ht="15" customHeight="1" x14ac:dyDescent="0.3">
      <c r="A55" t="s">
        <v>72</v>
      </c>
      <c r="B55" t="s">
        <v>73</v>
      </c>
      <c r="C55" t="s">
        <v>74</v>
      </c>
      <c r="E55" t="str">
        <f>"009943064937"</f>
        <v>009943064937</v>
      </c>
      <c r="F55" s="3">
        <v>44879</v>
      </c>
      <c r="G55">
        <v>202308</v>
      </c>
      <c r="H55" t="s">
        <v>75</v>
      </c>
      <c r="I55" t="s">
        <v>76</v>
      </c>
      <c r="J55" t="s">
        <v>77</v>
      </c>
      <c r="K55" t="s">
        <v>78</v>
      </c>
      <c r="L55" t="s">
        <v>324</v>
      </c>
      <c r="M55" t="s">
        <v>325</v>
      </c>
      <c r="N55" t="s">
        <v>326</v>
      </c>
      <c r="O55" t="s">
        <v>82</v>
      </c>
      <c r="P55" t="str">
        <f>"188233                        "</f>
        <v xml:space="preserve">188233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77.19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1.4</v>
      </c>
      <c r="BJ55">
        <v>6.4</v>
      </c>
      <c r="BK55">
        <v>7</v>
      </c>
      <c r="BL55">
        <v>201.19</v>
      </c>
      <c r="BM55">
        <v>30.18</v>
      </c>
      <c r="BN55">
        <v>231.37</v>
      </c>
      <c r="BO55">
        <v>231.37</v>
      </c>
      <c r="BQ55" t="s">
        <v>327</v>
      </c>
      <c r="BR55" t="s">
        <v>83</v>
      </c>
      <c r="BS55" s="3">
        <v>44881</v>
      </c>
      <c r="BT55" s="4">
        <v>0.65416666666666667</v>
      </c>
      <c r="BU55" t="s">
        <v>328</v>
      </c>
      <c r="BV55" t="s">
        <v>85</v>
      </c>
      <c r="BY55">
        <v>31862.25</v>
      </c>
      <c r="BZ55" t="s">
        <v>86</v>
      </c>
      <c r="CA55" t="s">
        <v>329</v>
      </c>
      <c r="CC55" t="s">
        <v>325</v>
      </c>
      <c r="CD55">
        <v>4420</v>
      </c>
      <c r="CE55" t="s">
        <v>88</v>
      </c>
      <c r="CF55" s="3">
        <v>44883</v>
      </c>
      <c r="CI55">
        <v>3</v>
      </c>
      <c r="CJ55">
        <v>2</v>
      </c>
      <c r="CK55">
        <v>43</v>
      </c>
      <c r="CL55" t="s">
        <v>89</v>
      </c>
    </row>
    <row r="56" spans="1:90" ht="15" customHeight="1" x14ac:dyDescent="0.3">
      <c r="A56" t="s">
        <v>72</v>
      </c>
      <c r="B56" t="s">
        <v>73</v>
      </c>
      <c r="C56" t="s">
        <v>74</v>
      </c>
      <c r="E56" t="str">
        <f>"009943064942"</f>
        <v>009943064942</v>
      </c>
      <c r="F56" s="3">
        <v>44879</v>
      </c>
      <c r="G56">
        <v>202308</v>
      </c>
      <c r="H56" t="s">
        <v>75</v>
      </c>
      <c r="I56" t="s">
        <v>76</v>
      </c>
      <c r="J56" t="s">
        <v>77</v>
      </c>
      <c r="K56" t="s">
        <v>78</v>
      </c>
      <c r="L56" t="s">
        <v>330</v>
      </c>
      <c r="M56" t="s">
        <v>331</v>
      </c>
      <c r="N56" t="s">
        <v>332</v>
      </c>
      <c r="O56" t="s">
        <v>82</v>
      </c>
      <c r="P56" t="str">
        <f>"188241                        "</f>
        <v xml:space="preserve">188241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77.19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1.3</v>
      </c>
      <c r="BJ56">
        <v>6.7</v>
      </c>
      <c r="BK56">
        <v>7</v>
      </c>
      <c r="BL56">
        <v>201.19</v>
      </c>
      <c r="BM56">
        <v>30.18</v>
      </c>
      <c r="BN56">
        <v>231.37</v>
      </c>
      <c r="BO56">
        <v>231.37</v>
      </c>
      <c r="BR56" t="s">
        <v>83</v>
      </c>
      <c r="BS56" s="3">
        <v>44881</v>
      </c>
      <c r="BT56" s="4">
        <v>0.7680555555555556</v>
      </c>
      <c r="BU56" t="s">
        <v>333</v>
      </c>
      <c r="BV56" t="s">
        <v>89</v>
      </c>
      <c r="BW56" t="s">
        <v>334</v>
      </c>
      <c r="BX56" t="s">
        <v>335</v>
      </c>
      <c r="BY56">
        <v>33276.32</v>
      </c>
      <c r="BZ56" t="s">
        <v>86</v>
      </c>
      <c r="CA56" t="s">
        <v>336</v>
      </c>
      <c r="CC56" t="s">
        <v>331</v>
      </c>
      <c r="CD56">
        <v>1947</v>
      </c>
      <c r="CE56" t="s">
        <v>88</v>
      </c>
      <c r="CF56" s="3">
        <v>44882</v>
      </c>
      <c r="CI56">
        <v>2</v>
      </c>
      <c r="CJ56">
        <v>2</v>
      </c>
      <c r="CK56">
        <v>43</v>
      </c>
      <c r="CL56" t="s">
        <v>89</v>
      </c>
    </row>
    <row r="57" spans="1:90" ht="15" customHeight="1" x14ac:dyDescent="0.3">
      <c r="A57" t="s">
        <v>72</v>
      </c>
      <c r="B57" t="s">
        <v>73</v>
      </c>
      <c r="C57" t="s">
        <v>74</v>
      </c>
      <c r="E57" t="str">
        <f>"009943064943"</f>
        <v>009943064943</v>
      </c>
      <c r="F57" s="3">
        <v>44879</v>
      </c>
      <c r="G57">
        <v>202308</v>
      </c>
      <c r="H57" t="s">
        <v>75</v>
      </c>
      <c r="I57" t="s">
        <v>76</v>
      </c>
      <c r="J57" t="s">
        <v>77</v>
      </c>
      <c r="K57" t="s">
        <v>78</v>
      </c>
      <c r="L57" t="s">
        <v>337</v>
      </c>
      <c r="M57" t="s">
        <v>338</v>
      </c>
      <c r="N57" t="s">
        <v>339</v>
      </c>
      <c r="O57" t="s">
        <v>82</v>
      </c>
      <c r="P57" t="str">
        <f>"188245                        "</f>
        <v xml:space="preserve">188245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42.23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0.7</v>
      </c>
      <c r="BK57">
        <v>1</v>
      </c>
      <c r="BL57">
        <v>112.45</v>
      </c>
      <c r="BM57">
        <v>16.87</v>
      </c>
      <c r="BN57">
        <v>129.32</v>
      </c>
      <c r="BO57">
        <v>129.32</v>
      </c>
      <c r="BQ57" t="s">
        <v>340</v>
      </c>
      <c r="BR57" t="s">
        <v>83</v>
      </c>
      <c r="BS57" s="3">
        <v>44886</v>
      </c>
      <c r="BT57" s="4">
        <v>0.38680555555555557</v>
      </c>
      <c r="BU57" t="s">
        <v>341</v>
      </c>
      <c r="BV57" t="s">
        <v>89</v>
      </c>
      <c r="BW57" t="s">
        <v>157</v>
      </c>
      <c r="BX57" t="s">
        <v>152</v>
      </c>
      <c r="BY57">
        <v>3618.6</v>
      </c>
      <c r="BZ57" t="s">
        <v>86</v>
      </c>
      <c r="CA57" t="s">
        <v>342</v>
      </c>
      <c r="CC57" t="s">
        <v>338</v>
      </c>
      <c r="CD57">
        <v>7599</v>
      </c>
      <c r="CE57" t="s">
        <v>88</v>
      </c>
      <c r="CF57" s="3">
        <v>44887</v>
      </c>
      <c r="CI57">
        <v>1</v>
      </c>
      <c r="CJ57">
        <v>5</v>
      </c>
      <c r="CK57">
        <v>42</v>
      </c>
      <c r="CL57" t="s">
        <v>89</v>
      </c>
    </row>
    <row r="58" spans="1:90" ht="15" customHeight="1" x14ac:dyDescent="0.3">
      <c r="A58" t="s">
        <v>72</v>
      </c>
      <c r="B58" t="s">
        <v>73</v>
      </c>
      <c r="C58" t="s">
        <v>74</v>
      </c>
      <c r="E58" t="str">
        <f>"009943064944"</f>
        <v>009943064944</v>
      </c>
      <c r="F58" s="3">
        <v>44879</v>
      </c>
      <c r="G58">
        <v>202308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343</v>
      </c>
      <c r="O58" t="s">
        <v>82</v>
      </c>
      <c r="P58" t="str">
        <f>"188244                        "</f>
        <v xml:space="preserve">188244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42.23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2.7</v>
      </c>
      <c r="BK58">
        <v>3</v>
      </c>
      <c r="BL58">
        <v>112.45</v>
      </c>
      <c r="BM58">
        <v>16.87</v>
      </c>
      <c r="BN58">
        <v>129.32</v>
      </c>
      <c r="BO58">
        <v>129.32</v>
      </c>
      <c r="BR58" t="s">
        <v>83</v>
      </c>
      <c r="BS58" s="3">
        <v>44881</v>
      </c>
      <c r="BT58" s="4">
        <v>0.41666666666666669</v>
      </c>
      <c r="BU58" t="s">
        <v>344</v>
      </c>
      <c r="BV58" t="s">
        <v>89</v>
      </c>
      <c r="BW58" t="s">
        <v>130</v>
      </c>
      <c r="BX58" t="s">
        <v>100</v>
      </c>
      <c r="BY58">
        <v>13406.4</v>
      </c>
      <c r="BZ58" t="s">
        <v>86</v>
      </c>
      <c r="CC58" t="s">
        <v>76</v>
      </c>
      <c r="CD58">
        <v>8005</v>
      </c>
      <c r="CE58" t="s">
        <v>88</v>
      </c>
      <c r="CF58" s="3">
        <v>44882</v>
      </c>
      <c r="CI58">
        <v>1</v>
      </c>
      <c r="CJ58">
        <v>2</v>
      </c>
      <c r="CK58">
        <v>42</v>
      </c>
      <c r="CL58" t="s">
        <v>89</v>
      </c>
    </row>
    <row r="59" spans="1:90" ht="15" customHeight="1" x14ac:dyDescent="0.3">
      <c r="A59" t="s">
        <v>72</v>
      </c>
      <c r="B59" t="s">
        <v>73</v>
      </c>
      <c r="C59" t="s">
        <v>74</v>
      </c>
      <c r="E59" t="str">
        <f>"009943064935"</f>
        <v>009943064935</v>
      </c>
      <c r="F59" s="3">
        <v>44879</v>
      </c>
      <c r="G59">
        <v>202308</v>
      </c>
      <c r="H59" t="s">
        <v>75</v>
      </c>
      <c r="I59" t="s">
        <v>76</v>
      </c>
      <c r="J59" t="s">
        <v>77</v>
      </c>
      <c r="K59" t="s">
        <v>78</v>
      </c>
      <c r="L59" t="s">
        <v>79</v>
      </c>
      <c r="M59" t="s">
        <v>80</v>
      </c>
      <c r="N59" t="s">
        <v>345</v>
      </c>
      <c r="O59" t="s">
        <v>82</v>
      </c>
      <c r="P59" t="str">
        <f>"188167                        "</f>
        <v xml:space="preserve">188167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54.73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0.6</v>
      </c>
      <c r="BK59">
        <v>1</v>
      </c>
      <c r="BL59">
        <v>144.18</v>
      </c>
      <c r="BM59">
        <v>21.63</v>
      </c>
      <c r="BN59">
        <v>165.81</v>
      </c>
      <c r="BO59">
        <v>165.81</v>
      </c>
      <c r="BQ59" t="s">
        <v>346</v>
      </c>
      <c r="BR59" t="s">
        <v>83</v>
      </c>
      <c r="BS59" s="3">
        <v>44881</v>
      </c>
      <c r="BT59" s="4">
        <v>0.44375000000000003</v>
      </c>
      <c r="BU59" t="s">
        <v>347</v>
      </c>
      <c r="BV59" t="s">
        <v>85</v>
      </c>
      <c r="BY59">
        <v>2851.8</v>
      </c>
      <c r="BZ59" t="s">
        <v>86</v>
      </c>
      <c r="CA59" t="s">
        <v>348</v>
      </c>
      <c r="CC59" t="s">
        <v>80</v>
      </c>
      <c r="CD59">
        <v>2196</v>
      </c>
      <c r="CE59" t="s">
        <v>88</v>
      </c>
      <c r="CF59" s="3">
        <v>44882</v>
      </c>
      <c r="CI59">
        <v>2</v>
      </c>
      <c r="CJ59">
        <v>2</v>
      </c>
      <c r="CK59">
        <v>41</v>
      </c>
      <c r="CL59" t="s">
        <v>89</v>
      </c>
    </row>
    <row r="60" spans="1:90" ht="15" customHeight="1" x14ac:dyDescent="0.3">
      <c r="A60" t="s">
        <v>72</v>
      </c>
      <c r="B60" t="s">
        <v>73</v>
      </c>
      <c r="C60" t="s">
        <v>74</v>
      </c>
      <c r="E60" t="str">
        <f>"009943064940"</f>
        <v>009943064940</v>
      </c>
      <c r="F60" s="3">
        <v>44879</v>
      </c>
      <c r="G60">
        <v>202308</v>
      </c>
      <c r="H60" t="s">
        <v>75</v>
      </c>
      <c r="I60" t="s">
        <v>76</v>
      </c>
      <c r="J60" t="s">
        <v>77</v>
      </c>
      <c r="K60" t="s">
        <v>78</v>
      </c>
      <c r="L60" t="s">
        <v>180</v>
      </c>
      <c r="M60" t="s">
        <v>181</v>
      </c>
      <c r="N60" t="s">
        <v>349</v>
      </c>
      <c r="O60" t="s">
        <v>82</v>
      </c>
      <c r="P60" t="str">
        <f>"188235                        "</f>
        <v xml:space="preserve">188235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54.73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2.6</v>
      </c>
      <c r="BJ60">
        <v>12.1</v>
      </c>
      <c r="BK60">
        <v>13</v>
      </c>
      <c r="BL60">
        <v>144.18</v>
      </c>
      <c r="BM60">
        <v>21.63</v>
      </c>
      <c r="BN60">
        <v>165.81</v>
      </c>
      <c r="BO60">
        <v>165.81</v>
      </c>
      <c r="BQ60" t="s">
        <v>350</v>
      </c>
      <c r="BR60" t="s">
        <v>83</v>
      </c>
      <c r="BS60" s="3">
        <v>44883</v>
      </c>
      <c r="BT60" s="4">
        <v>0.49027777777777781</v>
      </c>
      <c r="BU60" t="s">
        <v>351</v>
      </c>
      <c r="BV60" t="s">
        <v>89</v>
      </c>
      <c r="BW60" t="s">
        <v>122</v>
      </c>
      <c r="BX60" t="s">
        <v>352</v>
      </c>
      <c r="BY60">
        <v>60368.7</v>
      </c>
      <c r="BZ60" t="s">
        <v>86</v>
      </c>
      <c r="CA60" t="s">
        <v>353</v>
      </c>
      <c r="CC60" t="s">
        <v>181</v>
      </c>
      <c r="CD60">
        <v>4091</v>
      </c>
      <c r="CE60" t="s">
        <v>88</v>
      </c>
      <c r="CF60" s="3">
        <v>44886</v>
      </c>
      <c r="CI60">
        <v>3</v>
      </c>
      <c r="CJ60">
        <v>4</v>
      </c>
      <c r="CK60">
        <v>41</v>
      </c>
      <c r="CL60" t="s">
        <v>89</v>
      </c>
    </row>
    <row r="61" spans="1:90" ht="15" customHeight="1" x14ac:dyDescent="0.3">
      <c r="A61" t="s">
        <v>72</v>
      </c>
      <c r="B61" t="s">
        <v>73</v>
      </c>
      <c r="C61" t="s">
        <v>74</v>
      </c>
      <c r="E61" t="str">
        <f>"009942837118"</f>
        <v>009942837118</v>
      </c>
      <c r="F61" s="3">
        <v>44879</v>
      </c>
      <c r="G61">
        <v>202308</v>
      </c>
      <c r="H61" t="s">
        <v>117</v>
      </c>
      <c r="I61" t="s">
        <v>118</v>
      </c>
      <c r="J61" t="s">
        <v>94</v>
      </c>
      <c r="K61" t="s">
        <v>78</v>
      </c>
      <c r="L61" t="s">
        <v>108</v>
      </c>
      <c r="M61" t="s">
        <v>109</v>
      </c>
      <c r="N61" t="s">
        <v>354</v>
      </c>
      <c r="O61" t="s">
        <v>96</v>
      </c>
      <c r="P61" t="str">
        <f>"ZONDI M.B.                    "</f>
        <v xml:space="preserve">ZONDI M.B.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678.93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18</v>
      </c>
      <c r="BJ61">
        <v>47.7</v>
      </c>
      <c r="BK61">
        <v>48</v>
      </c>
      <c r="BL61">
        <v>1723.43</v>
      </c>
      <c r="BM61">
        <v>258.51</v>
      </c>
      <c r="BN61">
        <v>1981.94</v>
      </c>
      <c r="BO61">
        <v>1981.94</v>
      </c>
      <c r="BQ61" t="s">
        <v>114</v>
      </c>
      <c r="BR61" t="s">
        <v>355</v>
      </c>
      <c r="BS61" s="3">
        <v>44881</v>
      </c>
      <c r="BT61" s="4">
        <v>0.3611111111111111</v>
      </c>
      <c r="BU61" t="s">
        <v>356</v>
      </c>
      <c r="BV61" t="s">
        <v>89</v>
      </c>
      <c r="BW61" t="s">
        <v>157</v>
      </c>
      <c r="BX61" t="s">
        <v>357</v>
      </c>
      <c r="BY61">
        <v>238264</v>
      </c>
      <c r="BZ61" t="s">
        <v>101</v>
      </c>
      <c r="CC61" t="s">
        <v>109</v>
      </c>
      <c r="CD61">
        <v>6070</v>
      </c>
      <c r="CE61" t="s">
        <v>88</v>
      </c>
      <c r="CF61" s="3">
        <v>44882</v>
      </c>
      <c r="CI61">
        <v>1</v>
      </c>
      <c r="CJ61">
        <v>2</v>
      </c>
      <c r="CK61">
        <v>21</v>
      </c>
      <c r="CL61" t="s">
        <v>89</v>
      </c>
    </row>
    <row r="62" spans="1:90" ht="15" customHeight="1" x14ac:dyDescent="0.3">
      <c r="A62" t="s">
        <v>72</v>
      </c>
      <c r="B62" t="s">
        <v>73</v>
      </c>
      <c r="C62" t="s">
        <v>74</v>
      </c>
      <c r="E62" t="str">
        <f>"009942899898"</f>
        <v>009942899898</v>
      </c>
      <c r="F62" s="3">
        <v>44879</v>
      </c>
      <c r="G62">
        <v>202308</v>
      </c>
      <c r="H62" t="s">
        <v>111</v>
      </c>
      <c r="I62" t="s">
        <v>112</v>
      </c>
      <c r="J62" t="s">
        <v>94</v>
      </c>
      <c r="K62" t="s">
        <v>78</v>
      </c>
      <c r="L62" t="s">
        <v>111</v>
      </c>
      <c r="M62" t="s">
        <v>112</v>
      </c>
      <c r="N62" t="s">
        <v>358</v>
      </c>
      <c r="O62" t="s">
        <v>96</v>
      </c>
      <c r="P62" t="str">
        <f>"J72538                        "</f>
        <v xml:space="preserve">J72538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22.11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0.3</v>
      </c>
      <c r="BK62">
        <v>0.5</v>
      </c>
      <c r="BL62">
        <v>56.12</v>
      </c>
      <c r="BM62">
        <v>8.42</v>
      </c>
      <c r="BN62">
        <v>64.540000000000006</v>
      </c>
      <c r="BO62">
        <v>64.540000000000006</v>
      </c>
      <c r="BQ62" t="s">
        <v>359</v>
      </c>
      <c r="BR62" t="s">
        <v>221</v>
      </c>
      <c r="BS62" s="3">
        <v>44880</v>
      </c>
      <c r="BT62" s="4">
        <v>0.36458333333333331</v>
      </c>
      <c r="BU62" t="s">
        <v>360</v>
      </c>
      <c r="BV62" t="s">
        <v>85</v>
      </c>
      <c r="BY62">
        <v>1561.06</v>
      </c>
      <c r="BZ62" t="s">
        <v>101</v>
      </c>
      <c r="CA62" t="s">
        <v>361</v>
      </c>
      <c r="CC62" t="s">
        <v>112</v>
      </c>
      <c r="CD62">
        <v>1600</v>
      </c>
      <c r="CE62" t="s">
        <v>88</v>
      </c>
      <c r="CF62" s="3">
        <v>44881</v>
      </c>
      <c r="CI62">
        <v>1</v>
      </c>
      <c r="CJ62">
        <v>1</v>
      </c>
      <c r="CK62">
        <v>22</v>
      </c>
      <c r="CL62" t="s">
        <v>89</v>
      </c>
    </row>
    <row r="63" spans="1:90" ht="15" customHeight="1" x14ac:dyDescent="0.3">
      <c r="A63" t="s">
        <v>72</v>
      </c>
      <c r="B63" t="s">
        <v>73</v>
      </c>
      <c r="C63" t="s">
        <v>74</v>
      </c>
      <c r="E63" t="str">
        <f>"009942885536"</f>
        <v>009942885536</v>
      </c>
      <c r="F63" s="3">
        <v>44879</v>
      </c>
      <c r="G63">
        <v>202308</v>
      </c>
      <c r="H63" t="s">
        <v>111</v>
      </c>
      <c r="I63" t="s">
        <v>112</v>
      </c>
      <c r="J63" t="s">
        <v>94</v>
      </c>
      <c r="K63" t="s">
        <v>78</v>
      </c>
      <c r="L63" t="s">
        <v>108</v>
      </c>
      <c r="M63" t="s">
        <v>109</v>
      </c>
      <c r="N63" t="s">
        <v>94</v>
      </c>
      <c r="O63" t="s">
        <v>96</v>
      </c>
      <c r="P63" t="str">
        <f>"J31489                        "</f>
        <v xml:space="preserve">J31489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42.45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2.6</v>
      </c>
      <c r="BK63">
        <v>3</v>
      </c>
      <c r="BL63">
        <v>107.75</v>
      </c>
      <c r="BM63">
        <v>16.16</v>
      </c>
      <c r="BN63">
        <v>123.91</v>
      </c>
      <c r="BO63">
        <v>123.91</v>
      </c>
      <c r="BQ63" t="s">
        <v>114</v>
      </c>
      <c r="BR63" t="s">
        <v>113</v>
      </c>
      <c r="BS63" s="3">
        <v>44881</v>
      </c>
      <c r="BT63" s="4">
        <v>0.3611111111111111</v>
      </c>
      <c r="BU63" t="s">
        <v>362</v>
      </c>
      <c r="BV63" t="s">
        <v>89</v>
      </c>
      <c r="BW63" t="s">
        <v>157</v>
      </c>
      <c r="BX63" t="s">
        <v>357</v>
      </c>
      <c r="BY63">
        <v>13200</v>
      </c>
      <c r="BZ63" t="s">
        <v>101</v>
      </c>
      <c r="CA63" t="s">
        <v>363</v>
      </c>
      <c r="CC63" t="s">
        <v>109</v>
      </c>
      <c r="CD63">
        <v>6070</v>
      </c>
      <c r="CE63" t="s">
        <v>88</v>
      </c>
      <c r="CF63" s="3">
        <v>44882</v>
      </c>
      <c r="CI63">
        <v>1</v>
      </c>
      <c r="CJ63">
        <v>2</v>
      </c>
      <c r="CK63">
        <v>21</v>
      </c>
      <c r="CL63" t="s">
        <v>89</v>
      </c>
    </row>
    <row r="64" spans="1:90" ht="15" customHeight="1" x14ac:dyDescent="0.3">
      <c r="A64" t="s">
        <v>72</v>
      </c>
      <c r="B64" t="s">
        <v>73</v>
      </c>
      <c r="C64" t="s">
        <v>74</v>
      </c>
      <c r="E64" t="str">
        <f>"009942899900"</f>
        <v>009942899900</v>
      </c>
      <c r="F64" s="3">
        <v>44879</v>
      </c>
      <c r="G64">
        <v>202308</v>
      </c>
      <c r="H64" t="s">
        <v>111</v>
      </c>
      <c r="I64" t="s">
        <v>112</v>
      </c>
      <c r="J64" t="s">
        <v>94</v>
      </c>
      <c r="K64" t="s">
        <v>78</v>
      </c>
      <c r="L64" t="s">
        <v>364</v>
      </c>
      <c r="M64" t="s">
        <v>365</v>
      </c>
      <c r="N64" t="s">
        <v>366</v>
      </c>
      <c r="O64" t="s">
        <v>96</v>
      </c>
      <c r="P64" t="str">
        <f>"J72459                        "</f>
        <v xml:space="preserve">J72459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56.58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14.2</v>
      </c>
      <c r="BJ64">
        <v>1.1000000000000001</v>
      </c>
      <c r="BK64">
        <v>14.5</v>
      </c>
      <c r="BL64">
        <v>143.63</v>
      </c>
      <c r="BM64">
        <v>21.54</v>
      </c>
      <c r="BN64">
        <v>165.17</v>
      </c>
      <c r="BO64">
        <v>165.17</v>
      </c>
      <c r="BQ64" t="s">
        <v>367</v>
      </c>
      <c r="BR64" t="s">
        <v>221</v>
      </c>
      <c r="BS64" s="3">
        <v>44880</v>
      </c>
      <c r="BT64" s="4">
        <v>0.36388888888888887</v>
      </c>
      <c r="BU64" t="s">
        <v>368</v>
      </c>
      <c r="BV64" t="s">
        <v>85</v>
      </c>
      <c r="BY64">
        <v>5251.78</v>
      </c>
      <c r="BZ64" t="s">
        <v>101</v>
      </c>
      <c r="CA64" t="s">
        <v>320</v>
      </c>
      <c r="CC64" t="s">
        <v>365</v>
      </c>
      <c r="CD64">
        <v>1459</v>
      </c>
      <c r="CE64" t="s">
        <v>88</v>
      </c>
      <c r="CF64" s="3">
        <v>44881</v>
      </c>
      <c r="CI64">
        <v>1</v>
      </c>
      <c r="CJ64">
        <v>1</v>
      </c>
      <c r="CK64">
        <v>22</v>
      </c>
      <c r="CL64" t="s">
        <v>89</v>
      </c>
    </row>
    <row r="65" spans="1:90" ht="15" customHeight="1" x14ac:dyDescent="0.3">
      <c r="A65" t="s">
        <v>72</v>
      </c>
      <c r="B65" t="s">
        <v>73</v>
      </c>
      <c r="C65" t="s">
        <v>74</v>
      </c>
      <c r="E65" t="str">
        <f>"009942899899"</f>
        <v>009942899899</v>
      </c>
      <c r="F65" s="3">
        <v>44879</v>
      </c>
      <c r="G65">
        <v>202308</v>
      </c>
      <c r="H65" t="s">
        <v>111</v>
      </c>
      <c r="I65" t="s">
        <v>112</v>
      </c>
      <c r="J65" t="s">
        <v>94</v>
      </c>
      <c r="K65" t="s">
        <v>78</v>
      </c>
      <c r="L65" t="s">
        <v>111</v>
      </c>
      <c r="M65" t="s">
        <v>112</v>
      </c>
      <c r="N65" t="s">
        <v>369</v>
      </c>
      <c r="O65" t="s">
        <v>96</v>
      </c>
      <c r="P65" t="str">
        <f>"JNX0218450941                 "</f>
        <v xml:space="preserve">JNX0218450941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22.11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3.6</v>
      </c>
      <c r="BK65">
        <v>4</v>
      </c>
      <c r="BL65">
        <v>56.12</v>
      </c>
      <c r="BM65">
        <v>8.42</v>
      </c>
      <c r="BN65">
        <v>64.540000000000006</v>
      </c>
      <c r="BO65">
        <v>64.540000000000006</v>
      </c>
      <c r="BQ65" t="s">
        <v>370</v>
      </c>
      <c r="BR65" t="s">
        <v>221</v>
      </c>
      <c r="BS65" s="3">
        <v>44880</v>
      </c>
      <c r="BT65" s="4">
        <v>0.35694444444444445</v>
      </c>
      <c r="BU65" t="s">
        <v>371</v>
      </c>
      <c r="BV65" t="s">
        <v>85</v>
      </c>
      <c r="BY65">
        <v>18000</v>
      </c>
      <c r="BZ65" t="s">
        <v>101</v>
      </c>
      <c r="CA65" t="s">
        <v>372</v>
      </c>
      <c r="CC65" t="s">
        <v>112</v>
      </c>
      <c r="CD65">
        <v>1609</v>
      </c>
      <c r="CE65" t="s">
        <v>88</v>
      </c>
      <c r="CF65" s="3">
        <v>44881</v>
      </c>
      <c r="CI65">
        <v>1</v>
      </c>
      <c r="CJ65">
        <v>1</v>
      </c>
      <c r="CK65">
        <v>22</v>
      </c>
      <c r="CL65" t="s">
        <v>89</v>
      </c>
    </row>
    <row r="66" spans="1:90" ht="15" customHeight="1" x14ac:dyDescent="0.3">
      <c r="A66" t="s">
        <v>72</v>
      </c>
      <c r="B66" t="s">
        <v>73</v>
      </c>
      <c r="C66" t="s">
        <v>74</v>
      </c>
      <c r="E66" t="str">
        <f>"009943061662"</f>
        <v>009943061662</v>
      </c>
      <c r="F66" s="3">
        <v>44880</v>
      </c>
      <c r="G66">
        <v>202308</v>
      </c>
      <c r="H66" t="s">
        <v>75</v>
      </c>
      <c r="I66" t="s">
        <v>76</v>
      </c>
      <c r="J66" t="s">
        <v>77</v>
      </c>
      <c r="K66" t="s">
        <v>78</v>
      </c>
      <c r="L66" t="s">
        <v>373</v>
      </c>
      <c r="M66" t="s">
        <v>374</v>
      </c>
      <c r="N66" t="s">
        <v>375</v>
      </c>
      <c r="O66" t="s">
        <v>376</v>
      </c>
      <c r="P66" t="str">
        <f>"188263                        "</f>
        <v xml:space="preserve">188263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53.07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1.9</v>
      </c>
      <c r="BK66">
        <v>2</v>
      </c>
      <c r="BL66">
        <v>134.71</v>
      </c>
      <c r="BM66">
        <v>20.21</v>
      </c>
      <c r="BN66">
        <v>154.91999999999999</v>
      </c>
      <c r="BO66">
        <v>154.91999999999999</v>
      </c>
      <c r="BQ66" t="s">
        <v>377</v>
      </c>
      <c r="BR66" t="s">
        <v>83</v>
      </c>
      <c r="BS66" s="3">
        <v>44881</v>
      </c>
      <c r="BT66" s="4">
        <v>0.47500000000000003</v>
      </c>
      <c r="BU66" t="s">
        <v>378</v>
      </c>
      <c r="BV66" t="s">
        <v>85</v>
      </c>
      <c r="BY66">
        <v>9308</v>
      </c>
      <c r="BZ66" t="s">
        <v>86</v>
      </c>
      <c r="CA66" t="s">
        <v>379</v>
      </c>
      <c r="CC66" t="s">
        <v>374</v>
      </c>
      <c r="CD66">
        <v>6530</v>
      </c>
      <c r="CE66" t="s">
        <v>88</v>
      </c>
      <c r="CF66" s="3">
        <v>44882</v>
      </c>
      <c r="CI66">
        <v>1</v>
      </c>
      <c r="CJ66">
        <v>1</v>
      </c>
      <c r="CK66">
        <v>31</v>
      </c>
      <c r="CL66" t="s">
        <v>89</v>
      </c>
    </row>
    <row r="67" spans="1:90" ht="15" customHeight="1" x14ac:dyDescent="0.3">
      <c r="A67" t="s">
        <v>72</v>
      </c>
      <c r="B67" t="s">
        <v>73</v>
      </c>
      <c r="C67" t="s">
        <v>74</v>
      </c>
      <c r="E67" t="str">
        <f>"009943061665"</f>
        <v>009943061665</v>
      </c>
      <c r="F67" s="3">
        <v>44880</v>
      </c>
      <c r="G67">
        <v>202308</v>
      </c>
      <c r="H67" t="s">
        <v>75</v>
      </c>
      <c r="I67" t="s">
        <v>76</v>
      </c>
      <c r="J67" t="s">
        <v>77</v>
      </c>
      <c r="K67" t="s">
        <v>78</v>
      </c>
      <c r="L67" t="s">
        <v>380</v>
      </c>
      <c r="M67" t="s">
        <v>381</v>
      </c>
      <c r="N67" t="s">
        <v>382</v>
      </c>
      <c r="O67" t="s">
        <v>376</v>
      </c>
      <c r="P67" t="str">
        <f>"188275                        "</f>
        <v xml:space="preserve">188275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54.83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0.4</v>
      </c>
      <c r="BK67">
        <v>1</v>
      </c>
      <c r="BL67">
        <v>139.19</v>
      </c>
      <c r="BM67">
        <v>20.88</v>
      </c>
      <c r="BN67">
        <v>160.07</v>
      </c>
      <c r="BO67">
        <v>160.07</v>
      </c>
      <c r="BR67" t="s">
        <v>83</v>
      </c>
      <c r="BS67" s="3">
        <v>44881</v>
      </c>
      <c r="BT67" s="4">
        <v>0.5083333333333333</v>
      </c>
      <c r="BU67" t="s">
        <v>383</v>
      </c>
      <c r="BV67" t="s">
        <v>85</v>
      </c>
      <c r="BY67">
        <v>2152</v>
      </c>
      <c r="BZ67" t="s">
        <v>86</v>
      </c>
      <c r="CA67" t="s">
        <v>384</v>
      </c>
      <c r="CC67" t="s">
        <v>381</v>
      </c>
      <c r="CD67">
        <v>1441</v>
      </c>
      <c r="CE67" t="s">
        <v>88</v>
      </c>
      <c r="CF67" s="3">
        <v>44882</v>
      </c>
      <c r="CI67">
        <v>1</v>
      </c>
      <c r="CJ67">
        <v>1</v>
      </c>
      <c r="CK67">
        <v>33</v>
      </c>
      <c r="CL67" t="s">
        <v>89</v>
      </c>
    </row>
    <row r="68" spans="1:90" ht="15" customHeight="1" x14ac:dyDescent="0.3">
      <c r="A68" t="s">
        <v>72</v>
      </c>
      <c r="B68" t="s">
        <v>73</v>
      </c>
      <c r="C68" t="s">
        <v>74</v>
      </c>
      <c r="E68" t="str">
        <f>"009943061663"</f>
        <v>009943061663</v>
      </c>
      <c r="F68" s="3">
        <v>44880</v>
      </c>
      <c r="G68">
        <v>202308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385</v>
      </c>
      <c r="O68" t="s">
        <v>82</v>
      </c>
      <c r="P68" t="str">
        <f>"188266                        "</f>
        <v xml:space="preserve">188266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54.73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3.1</v>
      </c>
      <c r="BJ68">
        <v>12.5</v>
      </c>
      <c r="BK68">
        <v>13</v>
      </c>
      <c r="BL68">
        <v>144.18</v>
      </c>
      <c r="BM68">
        <v>21.63</v>
      </c>
      <c r="BN68">
        <v>165.81</v>
      </c>
      <c r="BO68">
        <v>165.81</v>
      </c>
      <c r="BR68" t="s">
        <v>83</v>
      </c>
      <c r="BS68" s="3">
        <v>44882</v>
      </c>
      <c r="BT68" s="4">
        <v>0.51388888888888895</v>
      </c>
      <c r="BU68" t="s">
        <v>386</v>
      </c>
      <c r="BV68" t="s">
        <v>85</v>
      </c>
      <c r="BY68">
        <v>62687.5</v>
      </c>
      <c r="BZ68" t="s">
        <v>86</v>
      </c>
      <c r="CA68" t="s">
        <v>387</v>
      </c>
      <c r="CC68" t="s">
        <v>80</v>
      </c>
      <c r="CD68">
        <v>2195</v>
      </c>
      <c r="CE68" t="s">
        <v>88</v>
      </c>
      <c r="CF68" s="3">
        <v>44883</v>
      </c>
      <c r="CI68">
        <v>2</v>
      </c>
      <c r="CJ68">
        <v>2</v>
      </c>
      <c r="CK68">
        <v>41</v>
      </c>
      <c r="CL68" t="s">
        <v>89</v>
      </c>
    </row>
    <row r="69" spans="1:90" ht="15" customHeight="1" x14ac:dyDescent="0.3">
      <c r="A69" t="s">
        <v>72</v>
      </c>
      <c r="B69" t="s">
        <v>73</v>
      </c>
      <c r="C69" t="s">
        <v>74</v>
      </c>
      <c r="E69" t="str">
        <f>"009943061712"</f>
        <v>009943061712</v>
      </c>
      <c r="F69" s="3">
        <v>44880</v>
      </c>
      <c r="G69">
        <v>202308</v>
      </c>
      <c r="H69" t="s">
        <v>75</v>
      </c>
      <c r="I69" t="s">
        <v>76</v>
      </c>
      <c r="J69" t="s">
        <v>77</v>
      </c>
      <c r="K69" t="s">
        <v>78</v>
      </c>
      <c r="L69" t="s">
        <v>200</v>
      </c>
      <c r="M69" t="s">
        <v>201</v>
      </c>
      <c r="N69" t="s">
        <v>388</v>
      </c>
      <c r="O69" t="s">
        <v>82</v>
      </c>
      <c r="P69" t="str">
        <f>"2338                          "</f>
        <v xml:space="preserve">2338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66.010000000000005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4.5999999999999996</v>
      </c>
      <c r="BJ69">
        <v>19.8</v>
      </c>
      <c r="BK69">
        <v>20</v>
      </c>
      <c r="BL69">
        <v>172.81</v>
      </c>
      <c r="BM69">
        <v>25.92</v>
      </c>
      <c r="BN69">
        <v>198.73</v>
      </c>
      <c r="BO69">
        <v>198.73</v>
      </c>
      <c r="BR69" t="s">
        <v>83</v>
      </c>
      <c r="BS69" s="3">
        <v>44883</v>
      </c>
      <c r="BT69" s="4">
        <v>0.34861111111111115</v>
      </c>
      <c r="BU69" t="s">
        <v>389</v>
      </c>
      <c r="BV69" t="s">
        <v>89</v>
      </c>
      <c r="BW69" t="s">
        <v>334</v>
      </c>
      <c r="BX69" t="s">
        <v>390</v>
      </c>
      <c r="BY69">
        <v>98925.3</v>
      </c>
      <c r="BZ69" t="s">
        <v>86</v>
      </c>
      <c r="CA69" t="s">
        <v>391</v>
      </c>
      <c r="CC69" t="s">
        <v>201</v>
      </c>
      <c r="CD69">
        <v>1401</v>
      </c>
      <c r="CE69" t="s">
        <v>88</v>
      </c>
      <c r="CF69" s="3">
        <v>44883</v>
      </c>
      <c r="CI69">
        <v>2</v>
      </c>
      <c r="CJ69">
        <v>3</v>
      </c>
      <c r="CK69">
        <v>41</v>
      </c>
      <c r="CL69" t="s">
        <v>89</v>
      </c>
    </row>
    <row r="70" spans="1:90" ht="15" customHeight="1" x14ac:dyDescent="0.3">
      <c r="A70" t="s">
        <v>72</v>
      </c>
      <c r="B70" t="s">
        <v>73</v>
      </c>
      <c r="C70" t="s">
        <v>74</v>
      </c>
      <c r="E70" t="str">
        <f>"009943061666"</f>
        <v>009943061666</v>
      </c>
      <c r="F70" s="3">
        <v>44880</v>
      </c>
      <c r="G70">
        <v>202308</v>
      </c>
      <c r="H70" t="s">
        <v>75</v>
      </c>
      <c r="I70" t="s">
        <v>76</v>
      </c>
      <c r="J70" t="s">
        <v>77</v>
      </c>
      <c r="K70" t="s">
        <v>78</v>
      </c>
      <c r="L70" t="s">
        <v>108</v>
      </c>
      <c r="M70" t="s">
        <v>109</v>
      </c>
      <c r="N70" t="s">
        <v>392</v>
      </c>
      <c r="O70" t="s">
        <v>376</v>
      </c>
      <c r="P70" t="str">
        <f>"188281                        "</f>
        <v xml:space="preserve">188281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53.07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3.8</v>
      </c>
      <c r="BK70">
        <v>4</v>
      </c>
      <c r="BL70">
        <v>134.71</v>
      </c>
      <c r="BM70">
        <v>20.21</v>
      </c>
      <c r="BN70">
        <v>154.91999999999999</v>
      </c>
      <c r="BO70">
        <v>154.91999999999999</v>
      </c>
      <c r="BQ70" t="s">
        <v>393</v>
      </c>
      <c r="BR70" t="s">
        <v>83</v>
      </c>
      <c r="BS70" s="3">
        <v>44881</v>
      </c>
      <c r="BT70" s="4">
        <v>0.43194444444444446</v>
      </c>
      <c r="BU70" t="s">
        <v>394</v>
      </c>
      <c r="BV70" t="s">
        <v>85</v>
      </c>
      <c r="BY70">
        <v>19163.04</v>
      </c>
      <c r="BZ70" t="s">
        <v>86</v>
      </c>
      <c r="CA70" t="s">
        <v>395</v>
      </c>
      <c r="CC70" t="s">
        <v>109</v>
      </c>
      <c r="CD70">
        <v>6001</v>
      </c>
      <c r="CE70" t="s">
        <v>88</v>
      </c>
      <c r="CF70" s="3">
        <v>44882</v>
      </c>
      <c r="CI70">
        <v>1</v>
      </c>
      <c r="CJ70">
        <v>1</v>
      </c>
      <c r="CK70">
        <v>31</v>
      </c>
      <c r="CL70" t="s">
        <v>89</v>
      </c>
    </row>
    <row r="71" spans="1:90" ht="15" customHeight="1" x14ac:dyDescent="0.3">
      <c r="A71" t="s">
        <v>72</v>
      </c>
      <c r="B71" t="s">
        <v>73</v>
      </c>
      <c r="C71" t="s">
        <v>74</v>
      </c>
      <c r="E71" t="str">
        <f>"009943061657"</f>
        <v>009943061657</v>
      </c>
      <c r="F71" s="3">
        <v>44880</v>
      </c>
      <c r="G71">
        <v>202308</v>
      </c>
      <c r="H71" t="s">
        <v>75</v>
      </c>
      <c r="I71" t="s">
        <v>76</v>
      </c>
      <c r="J71" t="s">
        <v>77</v>
      </c>
      <c r="K71" t="s">
        <v>78</v>
      </c>
      <c r="L71" t="s">
        <v>396</v>
      </c>
      <c r="M71" t="s">
        <v>397</v>
      </c>
      <c r="N71" t="s">
        <v>398</v>
      </c>
      <c r="O71" t="s">
        <v>82</v>
      </c>
      <c r="P71" t="str">
        <f>"27871                         "</f>
        <v xml:space="preserve">27871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54.73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2.5</v>
      </c>
      <c r="BJ71">
        <v>10.7</v>
      </c>
      <c r="BK71">
        <v>11</v>
      </c>
      <c r="BL71">
        <v>144.18</v>
      </c>
      <c r="BM71">
        <v>21.63</v>
      </c>
      <c r="BN71">
        <v>165.81</v>
      </c>
      <c r="BO71">
        <v>165.81</v>
      </c>
      <c r="BR71" t="s">
        <v>83</v>
      </c>
      <c r="BS71" s="3">
        <v>44883</v>
      </c>
      <c r="BT71" s="4">
        <v>0.45694444444444443</v>
      </c>
      <c r="BU71" t="s">
        <v>399</v>
      </c>
      <c r="BV71" t="s">
        <v>89</v>
      </c>
      <c r="BW71" t="s">
        <v>130</v>
      </c>
      <c r="BX71" t="s">
        <v>223</v>
      </c>
      <c r="BY71">
        <v>53534.52</v>
      </c>
      <c r="BZ71" t="s">
        <v>86</v>
      </c>
      <c r="CA71" t="s">
        <v>400</v>
      </c>
      <c r="CC71" t="s">
        <v>397</v>
      </c>
      <c r="CD71">
        <v>1709</v>
      </c>
      <c r="CE71" t="s">
        <v>88</v>
      </c>
      <c r="CF71" s="3">
        <v>44883</v>
      </c>
      <c r="CI71">
        <v>2</v>
      </c>
      <c r="CJ71">
        <v>3</v>
      </c>
      <c r="CK71">
        <v>41</v>
      </c>
      <c r="CL71" t="s">
        <v>89</v>
      </c>
    </row>
    <row r="72" spans="1:90" ht="15" customHeight="1" x14ac:dyDescent="0.3">
      <c r="A72" t="s">
        <v>72</v>
      </c>
      <c r="B72" t="s">
        <v>73</v>
      </c>
      <c r="C72" t="s">
        <v>74</v>
      </c>
      <c r="E72" t="str">
        <f>"009943061713"</f>
        <v>009943061713</v>
      </c>
      <c r="F72" s="3">
        <v>44880</v>
      </c>
      <c r="G72">
        <v>202308</v>
      </c>
      <c r="H72" t="s">
        <v>75</v>
      </c>
      <c r="I72" t="s">
        <v>76</v>
      </c>
      <c r="J72" t="s">
        <v>77</v>
      </c>
      <c r="K72" t="s">
        <v>78</v>
      </c>
      <c r="L72" t="s">
        <v>79</v>
      </c>
      <c r="M72" t="s">
        <v>80</v>
      </c>
      <c r="N72" t="s">
        <v>401</v>
      </c>
      <c r="O72" t="s">
        <v>376</v>
      </c>
      <c r="P72" t="str">
        <f>"LUSANDA SPARES                "</f>
        <v xml:space="preserve">LUSANDA SPARES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53.07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0.9</v>
      </c>
      <c r="BK72">
        <v>1</v>
      </c>
      <c r="BL72">
        <v>134.71</v>
      </c>
      <c r="BM72">
        <v>20.21</v>
      </c>
      <c r="BN72">
        <v>154.91999999999999</v>
      </c>
      <c r="BO72">
        <v>154.91999999999999</v>
      </c>
      <c r="BQ72" t="s">
        <v>402</v>
      </c>
      <c r="BR72" t="s">
        <v>83</v>
      </c>
      <c r="BS72" s="3">
        <v>44882</v>
      </c>
      <c r="BT72" s="4">
        <v>0.47222222222222227</v>
      </c>
      <c r="BU72" t="s">
        <v>403</v>
      </c>
      <c r="BV72" t="s">
        <v>89</v>
      </c>
      <c r="BW72" t="s">
        <v>334</v>
      </c>
      <c r="BX72" t="s">
        <v>335</v>
      </c>
      <c r="BY72">
        <v>4368.2</v>
      </c>
      <c r="BZ72" t="s">
        <v>86</v>
      </c>
      <c r="CC72" t="s">
        <v>80</v>
      </c>
      <c r="CD72">
        <v>2091</v>
      </c>
      <c r="CE72" t="s">
        <v>88</v>
      </c>
      <c r="CF72" s="3">
        <v>44882</v>
      </c>
      <c r="CI72">
        <v>1</v>
      </c>
      <c r="CJ72">
        <v>2</v>
      </c>
      <c r="CK72">
        <v>31</v>
      </c>
      <c r="CL72" t="s">
        <v>89</v>
      </c>
    </row>
    <row r="73" spans="1:90" ht="15" customHeight="1" x14ac:dyDescent="0.3">
      <c r="A73" t="s">
        <v>72</v>
      </c>
      <c r="B73" t="s">
        <v>73</v>
      </c>
      <c r="C73" t="s">
        <v>74</v>
      </c>
      <c r="E73" t="str">
        <f>"009943061711"</f>
        <v>009943061711</v>
      </c>
      <c r="F73" s="3">
        <v>44880</v>
      </c>
      <c r="G73">
        <v>202308</v>
      </c>
      <c r="H73" t="s">
        <v>75</v>
      </c>
      <c r="I73" t="s">
        <v>76</v>
      </c>
      <c r="J73" t="s">
        <v>77</v>
      </c>
      <c r="K73" t="s">
        <v>78</v>
      </c>
      <c r="L73" t="s">
        <v>217</v>
      </c>
      <c r="M73" t="s">
        <v>218</v>
      </c>
      <c r="N73" t="s">
        <v>404</v>
      </c>
      <c r="O73" t="s">
        <v>82</v>
      </c>
      <c r="P73" t="str">
        <f>"188282                        "</f>
        <v xml:space="preserve">188282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54.73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4.0999999999999996</v>
      </c>
      <c r="BJ73">
        <v>13.5</v>
      </c>
      <c r="BK73">
        <v>14</v>
      </c>
      <c r="BL73">
        <v>144.18</v>
      </c>
      <c r="BM73">
        <v>21.63</v>
      </c>
      <c r="BN73">
        <v>165.81</v>
      </c>
      <c r="BO73">
        <v>165.81</v>
      </c>
      <c r="BR73" t="s">
        <v>83</v>
      </c>
      <c r="BS73" s="3">
        <v>44883</v>
      </c>
      <c r="BT73" s="4">
        <v>0.55833333333333335</v>
      </c>
      <c r="BU73" t="s">
        <v>405</v>
      </c>
      <c r="BV73" t="s">
        <v>89</v>
      </c>
      <c r="BW73" t="s">
        <v>205</v>
      </c>
      <c r="BX73" t="s">
        <v>390</v>
      </c>
      <c r="BY73">
        <v>67650</v>
      </c>
      <c r="BZ73" t="s">
        <v>86</v>
      </c>
      <c r="CA73" t="s">
        <v>406</v>
      </c>
      <c r="CC73" t="s">
        <v>218</v>
      </c>
      <c r="CD73">
        <v>1682</v>
      </c>
      <c r="CE73" t="s">
        <v>88</v>
      </c>
      <c r="CF73" s="3">
        <v>44884</v>
      </c>
      <c r="CI73">
        <v>2</v>
      </c>
      <c r="CJ73">
        <v>3</v>
      </c>
      <c r="CK73">
        <v>41</v>
      </c>
      <c r="CL73" t="s">
        <v>89</v>
      </c>
    </row>
    <row r="74" spans="1:90" ht="15" customHeight="1" x14ac:dyDescent="0.3">
      <c r="A74" t="s">
        <v>72</v>
      </c>
      <c r="B74" t="s">
        <v>73</v>
      </c>
      <c r="C74" t="s">
        <v>74</v>
      </c>
      <c r="E74" t="str">
        <f>"009943061658"</f>
        <v>009943061658</v>
      </c>
      <c r="F74" s="3">
        <v>44880</v>
      </c>
      <c r="G74">
        <v>202308</v>
      </c>
      <c r="H74" t="s">
        <v>75</v>
      </c>
      <c r="I74" t="s">
        <v>76</v>
      </c>
      <c r="J74" t="s">
        <v>77</v>
      </c>
      <c r="K74" t="s">
        <v>78</v>
      </c>
      <c r="L74" t="s">
        <v>407</v>
      </c>
      <c r="M74" t="s">
        <v>408</v>
      </c>
      <c r="N74" t="s">
        <v>409</v>
      </c>
      <c r="O74" t="s">
        <v>376</v>
      </c>
      <c r="P74" t="str">
        <f>"188258                        "</f>
        <v xml:space="preserve">188258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54.83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1.9</v>
      </c>
      <c r="BK74">
        <v>2</v>
      </c>
      <c r="BL74">
        <v>139.19</v>
      </c>
      <c r="BM74">
        <v>20.88</v>
      </c>
      <c r="BN74">
        <v>160.07</v>
      </c>
      <c r="BO74">
        <v>160.07</v>
      </c>
      <c r="BQ74" t="s">
        <v>410</v>
      </c>
      <c r="BR74" t="s">
        <v>83</v>
      </c>
      <c r="BS74" s="3">
        <v>44881</v>
      </c>
      <c r="BT74" s="4">
        <v>0.51250000000000007</v>
      </c>
      <c r="BU74" t="s">
        <v>411</v>
      </c>
      <c r="BV74" t="s">
        <v>85</v>
      </c>
      <c r="BY74">
        <v>9310</v>
      </c>
      <c r="BZ74" t="s">
        <v>86</v>
      </c>
      <c r="CA74" t="s">
        <v>412</v>
      </c>
      <c r="CC74" t="s">
        <v>408</v>
      </c>
      <c r="CD74">
        <v>1300</v>
      </c>
      <c r="CE74" t="s">
        <v>88</v>
      </c>
      <c r="CF74" s="3">
        <v>44881</v>
      </c>
      <c r="CI74">
        <v>1</v>
      </c>
      <c r="CJ74">
        <v>1</v>
      </c>
      <c r="CK74">
        <v>33</v>
      </c>
      <c r="CL74" t="s">
        <v>89</v>
      </c>
    </row>
    <row r="75" spans="1:90" ht="15" customHeight="1" x14ac:dyDescent="0.3">
      <c r="A75" t="s">
        <v>72</v>
      </c>
      <c r="B75" t="s">
        <v>73</v>
      </c>
      <c r="C75" t="s">
        <v>74</v>
      </c>
      <c r="E75" t="str">
        <f>"009943077542"</f>
        <v>009943077542</v>
      </c>
      <c r="F75" s="3">
        <v>44880</v>
      </c>
      <c r="G75">
        <v>202308</v>
      </c>
      <c r="H75" t="s">
        <v>75</v>
      </c>
      <c r="I75" t="s">
        <v>76</v>
      </c>
      <c r="J75" t="s">
        <v>286</v>
      </c>
      <c r="K75" t="s">
        <v>78</v>
      </c>
      <c r="L75" t="s">
        <v>324</v>
      </c>
      <c r="M75" t="s">
        <v>325</v>
      </c>
      <c r="N75" t="s">
        <v>413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116.64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4</v>
      </c>
      <c r="BI75">
        <v>24.4</v>
      </c>
      <c r="BJ75">
        <v>10.8</v>
      </c>
      <c r="BK75">
        <v>25</v>
      </c>
      <c r="BL75">
        <v>301.33999999999997</v>
      </c>
      <c r="BM75">
        <v>45.2</v>
      </c>
      <c r="BN75">
        <v>346.54</v>
      </c>
      <c r="BO75">
        <v>346.54</v>
      </c>
      <c r="BQ75">
        <v>828042756</v>
      </c>
      <c r="BR75" t="s">
        <v>288</v>
      </c>
      <c r="BS75" s="3">
        <v>44883</v>
      </c>
      <c r="BT75" s="4">
        <v>0.37083333333333335</v>
      </c>
      <c r="BU75" t="s">
        <v>414</v>
      </c>
      <c r="BV75" t="s">
        <v>85</v>
      </c>
      <c r="BY75">
        <v>53926.64</v>
      </c>
      <c r="BZ75" t="s">
        <v>86</v>
      </c>
      <c r="CA75" t="s">
        <v>415</v>
      </c>
      <c r="CC75" t="s">
        <v>325</v>
      </c>
      <c r="CD75">
        <v>4420</v>
      </c>
      <c r="CE75" t="s">
        <v>88</v>
      </c>
      <c r="CF75" s="3">
        <v>44887</v>
      </c>
      <c r="CI75">
        <v>3</v>
      </c>
      <c r="CJ75">
        <v>3</v>
      </c>
      <c r="CK75">
        <v>43</v>
      </c>
      <c r="CL75" t="s">
        <v>89</v>
      </c>
    </row>
    <row r="76" spans="1:90" ht="15" customHeight="1" x14ac:dyDescent="0.3">
      <c r="A76" t="s">
        <v>72</v>
      </c>
      <c r="B76" t="s">
        <v>73</v>
      </c>
      <c r="C76" t="s">
        <v>74</v>
      </c>
      <c r="E76" t="str">
        <f>"009943061659"</f>
        <v>009943061659</v>
      </c>
      <c r="F76" s="3">
        <v>44880</v>
      </c>
      <c r="G76">
        <v>202308</v>
      </c>
      <c r="H76" t="s">
        <v>75</v>
      </c>
      <c r="I76" t="s">
        <v>76</v>
      </c>
      <c r="J76" t="s">
        <v>77</v>
      </c>
      <c r="K76" t="s">
        <v>78</v>
      </c>
      <c r="L76" t="s">
        <v>75</v>
      </c>
      <c r="M76" t="s">
        <v>76</v>
      </c>
      <c r="N76" t="s">
        <v>416</v>
      </c>
      <c r="O76" t="s">
        <v>376</v>
      </c>
      <c r="P76" t="str">
        <f>"23080                         "</f>
        <v xml:space="preserve">23080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22.11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2</v>
      </c>
      <c r="BK76">
        <v>2</v>
      </c>
      <c r="BL76">
        <v>56.13</v>
      </c>
      <c r="BM76">
        <v>8.42</v>
      </c>
      <c r="BN76">
        <v>64.55</v>
      </c>
      <c r="BO76">
        <v>64.55</v>
      </c>
      <c r="BR76" t="s">
        <v>83</v>
      </c>
      <c r="BS76" s="3">
        <v>44881</v>
      </c>
      <c r="BT76" s="4">
        <v>0.74583333333333324</v>
      </c>
      <c r="BU76" t="s">
        <v>417</v>
      </c>
      <c r="BV76" t="s">
        <v>89</v>
      </c>
      <c r="BW76" t="s">
        <v>130</v>
      </c>
      <c r="BX76" t="s">
        <v>418</v>
      </c>
      <c r="BY76">
        <v>10000.049999999999</v>
      </c>
      <c r="BZ76" t="s">
        <v>86</v>
      </c>
      <c r="CA76" t="s">
        <v>419</v>
      </c>
      <c r="CC76" t="s">
        <v>76</v>
      </c>
      <c r="CD76">
        <v>7570</v>
      </c>
      <c r="CE76" t="s">
        <v>88</v>
      </c>
      <c r="CF76" s="3">
        <v>44882</v>
      </c>
      <c r="CI76">
        <v>1</v>
      </c>
      <c r="CJ76">
        <v>1</v>
      </c>
      <c r="CK76">
        <v>32</v>
      </c>
      <c r="CL76" t="s">
        <v>89</v>
      </c>
    </row>
    <row r="77" spans="1:90" ht="15" customHeight="1" x14ac:dyDescent="0.3">
      <c r="A77" t="s">
        <v>72</v>
      </c>
      <c r="B77" t="s">
        <v>73</v>
      </c>
      <c r="C77" t="s">
        <v>74</v>
      </c>
      <c r="E77" t="str">
        <f>"009943061660"</f>
        <v>009943061660</v>
      </c>
      <c r="F77" s="3">
        <v>44880</v>
      </c>
      <c r="G77">
        <v>202308</v>
      </c>
      <c r="H77" t="s">
        <v>75</v>
      </c>
      <c r="I77" t="s">
        <v>76</v>
      </c>
      <c r="J77" t="s">
        <v>77</v>
      </c>
      <c r="K77" t="s">
        <v>78</v>
      </c>
      <c r="L77" t="s">
        <v>75</v>
      </c>
      <c r="M77" t="s">
        <v>76</v>
      </c>
      <c r="N77" t="s">
        <v>420</v>
      </c>
      <c r="O77" t="s">
        <v>82</v>
      </c>
      <c r="P77" t="str">
        <f>"27940                         "</f>
        <v xml:space="preserve">27940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57.05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4.0999999999999996</v>
      </c>
      <c r="BJ77">
        <v>26.1</v>
      </c>
      <c r="BK77">
        <v>27</v>
      </c>
      <c r="BL77">
        <v>150.07</v>
      </c>
      <c r="BM77">
        <v>22.51</v>
      </c>
      <c r="BN77">
        <v>172.58</v>
      </c>
      <c r="BO77">
        <v>172.58</v>
      </c>
      <c r="BQ77" t="s">
        <v>421</v>
      </c>
      <c r="BR77" t="s">
        <v>83</v>
      </c>
      <c r="BS77" s="3">
        <v>44881</v>
      </c>
      <c r="BT77" s="4">
        <v>0.58680555555555558</v>
      </c>
      <c r="BU77" t="s">
        <v>344</v>
      </c>
      <c r="BV77" t="s">
        <v>85</v>
      </c>
      <c r="BY77">
        <v>130615.35</v>
      </c>
      <c r="BZ77" t="s">
        <v>86</v>
      </c>
      <c r="CA77" t="s">
        <v>422</v>
      </c>
      <c r="CC77" t="s">
        <v>76</v>
      </c>
      <c r="CD77">
        <v>7441</v>
      </c>
      <c r="CE77" t="s">
        <v>88</v>
      </c>
      <c r="CF77" s="3">
        <v>44882</v>
      </c>
      <c r="CI77">
        <v>1</v>
      </c>
      <c r="CJ77">
        <v>1</v>
      </c>
      <c r="CK77">
        <v>42</v>
      </c>
      <c r="CL77" t="s">
        <v>89</v>
      </c>
    </row>
    <row r="78" spans="1:90" ht="15" customHeight="1" x14ac:dyDescent="0.3">
      <c r="A78" t="s">
        <v>72</v>
      </c>
      <c r="B78" t="s">
        <v>73</v>
      </c>
      <c r="C78" t="s">
        <v>74</v>
      </c>
      <c r="E78" t="str">
        <f>"009942358086"</f>
        <v>009942358086</v>
      </c>
      <c r="F78" s="3">
        <v>44880</v>
      </c>
      <c r="G78">
        <v>202308</v>
      </c>
      <c r="H78" t="s">
        <v>75</v>
      </c>
      <c r="I78" t="s">
        <v>76</v>
      </c>
      <c r="J78" t="s">
        <v>423</v>
      </c>
      <c r="K78" t="s">
        <v>78</v>
      </c>
      <c r="L78" t="s">
        <v>424</v>
      </c>
      <c r="M78" t="s">
        <v>425</v>
      </c>
      <c r="N78" t="s">
        <v>426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15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91.9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16.2</v>
      </c>
      <c r="BJ78">
        <v>34.4</v>
      </c>
      <c r="BK78">
        <v>35</v>
      </c>
      <c r="BL78">
        <v>253.54</v>
      </c>
      <c r="BM78">
        <v>38.03</v>
      </c>
      <c r="BN78">
        <v>291.57</v>
      </c>
      <c r="BO78">
        <v>291.57</v>
      </c>
      <c r="BQ78" t="s">
        <v>427</v>
      </c>
      <c r="BR78" t="s">
        <v>276</v>
      </c>
      <c r="BS78" s="3">
        <v>44881</v>
      </c>
      <c r="BT78" s="4">
        <v>0.60972222222222217</v>
      </c>
      <c r="BU78" t="s">
        <v>428</v>
      </c>
      <c r="BV78" t="s">
        <v>85</v>
      </c>
      <c r="BY78">
        <v>171926.77</v>
      </c>
      <c r="BZ78" t="s">
        <v>278</v>
      </c>
      <c r="CA78" t="s">
        <v>429</v>
      </c>
      <c r="CC78" t="s">
        <v>425</v>
      </c>
      <c r="CD78">
        <v>7200</v>
      </c>
      <c r="CE78" t="s">
        <v>88</v>
      </c>
      <c r="CF78" s="3">
        <v>44882</v>
      </c>
      <c r="CI78">
        <v>2</v>
      </c>
      <c r="CJ78">
        <v>1</v>
      </c>
      <c r="CK78">
        <v>44</v>
      </c>
      <c r="CL78" t="s">
        <v>89</v>
      </c>
    </row>
    <row r="79" spans="1:90" ht="15" customHeight="1" x14ac:dyDescent="0.3">
      <c r="A79" t="s">
        <v>72</v>
      </c>
      <c r="B79" t="s">
        <v>73</v>
      </c>
      <c r="C79" t="s">
        <v>74</v>
      </c>
      <c r="E79" t="str">
        <f>"009942701269"</f>
        <v>009942701269</v>
      </c>
      <c r="F79" s="3">
        <v>44880</v>
      </c>
      <c r="G79">
        <v>202308</v>
      </c>
      <c r="H79" t="s">
        <v>108</v>
      </c>
      <c r="I79" t="s">
        <v>109</v>
      </c>
      <c r="J79" t="s">
        <v>110</v>
      </c>
      <c r="K79" t="s">
        <v>78</v>
      </c>
      <c r="L79" t="s">
        <v>111</v>
      </c>
      <c r="M79" t="s">
        <v>112</v>
      </c>
      <c r="N79" t="s">
        <v>94</v>
      </c>
      <c r="O79" t="s">
        <v>96</v>
      </c>
      <c r="P79" t="str">
        <f>"PLZ 2110104021                "</f>
        <v xml:space="preserve">PLZ 2110104021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28.3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71.84</v>
      </c>
      <c r="BM79">
        <v>10.78</v>
      </c>
      <c r="BN79">
        <v>82.62</v>
      </c>
      <c r="BO79">
        <v>82.62</v>
      </c>
      <c r="BQ79" t="s">
        <v>113</v>
      </c>
      <c r="BR79" t="s">
        <v>114</v>
      </c>
      <c r="BS79" s="3">
        <v>44881</v>
      </c>
      <c r="BT79" s="4">
        <v>0.40625</v>
      </c>
      <c r="BU79" t="s">
        <v>430</v>
      </c>
      <c r="BV79" t="s">
        <v>85</v>
      </c>
      <c r="BY79">
        <v>1200</v>
      </c>
      <c r="BZ79" t="s">
        <v>101</v>
      </c>
      <c r="CA79" t="s">
        <v>431</v>
      </c>
      <c r="CC79" t="s">
        <v>112</v>
      </c>
      <c r="CD79">
        <v>1620</v>
      </c>
      <c r="CE79" t="s">
        <v>88</v>
      </c>
      <c r="CF79" s="3">
        <v>44882</v>
      </c>
      <c r="CI79">
        <v>1</v>
      </c>
      <c r="CJ79">
        <v>1</v>
      </c>
      <c r="CK79">
        <v>21</v>
      </c>
      <c r="CL79" t="s">
        <v>89</v>
      </c>
    </row>
    <row r="80" spans="1:90" ht="15" customHeight="1" x14ac:dyDescent="0.3">
      <c r="A80" t="s">
        <v>72</v>
      </c>
      <c r="B80" t="s">
        <v>73</v>
      </c>
      <c r="C80" t="s">
        <v>74</v>
      </c>
      <c r="E80" t="str">
        <f>"009942899893"</f>
        <v>009942899893</v>
      </c>
      <c r="F80" s="3">
        <v>44880</v>
      </c>
      <c r="G80">
        <v>202308</v>
      </c>
      <c r="H80" t="s">
        <v>111</v>
      </c>
      <c r="I80" t="s">
        <v>112</v>
      </c>
      <c r="J80" t="s">
        <v>94</v>
      </c>
      <c r="K80" t="s">
        <v>78</v>
      </c>
      <c r="L80" t="s">
        <v>380</v>
      </c>
      <c r="M80" t="s">
        <v>381</v>
      </c>
      <c r="N80" t="s">
        <v>432</v>
      </c>
      <c r="O80" t="s">
        <v>96</v>
      </c>
      <c r="P80" t="str">
        <f>"J72575                        "</f>
        <v xml:space="preserve">J72575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39.81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0.9</v>
      </c>
      <c r="BJ80">
        <v>0.9</v>
      </c>
      <c r="BK80">
        <v>1</v>
      </c>
      <c r="BL80">
        <v>101.05</v>
      </c>
      <c r="BM80">
        <v>15.16</v>
      </c>
      <c r="BN80">
        <v>116.21</v>
      </c>
      <c r="BO80">
        <v>116.21</v>
      </c>
      <c r="BQ80" t="s">
        <v>243</v>
      </c>
      <c r="BR80" t="s">
        <v>433</v>
      </c>
      <c r="BS80" s="3">
        <v>44881</v>
      </c>
      <c r="BT80" s="4">
        <v>0.37986111111111115</v>
      </c>
      <c r="BU80" t="s">
        <v>434</v>
      </c>
      <c r="BV80" t="s">
        <v>85</v>
      </c>
      <c r="BY80">
        <v>4435.2</v>
      </c>
      <c r="BZ80" t="s">
        <v>101</v>
      </c>
      <c r="CA80" t="s">
        <v>384</v>
      </c>
      <c r="CC80" t="s">
        <v>381</v>
      </c>
      <c r="CD80">
        <v>1438</v>
      </c>
      <c r="CE80" t="s">
        <v>88</v>
      </c>
      <c r="CF80" s="3">
        <v>44882</v>
      </c>
      <c r="CI80">
        <v>1</v>
      </c>
      <c r="CJ80">
        <v>1</v>
      </c>
      <c r="CK80">
        <v>24</v>
      </c>
      <c r="CL80" t="s">
        <v>89</v>
      </c>
    </row>
    <row r="81" spans="1:90" ht="15" customHeight="1" x14ac:dyDescent="0.3">
      <c r="A81" t="s">
        <v>72</v>
      </c>
      <c r="B81" t="s">
        <v>73</v>
      </c>
      <c r="C81" t="s">
        <v>74</v>
      </c>
      <c r="E81" t="str">
        <f>"009942885537"</f>
        <v>009942885537</v>
      </c>
      <c r="F81" s="3">
        <v>44880</v>
      </c>
      <c r="G81">
        <v>202308</v>
      </c>
      <c r="H81" t="s">
        <v>111</v>
      </c>
      <c r="I81" t="s">
        <v>112</v>
      </c>
      <c r="J81" t="s">
        <v>94</v>
      </c>
      <c r="K81" t="s">
        <v>78</v>
      </c>
      <c r="L81" t="s">
        <v>108</v>
      </c>
      <c r="M81" t="s">
        <v>109</v>
      </c>
      <c r="N81" t="s">
        <v>110</v>
      </c>
      <c r="O81" t="s">
        <v>96</v>
      </c>
      <c r="P81" t="str">
        <f>"J31490                        "</f>
        <v xml:space="preserve">J31490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28.3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0.5</v>
      </c>
      <c r="BK81">
        <v>2</v>
      </c>
      <c r="BL81">
        <v>71.84</v>
      </c>
      <c r="BM81">
        <v>10.78</v>
      </c>
      <c r="BN81">
        <v>82.62</v>
      </c>
      <c r="BO81">
        <v>82.62</v>
      </c>
      <c r="BQ81" t="s">
        <v>114</v>
      </c>
      <c r="BR81" t="s">
        <v>113</v>
      </c>
      <c r="BS81" s="3">
        <v>44881</v>
      </c>
      <c r="BT81" s="4">
        <v>0.3611111111111111</v>
      </c>
      <c r="BU81" t="s">
        <v>362</v>
      </c>
      <c r="BV81" t="s">
        <v>85</v>
      </c>
      <c r="BY81">
        <v>2400</v>
      </c>
      <c r="BZ81" t="s">
        <v>101</v>
      </c>
      <c r="CA81" t="s">
        <v>363</v>
      </c>
      <c r="CC81" t="s">
        <v>109</v>
      </c>
      <c r="CD81">
        <v>6070</v>
      </c>
      <c r="CE81" t="s">
        <v>88</v>
      </c>
      <c r="CF81" s="3">
        <v>44882</v>
      </c>
      <c r="CI81">
        <v>1</v>
      </c>
      <c r="CJ81">
        <v>1</v>
      </c>
      <c r="CK81">
        <v>21</v>
      </c>
      <c r="CL81" t="s">
        <v>89</v>
      </c>
    </row>
    <row r="82" spans="1:90" ht="15" customHeight="1" x14ac:dyDescent="0.3">
      <c r="A82" t="s">
        <v>72</v>
      </c>
      <c r="B82" t="s">
        <v>73</v>
      </c>
      <c r="C82" t="s">
        <v>74</v>
      </c>
      <c r="E82" t="str">
        <f>"009942899897"</f>
        <v>009942899897</v>
      </c>
      <c r="F82" s="3">
        <v>44880</v>
      </c>
      <c r="G82">
        <v>202308</v>
      </c>
      <c r="H82" t="s">
        <v>111</v>
      </c>
      <c r="I82" t="s">
        <v>112</v>
      </c>
      <c r="J82" t="s">
        <v>94</v>
      </c>
      <c r="K82" t="s">
        <v>78</v>
      </c>
      <c r="L82" t="s">
        <v>79</v>
      </c>
      <c r="M82" t="s">
        <v>80</v>
      </c>
      <c r="N82" t="s">
        <v>190</v>
      </c>
      <c r="O82" t="s">
        <v>96</v>
      </c>
      <c r="P82" t="str">
        <f>"J72086                        "</f>
        <v xml:space="preserve">J72086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22.11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0.4</v>
      </c>
      <c r="BK82">
        <v>0.5</v>
      </c>
      <c r="BL82">
        <v>56.12</v>
      </c>
      <c r="BM82">
        <v>8.42</v>
      </c>
      <c r="BN82">
        <v>64.540000000000006</v>
      </c>
      <c r="BO82">
        <v>64.540000000000006</v>
      </c>
      <c r="BQ82" t="s">
        <v>435</v>
      </c>
      <c r="BR82" t="s">
        <v>221</v>
      </c>
      <c r="BS82" s="3">
        <v>44881</v>
      </c>
      <c r="BT82" s="4">
        <v>0.41666666666666669</v>
      </c>
      <c r="BU82" t="s">
        <v>192</v>
      </c>
      <c r="BV82" t="s">
        <v>85</v>
      </c>
      <c r="BY82">
        <v>1924.54</v>
      </c>
      <c r="BZ82" t="s">
        <v>101</v>
      </c>
      <c r="CC82" t="s">
        <v>80</v>
      </c>
      <c r="CD82">
        <v>2043</v>
      </c>
      <c r="CE82" t="s">
        <v>88</v>
      </c>
      <c r="CF82" s="3">
        <v>44881</v>
      </c>
      <c r="CI82">
        <v>1</v>
      </c>
      <c r="CJ82">
        <v>1</v>
      </c>
      <c r="CK82">
        <v>22</v>
      </c>
      <c r="CL82" t="s">
        <v>89</v>
      </c>
    </row>
    <row r="83" spans="1:90" ht="15" customHeight="1" x14ac:dyDescent="0.3">
      <c r="A83" t="s">
        <v>72</v>
      </c>
      <c r="B83" t="s">
        <v>73</v>
      </c>
      <c r="C83" t="s">
        <v>74</v>
      </c>
      <c r="E83" t="str">
        <f>"009942899895"</f>
        <v>009942899895</v>
      </c>
      <c r="F83" s="3">
        <v>44880</v>
      </c>
      <c r="G83">
        <v>202308</v>
      </c>
      <c r="H83" t="s">
        <v>111</v>
      </c>
      <c r="I83" t="s">
        <v>112</v>
      </c>
      <c r="J83" t="s">
        <v>94</v>
      </c>
      <c r="K83" t="s">
        <v>78</v>
      </c>
      <c r="L83" t="s">
        <v>185</v>
      </c>
      <c r="M83" t="s">
        <v>186</v>
      </c>
      <c r="N83" t="s">
        <v>436</v>
      </c>
      <c r="O83" t="s">
        <v>96</v>
      </c>
      <c r="P83" t="str">
        <f>"J72573                        "</f>
        <v xml:space="preserve">J72573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91.98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2.7</v>
      </c>
      <c r="BJ83">
        <v>3.2</v>
      </c>
      <c r="BK83">
        <v>3.5</v>
      </c>
      <c r="BL83">
        <v>233.49</v>
      </c>
      <c r="BM83">
        <v>35.020000000000003</v>
      </c>
      <c r="BN83">
        <v>268.51</v>
      </c>
      <c r="BO83">
        <v>268.51</v>
      </c>
      <c r="BQ83" t="s">
        <v>437</v>
      </c>
      <c r="BR83" t="s">
        <v>221</v>
      </c>
      <c r="BS83" s="3">
        <v>44881</v>
      </c>
      <c r="BT83" s="4">
        <v>0.4236111111111111</v>
      </c>
      <c r="BU83" t="s">
        <v>438</v>
      </c>
      <c r="BV83" t="s">
        <v>85</v>
      </c>
      <c r="BY83">
        <v>16153.5</v>
      </c>
      <c r="BZ83" t="s">
        <v>101</v>
      </c>
      <c r="CA83" t="s">
        <v>439</v>
      </c>
      <c r="CC83" t="s">
        <v>186</v>
      </c>
      <c r="CD83">
        <v>250</v>
      </c>
      <c r="CE83" t="s">
        <v>88</v>
      </c>
      <c r="CF83" s="3">
        <v>44883</v>
      </c>
      <c r="CI83">
        <v>1</v>
      </c>
      <c r="CJ83">
        <v>1</v>
      </c>
      <c r="CK83">
        <v>23</v>
      </c>
      <c r="CL83" t="s">
        <v>89</v>
      </c>
    </row>
    <row r="84" spans="1:90" ht="15" customHeight="1" x14ac:dyDescent="0.3">
      <c r="A84" t="s">
        <v>72</v>
      </c>
      <c r="B84" t="s">
        <v>73</v>
      </c>
      <c r="C84" t="s">
        <v>74</v>
      </c>
      <c r="E84" t="str">
        <f>"009942885535"</f>
        <v>009942885535</v>
      </c>
      <c r="F84" s="3">
        <v>44875</v>
      </c>
      <c r="G84">
        <v>202308</v>
      </c>
      <c r="H84" t="s">
        <v>111</v>
      </c>
      <c r="I84" t="s">
        <v>112</v>
      </c>
      <c r="J84" t="s">
        <v>94</v>
      </c>
      <c r="K84" t="s">
        <v>78</v>
      </c>
      <c r="L84" t="s">
        <v>108</v>
      </c>
      <c r="M84" t="s">
        <v>109</v>
      </c>
      <c r="N84" t="s">
        <v>94</v>
      </c>
      <c r="O84" t="s">
        <v>440</v>
      </c>
      <c r="P84" t="str">
        <f>"P56707                        "</f>
        <v xml:space="preserve">P56707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455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338.2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2.8</v>
      </c>
      <c r="BK84">
        <v>3</v>
      </c>
      <c r="BL84">
        <v>858.5</v>
      </c>
      <c r="BM84">
        <v>128.78</v>
      </c>
      <c r="BN84">
        <v>987.28</v>
      </c>
      <c r="BO84">
        <v>987.28</v>
      </c>
      <c r="BP84" t="s">
        <v>441</v>
      </c>
      <c r="BQ84" t="s">
        <v>114</v>
      </c>
      <c r="BR84" t="s">
        <v>113</v>
      </c>
      <c r="BS84" s="3">
        <v>44880</v>
      </c>
      <c r="BT84" s="4">
        <v>0.37777777777777777</v>
      </c>
      <c r="BU84" t="s">
        <v>442</v>
      </c>
      <c r="BY84">
        <v>13800</v>
      </c>
      <c r="BZ84" t="s">
        <v>443</v>
      </c>
      <c r="CC84" t="s">
        <v>109</v>
      </c>
      <c r="CD84">
        <v>6001</v>
      </c>
      <c r="CE84" t="s">
        <v>88</v>
      </c>
      <c r="CF84" s="3">
        <v>44889</v>
      </c>
      <c r="CI84">
        <v>0</v>
      </c>
      <c r="CJ84">
        <v>5</v>
      </c>
      <c r="CK84">
        <v>21</v>
      </c>
      <c r="CL84" t="s">
        <v>89</v>
      </c>
    </row>
    <row r="85" spans="1:90" ht="15" customHeight="1" x14ac:dyDescent="0.3">
      <c r="A85" t="s">
        <v>72</v>
      </c>
      <c r="B85" t="s">
        <v>73</v>
      </c>
      <c r="C85" t="s">
        <v>74</v>
      </c>
      <c r="E85" t="str">
        <f>"009943061717"</f>
        <v>009943061717</v>
      </c>
      <c r="F85" s="3">
        <v>44881</v>
      </c>
      <c r="G85">
        <v>202308</v>
      </c>
      <c r="H85" t="s">
        <v>75</v>
      </c>
      <c r="I85" t="s">
        <v>76</v>
      </c>
      <c r="J85" t="s">
        <v>77</v>
      </c>
      <c r="K85" t="s">
        <v>78</v>
      </c>
      <c r="L85" t="s">
        <v>108</v>
      </c>
      <c r="M85" t="s">
        <v>109</v>
      </c>
      <c r="N85" t="s">
        <v>444</v>
      </c>
      <c r="O85" t="s">
        <v>82</v>
      </c>
      <c r="P85" t="str">
        <f>"188308                        "</f>
        <v xml:space="preserve">188308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54.73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2.2999999999999998</v>
      </c>
      <c r="BJ85">
        <v>11.8</v>
      </c>
      <c r="BK85">
        <v>12</v>
      </c>
      <c r="BL85">
        <v>144.18</v>
      </c>
      <c r="BM85">
        <v>21.63</v>
      </c>
      <c r="BN85">
        <v>165.81</v>
      </c>
      <c r="BO85">
        <v>165.81</v>
      </c>
      <c r="BR85" t="s">
        <v>83</v>
      </c>
      <c r="BS85" s="3">
        <v>44883</v>
      </c>
      <c r="BT85" s="4">
        <v>0.51388888888888895</v>
      </c>
      <c r="BU85" t="s">
        <v>445</v>
      </c>
      <c r="BV85" t="s">
        <v>85</v>
      </c>
      <c r="BY85">
        <v>59070</v>
      </c>
      <c r="BZ85" t="s">
        <v>86</v>
      </c>
      <c r="CA85" t="s">
        <v>446</v>
      </c>
      <c r="CC85" t="s">
        <v>109</v>
      </c>
      <c r="CD85">
        <v>6065</v>
      </c>
      <c r="CE85" t="s">
        <v>88</v>
      </c>
      <c r="CF85" s="3">
        <v>44883</v>
      </c>
      <c r="CI85">
        <v>2</v>
      </c>
      <c r="CJ85">
        <v>2</v>
      </c>
      <c r="CK85">
        <v>41</v>
      </c>
      <c r="CL85" t="s">
        <v>89</v>
      </c>
    </row>
    <row r="86" spans="1:90" ht="15" customHeight="1" x14ac:dyDescent="0.3">
      <c r="A86" t="s">
        <v>72</v>
      </c>
      <c r="B86" t="s">
        <v>73</v>
      </c>
      <c r="C86" t="s">
        <v>74</v>
      </c>
      <c r="E86" t="str">
        <f>"009943061715"</f>
        <v>009943061715</v>
      </c>
      <c r="F86" s="3">
        <v>44881</v>
      </c>
      <c r="G86">
        <v>202308</v>
      </c>
      <c r="H86" t="s">
        <v>75</v>
      </c>
      <c r="I86" t="s">
        <v>76</v>
      </c>
      <c r="J86" t="s">
        <v>77</v>
      </c>
      <c r="K86" t="s">
        <v>78</v>
      </c>
      <c r="L86" t="s">
        <v>447</v>
      </c>
      <c r="M86" t="s">
        <v>448</v>
      </c>
      <c r="N86" t="s">
        <v>449</v>
      </c>
      <c r="O86" t="s">
        <v>376</v>
      </c>
      <c r="P86" t="str">
        <f>"188293                        "</f>
        <v xml:space="preserve">188293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54.83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0.6</v>
      </c>
      <c r="BK86">
        <v>1</v>
      </c>
      <c r="BL86">
        <v>154.19</v>
      </c>
      <c r="BM86">
        <v>23.13</v>
      </c>
      <c r="BN86">
        <v>177.32</v>
      </c>
      <c r="BO86">
        <v>177.32</v>
      </c>
      <c r="BR86" t="s">
        <v>83</v>
      </c>
      <c r="BS86" s="3">
        <v>44882</v>
      </c>
      <c r="BT86" s="4">
        <v>0.51111111111111118</v>
      </c>
      <c r="BU86" t="s">
        <v>450</v>
      </c>
      <c r="BV86" t="s">
        <v>85</v>
      </c>
      <c r="BY86">
        <v>3169.92</v>
      </c>
      <c r="BZ86" t="s">
        <v>451</v>
      </c>
      <c r="CA86" t="s">
        <v>452</v>
      </c>
      <c r="CC86" t="s">
        <v>448</v>
      </c>
      <c r="CD86">
        <v>9781</v>
      </c>
      <c r="CE86" t="s">
        <v>88</v>
      </c>
      <c r="CF86" s="3">
        <v>44883</v>
      </c>
      <c r="CI86">
        <v>1</v>
      </c>
      <c r="CJ86">
        <v>1</v>
      </c>
      <c r="CK86">
        <v>33</v>
      </c>
      <c r="CL86" t="s">
        <v>89</v>
      </c>
    </row>
    <row r="87" spans="1:90" ht="15" customHeight="1" x14ac:dyDescent="0.3">
      <c r="A87" t="s">
        <v>72</v>
      </c>
      <c r="B87" t="s">
        <v>73</v>
      </c>
      <c r="C87" t="s">
        <v>74</v>
      </c>
      <c r="E87" t="str">
        <f>"009943061714"</f>
        <v>009943061714</v>
      </c>
      <c r="F87" s="3">
        <v>44881</v>
      </c>
      <c r="G87">
        <v>202308</v>
      </c>
      <c r="H87" t="s">
        <v>75</v>
      </c>
      <c r="I87" t="s">
        <v>76</v>
      </c>
      <c r="J87" t="s">
        <v>77</v>
      </c>
      <c r="K87" t="s">
        <v>78</v>
      </c>
      <c r="L87" t="s">
        <v>453</v>
      </c>
      <c r="M87" t="s">
        <v>454</v>
      </c>
      <c r="N87" t="s">
        <v>455</v>
      </c>
      <c r="O87" t="s">
        <v>82</v>
      </c>
      <c r="P87" t="str">
        <f>"188290                        "</f>
        <v xml:space="preserve">188290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54.73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0.8</v>
      </c>
      <c r="BK87">
        <v>1</v>
      </c>
      <c r="BL87">
        <v>144.18</v>
      </c>
      <c r="BM87">
        <v>21.63</v>
      </c>
      <c r="BN87">
        <v>165.81</v>
      </c>
      <c r="BO87">
        <v>165.81</v>
      </c>
      <c r="BQ87" t="s">
        <v>456</v>
      </c>
      <c r="BR87" t="s">
        <v>83</v>
      </c>
      <c r="BS87" s="3">
        <v>44883</v>
      </c>
      <c r="BT87" s="4">
        <v>0.5083333333333333</v>
      </c>
      <c r="BU87" t="s">
        <v>457</v>
      </c>
      <c r="BV87" t="s">
        <v>85</v>
      </c>
      <c r="BY87">
        <v>4042.5</v>
      </c>
      <c r="BZ87" t="s">
        <v>86</v>
      </c>
      <c r="CA87" t="s">
        <v>458</v>
      </c>
      <c r="CC87" t="s">
        <v>454</v>
      </c>
      <c r="CD87">
        <v>3310</v>
      </c>
      <c r="CE87" t="s">
        <v>88</v>
      </c>
      <c r="CF87" s="3">
        <v>44883</v>
      </c>
      <c r="CI87">
        <v>3</v>
      </c>
      <c r="CJ87">
        <v>2</v>
      </c>
      <c r="CK87">
        <v>41</v>
      </c>
      <c r="CL87" t="s">
        <v>89</v>
      </c>
    </row>
    <row r="88" spans="1:90" ht="15" customHeight="1" x14ac:dyDescent="0.3">
      <c r="A88" t="s">
        <v>72</v>
      </c>
      <c r="B88" t="s">
        <v>73</v>
      </c>
      <c r="C88" t="s">
        <v>74</v>
      </c>
      <c r="E88" t="str">
        <f>"009943061722"</f>
        <v>009943061722</v>
      </c>
      <c r="F88" s="3">
        <v>44881</v>
      </c>
      <c r="G88">
        <v>202308</v>
      </c>
      <c r="H88" t="s">
        <v>75</v>
      </c>
      <c r="I88" t="s">
        <v>76</v>
      </c>
      <c r="J88" t="s">
        <v>77</v>
      </c>
      <c r="K88" t="s">
        <v>78</v>
      </c>
      <c r="L88" t="s">
        <v>111</v>
      </c>
      <c r="M88" t="s">
        <v>112</v>
      </c>
      <c r="N88" t="s">
        <v>459</v>
      </c>
      <c r="O88" t="s">
        <v>376</v>
      </c>
      <c r="P88" t="str">
        <f>"23383                         "</f>
        <v xml:space="preserve">23383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53.07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1.5</v>
      </c>
      <c r="BK88">
        <v>2</v>
      </c>
      <c r="BL88">
        <v>134.71</v>
      </c>
      <c r="BM88">
        <v>20.21</v>
      </c>
      <c r="BN88">
        <v>154.91999999999999</v>
      </c>
      <c r="BO88">
        <v>154.91999999999999</v>
      </c>
      <c r="BR88" t="s">
        <v>83</v>
      </c>
      <c r="BS88" s="3">
        <v>44882</v>
      </c>
      <c r="BT88" s="4">
        <v>0.52638888888888891</v>
      </c>
      <c r="BU88" t="s">
        <v>460</v>
      </c>
      <c r="BV88" t="s">
        <v>85</v>
      </c>
      <c r="BY88">
        <v>7508.05</v>
      </c>
      <c r="BZ88" t="s">
        <v>86</v>
      </c>
      <c r="CA88" t="s">
        <v>461</v>
      </c>
      <c r="CC88" t="s">
        <v>112</v>
      </c>
      <c r="CD88">
        <v>1609</v>
      </c>
      <c r="CE88" t="s">
        <v>88</v>
      </c>
      <c r="CF88" s="3">
        <v>44882</v>
      </c>
      <c r="CI88">
        <v>1</v>
      </c>
      <c r="CJ88">
        <v>1</v>
      </c>
      <c r="CK88">
        <v>31</v>
      </c>
      <c r="CL88" t="s">
        <v>89</v>
      </c>
    </row>
    <row r="89" spans="1:90" ht="15" customHeight="1" x14ac:dyDescent="0.3">
      <c r="A89" t="s">
        <v>72</v>
      </c>
      <c r="B89" t="s">
        <v>73</v>
      </c>
      <c r="C89" t="s">
        <v>74</v>
      </c>
      <c r="E89" t="str">
        <f>"009943061723"</f>
        <v>009943061723</v>
      </c>
      <c r="F89" s="3">
        <v>44881</v>
      </c>
      <c r="G89">
        <v>202308</v>
      </c>
      <c r="H89" t="s">
        <v>75</v>
      </c>
      <c r="I89" t="s">
        <v>76</v>
      </c>
      <c r="J89" t="s">
        <v>77</v>
      </c>
      <c r="K89" t="s">
        <v>78</v>
      </c>
      <c r="L89" t="s">
        <v>462</v>
      </c>
      <c r="M89" t="s">
        <v>463</v>
      </c>
      <c r="N89" t="s">
        <v>464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77.19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0.7</v>
      </c>
      <c r="BK89">
        <v>1</v>
      </c>
      <c r="BL89">
        <v>201.19</v>
      </c>
      <c r="BM89">
        <v>30.18</v>
      </c>
      <c r="BN89">
        <v>231.37</v>
      </c>
      <c r="BO89">
        <v>231.37</v>
      </c>
      <c r="BR89" t="s">
        <v>465</v>
      </c>
      <c r="BS89" s="3">
        <v>44888</v>
      </c>
      <c r="BT89" s="4">
        <v>0.58333333333333337</v>
      </c>
      <c r="BU89" t="s">
        <v>466</v>
      </c>
      <c r="BV89" t="s">
        <v>89</v>
      </c>
      <c r="BW89" t="s">
        <v>205</v>
      </c>
      <c r="BX89" t="s">
        <v>467</v>
      </c>
      <c r="BY89">
        <v>3529.36</v>
      </c>
      <c r="BZ89" t="s">
        <v>86</v>
      </c>
      <c r="CC89" t="s">
        <v>463</v>
      </c>
      <c r="CD89">
        <v>8301</v>
      </c>
      <c r="CE89" t="s">
        <v>88</v>
      </c>
      <c r="CF89" s="3">
        <v>44889</v>
      </c>
      <c r="CI89">
        <v>3</v>
      </c>
      <c r="CJ89">
        <v>5</v>
      </c>
      <c r="CK89">
        <v>43</v>
      </c>
      <c r="CL89" t="s">
        <v>89</v>
      </c>
    </row>
    <row r="90" spans="1:90" ht="15" customHeight="1" x14ac:dyDescent="0.3">
      <c r="A90" t="s">
        <v>72</v>
      </c>
      <c r="B90" t="s">
        <v>73</v>
      </c>
      <c r="C90" t="s">
        <v>74</v>
      </c>
      <c r="E90" t="str">
        <f>"009943061720"</f>
        <v>009943061720</v>
      </c>
      <c r="F90" s="3">
        <v>44881</v>
      </c>
      <c r="G90">
        <v>202308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468</v>
      </c>
      <c r="O90" t="s">
        <v>376</v>
      </c>
      <c r="P90" t="str">
        <f>"188315                        "</f>
        <v xml:space="preserve">188315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22.11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0.9</v>
      </c>
      <c r="BJ90">
        <v>3.3</v>
      </c>
      <c r="BK90">
        <v>4</v>
      </c>
      <c r="BL90">
        <v>56.13</v>
      </c>
      <c r="BM90">
        <v>8.42</v>
      </c>
      <c r="BN90">
        <v>64.55</v>
      </c>
      <c r="BO90">
        <v>64.55</v>
      </c>
      <c r="BQ90" t="s">
        <v>469</v>
      </c>
      <c r="BR90" t="s">
        <v>83</v>
      </c>
      <c r="BS90" s="3">
        <v>44882</v>
      </c>
      <c r="BT90" s="4">
        <v>0.38819444444444445</v>
      </c>
      <c r="BU90" t="s">
        <v>470</v>
      </c>
      <c r="BV90" t="s">
        <v>85</v>
      </c>
      <c r="BY90">
        <v>16363.35</v>
      </c>
      <c r="BZ90" t="s">
        <v>86</v>
      </c>
      <c r="CA90" t="s">
        <v>471</v>
      </c>
      <c r="CC90" t="s">
        <v>76</v>
      </c>
      <c r="CD90">
        <v>7441</v>
      </c>
      <c r="CE90" t="s">
        <v>88</v>
      </c>
      <c r="CF90" s="3">
        <v>44883</v>
      </c>
      <c r="CI90">
        <v>1</v>
      </c>
      <c r="CJ90">
        <v>1</v>
      </c>
      <c r="CK90">
        <v>32</v>
      </c>
      <c r="CL90" t="s">
        <v>89</v>
      </c>
    </row>
    <row r="91" spans="1:90" ht="15" customHeight="1" x14ac:dyDescent="0.3">
      <c r="A91" t="s">
        <v>72</v>
      </c>
      <c r="B91" t="s">
        <v>73</v>
      </c>
      <c r="C91" t="s">
        <v>74</v>
      </c>
      <c r="E91" t="str">
        <f>"009943061718"</f>
        <v>009943061718</v>
      </c>
      <c r="F91" s="3">
        <v>44881</v>
      </c>
      <c r="G91">
        <v>202308</v>
      </c>
      <c r="H91" t="s">
        <v>75</v>
      </c>
      <c r="I91" t="s">
        <v>76</v>
      </c>
      <c r="J91" t="s">
        <v>77</v>
      </c>
      <c r="K91" t="s">
        <v>78</v>
      </c>
      <c r="L91" t="s">
        <v>166</v>
      </c>
      <c r="M91" t="s">
        <v>167</v>
      </c>
      <c r="N91" t="s">
        <v>472</v>
      </c>
      <c r="O91" t="s">
        <v>82</v>
      </c>
      <c r="P91" t="str">
        <f>"188311                        "</f>
        <v xml:space="preserve">188311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54.73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3.5</v>
      </c>
      <c r="BJ91">
        <v>12.5</v>
      </c>
      <c r="BK91">
        <v>13</v>
      </c>
      <c r="BL91">
        <v>144.18</v>
      </c>
      <c r="BM91">
        <v>21.63</v>
      </c>
      <c r="BN91">
        <v>165.81</v>
      </c>
      <c r="BO91">
        <v>165.81</v>
      </c>
      <c r="BQ91" t="s">
        <v>473</v>
      </c>
      <c r="BR91" t="s">
        <v>83</v>
      </c>
      <c r="BS91" s="3">
        <v>44886</v>
      </c>
      <c r="BT91" s="4">
        <v>0.3215277777777778</v>
      </c>
      <c r="BU91" t="s">
        <v>474</v>
      </c>
      <c r="BV91" t="s">
        <v>89</v>
      </c>
      <c r="BY91">
        <v>62361</v>
      </c>
      <c r="BZ91" t="s">
        <v>86</v>
      </c>
      <c r="CA91" t="s">
        <v>475</v>
      </c>
      <c r="CC91" t="s">
        <v>167</v>
      </c>
      <c r="CD91">
        <v>1</v>
      </c>
      <c r="CE91" t="s">
        <v>88</v>
      </c>
      <c r="CF91" s="3">
        <v>44886</v>
      </c>
      <c r="CI91">
        <v>2</v>
      </c>
      <c r="CJ91">
        <v>3</v>
      </c>
      <c r="CK91">
        <v>41</v>
      </c>
      <c r="CL91" t="s">
        <v>89</v>
      </c>
    </row>
    <row r="92" spans="1:90" ht="15" customHeight="1" x14ac:dyDescent="0.3">
      <c r="A92" t="s">
        <v>72</v>
      </c>
      <c r="B92" t="s">
        <v>73</v>
      </c>
      <c r="C92" t="s">
        <v>74</v>
      </c>
      <c r="E92" t="str">
        <f>"009943061719"</f>
        <v>009943061719</v>
      </c>
      <c r="F92" s="3">
        <v>44881</v>
      </c>
      <c r="G92">
        <v>202308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476</v>
      </c>
      <c r="O92" t="s">
        <v>82</v>
      </c>
      <c r="P92" t="str">
        <f>"188313                        "</f>
        <v xml:space="preserve">188313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54.73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3.4</v>
      </c>
      <c r="BJ92">
        <v>12.9</v>
      </c>
      <c r="BK92">
        <v>13</v>
      </c>
      <c r="BL92">
        <v>144.18</v>
      </c>
      <c r="BM92">
        <v>21.63</v>
      </c>
      <c r="BN92">
        <v>165.81</v>
      </c>
      <c r="BO92">
        <v>165.81</v>
      </c>
      <c r="BR92" t="s">
        <v>83</v>
      </c>
      <c r="BS92" s="3">
        <v>44883</v>
      </c>
      <c r="BT92" s="4">
        <v>0.4381944444444445</v>
      </c>
      <c r="BU92" t="s">
        <v>477</v>
      </c>
      <c r="BV92" t="s">
        <v>85</v>
      </c>
      <c r="BY92">
        <v>64671.5</v>
      </c>
      <c r="BZ92" t="s">
        <v>86</v>
      </c>
      <c r="CA92" t="s">
        <v>478</v>
      </c>
      <c r="CC92" t="s">
        <v>80</v>
      </c>
      <c r="CD92">
        <v>2128</v>
      </c>
      <c r="CE92" t="s">
        <v>88</v>
      </c>
      <c r="CF92" s="3">
        <v>44883</v>
      </c>
      <c r="CI92">
        <v>2</v>
      </c>
      <c r="CJ92">
        <v>2</v>
      </c>
      <c r="CK92">
        <v>41</v>
      </c>
      <c r="CL92" t="s">
        <v>89</v>
      </c>
    </row>
    <row r="93" spans="1:90" ht="15" customHeight="1" x14ac:dyDescent="0.3">
      <c r="A93" t="s">
        <v>72</v>
      </c>
      <c r="B93" t="s">
        <v>73</v>
      </c>
      <c r="C93" t="s">
        <v>74</v>
      </c>
      <c r="E93" t="str">
        <f>"009943061664"</f>
        <v>009943061664</v>
      </c>
      <c r="F93" s="3">
        <v>44881</v>
      </c>
      <c r="G93">
        <v>202308</v>
      </c>
      <c r="H93" t="s">
        <v>75</v>
      </c>
      <c r="I93" t="s">
        <v>76</v>
      </c>
      <c r="J93" t="s">
        <v>77</v>
      </c>
      <c r="K93" t="s">
        <v>78</v>
      </c>
      <c r="L93" t="s">
        <v>166</v>
      </c>
      <c r="M93" t="s">
        <v>167</v>
      </c>
      <c r="N93" t="s">
        <v>479</v>
      </c>
      <c r="O93" t="s">
        <v>376</v>
      </c>
      <c r="P93" t="str">
        <f>"188264                        "</f>
        <v xml:space="preserve">188264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53.07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0.9</v>
      </c>
      <c r="BK93">
        <v>1</v>
      </c>
      <c r="BL93">
        <v>134.71</v>
      </c>
      <c r="BM93">
        <v>20.21</v>
      </c>
      <c r="BN93">
        <v>154.91999999999999</v>
      </c>
      <c r="BO93">
        <v>154.91999999999999</v>
      </c>
      <c r="BR93" t="s">
        <v>83</v>
      </c>
      <c r="BS93" s="3">
        <v>44883</v>
      </c>
      <c r="BT93" s="4">
        <v>0.46249999999999997</v>
      </c>
      <c r="BU93" t="s">
        <v>480</v>
      </c>
      <c r="BV93" t="s">
        <v>89</v>
      </c>
      <c r="BY93">
        <v>4454.3999999999996</v>
      </c>
      <c r="BZ93" t="s">
        <v>86</v>
      </c>
      <c r="CA93" t="s">
        <v>481</v>
      </c>
      <c r="CC93" t="s">
        <v>167</v>
      </c>
      <c r="CD93">
        <v>1</v>
      </c>
      <c r="CE93" t="s">
        <v>88</v>
      </c>
      <c r="CF93" s="3">
        <v>44883</v>
      </c>
      <c r="CI93">
        <v>1</v>
      </c>
      <c r="CJ93">
        <v>2</v>
      </c>
      <c r="CK93">
        <v>31</v>
      </c>
      <c r="CL93" t="s">
        <v>89</v>
      </c>
    </row>
    <row r="94" spans="1:90" ht="15" customHeight="1" x14ac:dyDescent="0.3">
      <c r="A94" t="s">
        <v>72</v>
      </c>
      <c r="B94" t="s">
        <v>73</v>
      </c>
      <c r="C94" t="s">
        <v>74</v>
      </c>
      <c r="E94" t="str">
        <f>"009943061716"</f>
        <v>009943061716</v>
      </c>
      <c r="F94" s="3">
        <v>44881</v>
      </c>
      <c r="G94">
        <v>202308</v>
      </c>
      <c r="H94" t="s">
        <v>75</v>
      </c>
      <c r="I94" t="s">
        <v>76</v>
      </c>
      <c r="J94" t="s">
        <v>77</v>
      </c>
      <c r="K94" t="s">
        <v>78</v>
      </c>
      <c r="L94" t="s">
        <v>166</v>
      </c>
      <c r="M94" t="s">
        <v>167</v>
      </c>
      <c r="N94" t="s">
        <v>482</v>
      </c>
      <c r="O94" t="s">
        <v>82</v>
      </c>
      <c r="P94" t="str">
        <f>"188301                        "</f>
        <v xml:space="preserve">188301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54.73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3.4</v>
      </c>
      <c r="BJ94">
        <v>13.6</v>
      </c>
      <c r="BK94">
        <v>14</v>
      </c>
      <c r="BL94">
        <v>144.18</v>
      </c>
      <c r="BM94">
        <v>21.63</v>
      </c>
      <c r="BN94">
        <v>165.81</v>
      </c>
      <c r="BO94">
        <v>165.81</v>
      </c>
      <c r="BR94" t="s">
        <v>83</v>
      </c>
      <c r="BS94" s="3">
        <v>44886</v>
      </c>
      <c r="BT94" s="4">
        <v>0.39930555555555558</v>
      </c>
      <c r="BU94" t="s">
        <v>483</v>
      </c>
      <c r="BV94" t="s">
        <v>89</v>
      </c>
      <c r="BW94" t="s">
        <v>205</v>
      </c>
      <c r="BX94" t="s">
        <v>484</v>
      </c>
      <c r="BY94">
        <v>67803.75</v>
      </c>
      <c r="BZ94" t="s">
        <v>86</v>
      </c>
      <c r="CA94" t="s">
        <v>485</v>
      </c>
      <c r="CC94" t="s">
        <v>167</v>
      </c>
      <c r="CD94">
        <v>49</v>
      </c>
      <c r="CE94" t="s">
        <v>88</v>
      </c>
      <c r="CF94" s="3">
        <v>44886</v>
      </c>
      <c r="CI94">
        <v>2</v>
      </c>
      <c r="CJ94">
        <v>3</v>
      </c>
      <c r="CK94">
        <v>41</v>
      </c>
      <c r="CL94" t="s">
        <v>89</v>
      </c>
    </row>
    <row r="95" spans="1:90" ht="15" customHeight="1" x14ac:dyDescent="0.3">
      <c r="A95" t="s">
        <v>72</v>
      </c>
      <c r="B95" t="s">
        <v>73</v>
      </c>
      <c r="C95" t="s">
        <v>74</v>
      </c>
      <c r="E95" t="str">
        <f>"009942899890"</f>
        <v>009942899890</v>
      </c>
      <c r="F95" s="3">
        <v>44881</v>
      </c>
      <c r="G95">
        <v>202308</v>
      </c>
      <c r="H95" t="s">
        <v>111</v>
      </c>
      <c r="I95" t="s">
        <v>112</v>
      </c>
      <c r="J95" t="s">
        <v>94</v>
      </c>
      <c r="K95" t="s">
        <v>78</v>
      </c>
      <c r="L95" t="s">
        <v>79</v>
      </c>
      <c r="M95" t="s">
        <v>80</v>
      </c>
      <c r="N95" t="s">
        <v>486</v>
      </c>
      <c r="O95" t="s">
        <v>96</v>
      </c>
      <c r="P95" t="str">
        <f>"J26227                        "</f>
        <v xml:space="preserve">J26227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22.11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4.0999999999999996</v>
      </c>
      <c r="BJ95">
        <v>2.2999999999999998</v>
      </c>
      <c r="BK95">
        <v>4.5</v>
      </c>
      <c r="BL95">
        <v>56.12</v>
      </c>
      <c r="BM95">
        <v>8.42</v>
      </c>
      <c r="BN95">
        <v>64.540000000000006</v>
      </c>
      <c r="BO95">
        <v>64.540000000000006</v>
      </c>
      <c r="BQ95" t="s">
        <v>487</v>
      </c>
      <c r="BR95" t="s">
        <v>221</v>
      </c>
      <c r="BS95" s="3">
        <v>44889</v>
      </c>
      <c r="BT95" s="4">
        <v>0.5625</v>
      </c>
      <c r="BU95" t="s">
        <v>488</v>
      </c>
      <c r="BV95" t="s">
        <v>89</v>
      </c>
      <c r="BW95" t="s">
        <v>489</v>
      </c>
      <c r="BX95" t="s">
        <v>490</v>
      </c>
      <c r="BY95">
        <v>11572.19</v>
      </c>
      <c r="BZ95" t="s">
        <v>101</v>
      </c>
      <c r="CA95" t="s">
        <v>253</v>
      </c>
      <c r="CC95" t="s">
        <v>80</v>
      </c>
      <c r="CD95">
        <v>2013</v>
      </c>
      <c r="CE95" t="s">
        <v>88</v>
      </c>
      <c r="CF95" s="3">
        <v>44894</v>
      </c>
      <c r="CI95">
        <v>1</v>
      </c>
      <c r="CJ95">
        <v>6</v>
      </c>
      <c r="CK95">
        <v>22</v>
      </c>
      <c r="CL95" t="s">
        <v>89</v>
      </c>
    </row>
    <row r="96" spans="1:90" ht="15" customHeight="1" x14ac:dyDescent="0.3">
      <c r="A96" t="s">
        <v>72</v>
      </c>
      <c r="B96" t="s">
        <v>73</v>
      </c>
      <c r="C96" t="s">
        <v>74</v>
      </c>
      <c r="E96" t="str">
        <f>"009942899887"</f>
        <v>009942899887</v>
      </c>
      <c r="F96" s="3">
        <v>44881</v>
      </c>
      <c r="G96">
        <v>202308</v>
      </c>
      <c r="H96" t="s">
        <v>111</v>
      </c>
      <c r="I96" t="s">
        <v>112</v>
      </c>
      <c r="J96" t="s">
        <v>94</v>
      </c>
      <c r="K96" t="s">
        <v>78</v>
      </c>
      <c r="L96" t="s">
        <v>75</v>
      </c>
      <c r="M96" t="s">
        <v>76</v>
      </c>
      <c r="N96" t="s">
        <v>103</v>
      </c>
      <c r="O96" t="s">
        <v>96</v>
      </c>
      <c r="P96" t="str">
        <f>"C21559                        "</f>
        <v xml:space="preserve">C21559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141.44999999999999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10</v>
      </c>
      <c r="BJ96">
        <v>1.3</v>
      </c>
      <c r="BK96">
        <v>10</v>
      </c>
      <c r="BL96">
        <v>359.07</v>
      </c>
      <c r="BM96">
        <v>53.86</v>
      </c>
      <c r="BN96">
        <v>412.93</v>
      </c>
      <c r="BO96">
        <v>412.93</v>
      </c>
      <c r="BQ96" t="s">
        <v>491</v>
      </c>
      <c r="BR96" t="s">
        <v>221</v>
      </c>
      <c r="BS96" s="3">
        <v>44882</v>
      </c>
      <c r="BT96" s="4">
        <v>0.40347222222222223</v>
      </c>
      <c r="BU96" t="s">
        <v>492</v>
      </c>
      <c r="BV96" t="s">
        <v>85</v>
      </c>
      <c r="BY96">
        <v>6400</v>
      </c>
      <c r="BZ96" t="s">
        <v>101</v>
      </c>
      <c r="CA96" t="s">
        <v>107</v>
      </c>
      <c r="CC96" t="s">
        <v>76</v>
      </c>
      <c r="CD96">
        <v>7800</v>
      </c>
      <c r="CE96" t="s">
        <v>88</v>
      </c>
      <c r="CF96" s="3">
        <v>44883</v>
      </c>
      <c r="CI96">
        <v>1</v>
      </c>
      <c r="CJ96">
        <v>1</v>
      </c>
      <c r="CK96">
        <v>21</v>
      </c>
      <c r="CL96" t="s">
        <v>89</v>
      </c>
    </row>
    <row r="97" spans="1:90" ht="15" customHeight="1" x14ac:dyDescent="0.3">
      <c r="A97" t="s">
        <v>72</v>
      </c>
      <c r="B97" t="s">
        <v>73</v>
      </c>
      <c r="C97" t="s">
        <v>74</v>
      </c>
      <c r="E97" t="str">
        <f>"009942899886"</f>
        <v>009942899886</v>
      </c>
      <c r="F97" s="3">
        <v>44881</v>
      </c>
      <c r="G97">
        <v>202308</v>
      </c>
      <c r="H97" t="s">
        <v>111</v>
      </c>
      <c r="I97" t="s">
        <v>112</v>
      </c>
      <c r="J97" t="s">
        <v>94</v>
      </c>
      <c r="K97" t="s">
        <v>78</v>
      </c>
      <c r="L97" t="s">
        <v>75</v>
      </c>
      <c r="M97" t="s">
        <v>76</v>
      </c>
      <c r="N97" t="s">
        <v>493</v>
      </c>
      <c r="O97" t="s">
        <v>96</v>
      </c>
      <c r="P97" t="str">
        <f>"C121685                       "</f>
        <v xml:space="preserve">C121685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28.3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0.3</v>
      </c>
      <c r="BK97">
        <v>0.5</v>
      </c>
      <c r="BL97">
        <v>71.84</v>
      </c>
      <c r="BM97">
        <v>10.78</v>
      </c>
      <c r="BN97">
        <v>82.62</v>
      </c>
      <c r="BO97">
        <v>82.62</v>
      </c>
      <c r="BQ97" t="s">
        <v>494</v>
      </c>
      <c r="BR97" t="s">
        <v>221</v>
      </c>
      <c r="BS97" s="3">
        <v>44882</v>
      </c>
      <c r="BT97" s="4">
        <v>0.375</v>
      </c>
      <c r="BU97" t="s">
        <v>495</v>
      </c>
      <c r="BV97" t="s">
        <v>85</v>
      </c>
      <c r="BY97">
        <v>1658.02</v>
      </c>
      <c r="BZ97" t="s">
        <v>101</v>
      </c>
      <c r="CA97" t="s">
        <v>496</v>
      </c>
      <c r="CC97" t="s">
        <v>76</v>
      </c>
      <c r="CD97">
        <v>7441</v>
      </c>
      <c r="CE97" t="s">
        <v>88</v>
      </c>
      <c r="CF97" s="3">
        <v>44883</v>
      </c>
      <c r="CI97">
        <v>1</v>
      </c>
      <c r="CJ97">
        <v>1</v>
      </c>
      <c r="CK97">
        <v>21</v>
      </c>
      <c r="CL97" t="s">
        <v>89</v>
      </c>
    </row>
    <row r="98" spans="1:90" ht="15" customHeight="1" x14ac:dyDescent="0.3">
      <c r="A98" t="s">
        <v>72</v>
      </c>
      <c r="B98" t="s">
        <v>73</v>
      </c>
      <c r="C98" t="s">
        <v>74</v>
      </c>
      <c r="E98" t="str">
        <f>"009942899885"</f>
        <v>009942899885</v>
      </c>
      <c r="F98" s="3">
        <v>44881</v>
      </c>
      <c r="G98">
        <v>202308</v>
      </c>
      <c r="H98" t="s">
        <v>111</v>
      </c>
      <c r="I98" t="s">
        <v>112</v>
      </c>
      <c r="J98" t="s">
        <v>94</v>
      </c>
      <c r="K98" t="s">
        <v>78</v>
      </c>
      <c r="L98" t="s">
        <v>497</v>
      </c>
      <c r="M98" t="s">
        <v>497</v>
      </c>
      <c r="N98" t="s">
        <v>498</v>
      </c>
      <c r="O98" t="s">
        <v>96</v>
      </c>
      <c r="P98" t="str">
        <f>"C21723                        "</f>
        <v xml:space="preserve">C21723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54.83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1</v>
      </c>
      <c r="BK98">
        <v>1</v>
      </c>
      <c r="BL98">
        <v>139.19</v>
      </c>
      <c r="BM98">
        <v>20.88</v>
      </c>
      <c r="BN98">
        <v>160.07</v>
      </c>
      <c r="BO98">
        <v>160.07</v>
      </c>
      <c r="BQ98" t="s">
        <v>499</v>
      </c>
      <c r="BR98" t="s">
        <v>221</v>
      </c>
      <c r="BS98" s="3">
        <v>44882</v>
      </c>
      <c r="BT98" s="4">
        <v>0.51388888888888895</v>
      </c>
      <c r="BU98" t="s">
        <v>500</v>
      </c>
      <c r="BV98" t="s">
        <v>85</v>
      </c>
      <c r="BY98">
        <v>4993.09</v>
      </c>
      <c r="BZ98" t="s">
        <v>101</v>
      </c>
      <c r="CA98" t="s">
        <v>501</v>
      </c>
      <c r="CC98" t="s">
        <v>497</v>
      </c>
      <c r="CD98">
        <v>7646</v>
      </c>
      <c r="CE98" t="s">
        <v>88</v>
      </c>
      <c r="CF98" s="3">
        <v>44883</v>
      </c>
      <c r="CI98">
        <v>1</v>
      </c>
      <c r="CJ98">
        <v>1</v>
      </c>
      <c r="CK98">
        <v>23</v>
      </c>
      <c r="CL98" t="s">
        <v>89</v>
      </c>
    </row>
    <row r="99" spans="1:90" ht="15" customHeight="1" x14ac:dyDescent="0.3">
      <c r="A99" t="s">
        <v>72</v>
      </c>
      <c r="B99" t="s">
        <v>73</v>
      </c>
      <c r="C99" t="s">
        <v>74</v>
      </c>
      <c r="E99" t="str">
        <f>"009942899892"</f>
        <v>009942899892</v>
      </c>
      <c r="F99" s="3">
        <v>44881</v>
      </c>
      <c r="G99">
        <v>202308</v>
      </c>
      <c r="H99" t="s">
        <v>111</v>
      </c>
      <c r="I99" t="s">
        <v>112</v>
      </c>
      <c r="J99" t="s">
        <v>94</v>
      </c>
      <c r="K99" t="s">
        <v>78</v>
      </c>
      <c r="L99" t="s">
        <v>364</v>
      </c>
      <c r="M99" t="s">
        <v>365</v>
      </c>
      <c r="N99" t="s">
        <v>502</v>
      </c>
      <c r="O99" t="s">
        <v>96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22.11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0.6</v>
      </c>
      <c r="BK99">
        <v>1.5</v>
      </c>
      <c r="BL99">
        <v>56.12</v>
      </c>
      <c r="BM99">
        <v>8.42</v>
      </c>
      <c r="BN99">
        <v>64.540000000000006</v>
      </c>
      <c r="BO99">
        <v>64.540000000000006</v>
      </c>
      <c r="BQ99" t="s">
        <v>359</v>
      </c>
      <c r="BR99" t="s">
        <v>258</v>
      </c>
      <c r="BS99" s="3">
        <v>44882</v>
      </c>
      <c r="BT99" s="4">
        <v>0.2986111111111111</v>
      </c>
      <c r="BU99" t="s">
        <v>503</v>
      </c>
      <c r="BV99" t="s">
        <v>85</v>
      </c>
      <c r="BY99">
        <v>3134.32</v>
      </c>
      <c r="BZ99" t="s">
        <v>101</v>
      </c>
      <c r="CA99" t="s">
        <v>504</v>
      </c>
      <c r="CC99" t="s">
        <v>365</v>
      </c>
      <c r="CD99">
        <v>1459</v>
      </c>
      <c r="CE99" t="s">
        <v>88</v>
      </c>
      <c r="CF99" s="3">
        <v>44883</v>
      </c>
      <c r="CI99">
        <v>1</v>
      </c>
      <c r="CJ99">
        <v>1</v>
      </c>
      <c r="CK99">
        <v>22</v>
      </c>
      <c r="CL99" t="s">
        <v>89</v>
      </c>
    </row>
    <row r="100" spans="1:90" ht="15" customHeight="1" x14ac:dyDescent="0.3">
      <c r="A100" t="s">
        <v>72</v>
      </c>
      <c r="B100" t="s">
        <v>73</v>
      </c>
      <c r="C100" t="s">
        <v>74</v>
      </c>
      <c r="E100" t="str">
        <f>"009942899891"</f>
        <v>009942899891</v>
      </c>
      <c r="F100" s="3">
        <v>44881</v>
      </c>
      <c r="G100">
        <v>202308</v>
      </c>
      <c r="H100" t="s">
        <v>111</v>
      </c>
      <c r="I100" t="s">
        <v>112</v>
      </c>
      <c r="J100" t="s">
        <v>94</v>
      </c>
      <c r="K100" t="s">
        <v>78</v>
      </c>
      <c r="L100" t="s">
        <v>194</v>
      </c>
      <c r="M100" t="s">
        <v>195</v>
      </c>
      <c r="N100" t="s">
        <v>505</v>
      </c>
      <c r="O100" t="s">
        <v>96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22.11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1.7</v>
      </c>
      <c r="BJ100">
        <v>2.1</v>
      </c>
      <c r="BK100">
        <v>2.5</v>
      </c>
      <c r="BL100">
        <v>56.12</v>
      </c>
      <c r="BM100">
        <v>8.42</v>
      </c>
      <c r="BN100">
        <v>64.540000000000006</v>
      </c>
      <c r="BO100">
        <v>64.540000000000006</v>
      </c>
      <c r="BQ100" t="s">
        <v>359</v>
      </c>
      <c r="BR100" t="s">
        <v>258</v>
      </c>
      <c r="BS100" s="3">
        <v>44882</v>
      </c>
      <c r="BT100" s="4">
        <v>0.35555555555555557</v>
      </c>
      <c r="BU100" t="s">
        <v>506</v>
      </c>
      <c r="BV100" t="s">
        <v>85</v>
      </c>
      <c r="BY100">
        <v>10500.52</v>
      </c>
      <c r="BZ100" t="s">
        <v>101</v>
      </c>
      <c r="CA100" t="s">
        <v>507</v>
      </c>
      <c r="CC100" t="s">
        <v>195</v>
      </c>
      <c r="CD100">
        <v>1451</v>
      </c>
      <c r="CE100" t="s">
        <v>88</v>
      </c>
      <c r="CF100" s="3">
        <v>44883</v>
      </c>
      <c r="CI100">
        <v>1</v>
      </c>
      <c r="CJ100">
        <v>1</v>
      </c>
      <c r="CK100">
        <v>22</v>
      </c>
      <c r="CL100" t="s">
        <v>89</v>
      </c>
    </row>
    <row r="101" spans="1:90" ht="15" customHeight="1" x14ac:dyDescent="0.3">
      <c r="A101" t="s">
        <v>72</v>
      </c>
      <c r="B101" t="s">
        <v>73</v>
      </c>
      <c r="C101" t="s">
        <v>74</v>
      </c>
      <c r="E101" t="str">
        <f>"009942899884"</f>
        <v>009942899884</v>
      </c>
      <c r="F101" s="3">
        <v>44881</v>
      </c>
      <c r="G101">
        <v>202308</v>
      </c>
      <c r="H101" t="s">
        <v>111</v>
      </c>
      <c r="I101" t="s">
        <v>112</v>
      </c>
      <c r="J101" t="s">
        <v>94</v>
      </c>
      <c r="K101" t="s">
        <v>78</v>
      </c>
      <c r="L101" t="s">
        <v>364</v>
      </c>
      <c r="M101" t="s">
        <v>365</v>
      </c>
      <c r="N101" t="s">
        <v>508</v>
      </c>
      <c r="O101" t="s">
        <v>96</v>
      </c>
      <c r="P101" t="str">
        <f>"J28703                        "</f>
        <v xml:space="preserve">J28703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22.11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0.5</v>
      </c>
      <c r="BK101">
        <v>1</v>
      </c>
      <c r="BL101">
        <v>56.12</v>
      </c>
      <c r="BM101">
        <v>8.42</v>
      </c>
      <c r="BN101">
        <v>64.540000000000006</v>
      </c>
      <c r="BO101">
        <v>64.540000000000006</v>
      </c>
      <c r="BQ101" t="s">
        <v>509</v>
      </c>
      <c r="BR101" t="s">
        <v>221</v>
      </c>
      <c r="BS101" s="3">
        <v>44882</v>
      </c>
      <c r="BT101" s="4">
        <v>0.40486111111111112</v>
      </c>
      <c r="BU101" t="s">
        <v>510</v>
      </c>
      <c r="BV101" t="s">
        <v>85</v>
      </c>
      <c r="BY101">
        <v>2535</v>
      </c>
      <c r="BZ101" t="s">
        <v>101</v>
      </c>
      <c r="CA101" t="s">
        <v>511</v>
      </c>
      <c r="CC101" t="s">
        <v>365</v>
      </c>
      <c r="CD101">
        <v>1459</v>
      </c>
      <c r="CE101" t="s">
        <v>88</v>
      </c>
      <c r="CF101" s="3">
        <v>44883</v>
      </c>
      <c r="CI101">
        <v>1</v>
      </c>
      <c r="CJ101">
        <v>1</v>
      </c>
      <c r="CK101">
        <v>22</v>
      </c>
      <c r="CL101" t="s">
        <v>89</v>
      </c>
    </row>
    <row r="102" spans="1:90" ht="15" customHeight="1" x14ac:dyDescent="0.3">
      <c r="A102" t="s">
        <v>72</v>
      </c>
      <c r="B102" t="s">
        <v>73</v>
      </c>
      <c r="C102" t="s">
        <v>74</v>
      </c>
      <c r="E102" t="str">
        <f>"009942899888"</f>
        <v>009942899888</v>
      </c>
      <c r="F102" s="3">
        <v>44881</v>
      </c>
      <c r="G102">
        <v>202308</v>
      </c>
      <c r="H102" t="s">
        <v>111</v>
      </c>
      <c r="I102" t="s">
        <v>112</v>
      </c>
      <c r="J102" t="s">
        <v>94</v>
      </c>
      <c r="K102" t="s">
        <v>78</v>
      </c>
      <c r="L102" t="s">
        <v>200</v>
      </c>
      <c r="M102" t="s">
        <v>201</v>
      </c>
      <c r="N102" t="s">
        <v>103</v>
      </c>
      <c r="O102" t="s">
        <v>96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22.11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0.4</v>
      </c>
      <c r="BK102">
        <v>0.5</v>
      </c>
      <c r="BL102">
        <v>56.12</v>
      </c>
      <c r="BM102">
        <v>8.42</v>
      </c>
      <c r="BN102">
        <v>64.540000000000006</v>
      </c>
      <c r="BO102">
        <v>64.540000000000006</v>
      </c>
      <c r="BQ102" t="s">
        <v>512</v>
      </c>
      <c r="BR102" t="s">
        <v>513</v>
      </c>
      <c r="BS102" s="3">
        <v>44882</v>
      </c>
      <c r="BT102" s="4">
        <v>0.41944444444444445</v>
      </c>
      <c r="BU102" t="s">
        <v>514</v>
      </c>
      <c r="BV102" t="s">
        <v>85</v>
      </c>
      <c r="BY102">
        <v>1839.26</v>
      </c>
      <c r="BZ102" t="s">
        <v>216</v>
      </c>
      <c r="CA102" t="s">
        <v>207</v>
      </c>
      <c r="CC102" t="s">
        <v>201</v>
      </c>
      <c r="CD102">
        <v>1401</v>
      </c>
      <c r="CE102" t="s">
        <v>88</v>
      </c>
      <c r="CF102" s="3">
        <v>44883</v>
      </c>
      <c r="CI102">
        <v>1</v>
      </c>
      <c r="CJ102">
        <v>1</v>
      </c>
      <c r="CK102">
        <v>22</v>
      </c>
      <c r="CL102" t="s">
        <v>89</v>
      </c>
    </row>
    <row r="103" spans="1:90" ht="15" customHeight="1" x14ac:dyDescent="0.3">
      <c r="A103" t="s">
        <v>72</v>
      </c>
      <c r="B103" t="s">
        <v>73</v>
      </c>
      <c r="C103" t="s">
        <v>74</v>
      </c>
      <c r="E103" t="str">
        <f>"009943061726"</f>
        <v>009943061726</v>
      </c>
      <c r="F103" s="3">
        <v>44882</v>
      </c>
      <c r="G103">
        <v>202308</v>
      </c>
      <c r="H103" t="s">
        <v>75</v>
      </c>
      <c r="I103" t="s">
        <v>76</v>
      </c>
      <c r="J103" t="s">
        <v>77</v>
      </c>
      <c r="K103" t="s">
        <v>78</v>
      </c>
      <c r="L103" t="s">
        <v>79</v>
      </c>
      <c r="M103" t="s">
        <v>80</v>
      </c>
      <c r="N103" t="s">
        <v>515</v>
      </c>
      <c r="O103" t="s">
        <v>376</v>
      </c>
      <c r="P103" t="str">
        <f>"188328                        "</f>
        <v xml:space="preserve">188328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145.93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1.3</v>
      </c>
      <c r="BJ103">
        <v>10.5</v>
      </c>
      <c r="BK103">
        <v>11</v>
      </c>
      <c r="BL103">
        <v>370.44</v>
      </c>
      <c r="BM103">
        <v>55.57</v>
      </c>
      <c r="BN103">
        <v>426.01</v>
      </c>
      <c r="BO103">
        <v>426.01</v>
      </c>
      <c r="BQ103" t="s">
        <v>516</v>
      </c>
      <c r="BR103" t="s">
        <v>83</v>
      </c>
      <c r="BS103" s="3">
        <v>44883</v>
      </c>
      <c r="BT103" s="4">
        <v>0.44305555555555554</v>
      </c>
      <c r="BU103" t="s">
        <v>517</v>
      </c>
      <c r="BV103" t="s">
        <v>85</v>
      </c>
      <c r="BY103">
        <v>52507.88</v>
      </c>
      <c r="BZ103" t="s">
        <v>86</v>
      </c>
      <c r="CA103" t="s">
        <v>518</v>
      </c>
      <c r="CC103" t="s">
        <v>80</v>
      </c>
      <c r="CD103">
        <v>2196</v>
      </c>
      <c r="CE103" t="s">
        <v>88</v>
      </c>
      <c r="CF103" s="3">
        <v>44883</v>
      </c>
      <c r="CI103">
        <v>1</v>
      </c>
      <c r="CJ103">
        <v>1</v>
      </c>
      <c r="CK103">
        <v>31</v>
      </c>
      <c r="CL103" t="s">
        <v>89</v>
      </c>
    </row>
    <row r="104" spans="1:90" ht="15" customHeight="1" x14ac:dyDescent="0.3">
      <c r="A104" t="s">
        <v>72</v>
      </c>
      <c r="B104" t="s">
        <v>73</v>
      </c>
      <c r="C104" t="s">
        <v>74</v>
      </c>
      <c r="E104" t="str">
        <f>"009943061725"</f>
        <v>009943061725</v>
      </c>
      <c r="F104" s="3">
        <v>44882</v>
      </c>
      <c r="G104">
        <v>202308</v>
      </c>
      <c r="H104" t="s">
        <v>75</v>
      </c>
      <c r="I104" t="s">
        <v>76</v>
      </c>
      <c r="J104" t="s">
        <v>77</v>
      </c>
      <c r="K104" t="s">
        <v>78</v>
      </c>
      <c r="L104" t="s">
        <v>519</v>
      </c>
      <c r="M104" t="s">
        <v>520</v>
      </c>
      <c r="N104" t="s">
        <v>521</v>
      </c>
      <c r="O104" t="s">
        <v>376</v>
      </c>
      <c r="P104" t="str">
        <f>"23519                         "</f>
        <v xml:space="preserve">23519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53.07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0.7</v>
      </c>
      <c r="BK104">
        <v>1</v>
      </c>
      <c r="BL104">
        <v>134.71</v>
      </c>
      <c r="BM104">
        <v>20.21</v>
      </c>
      <c r="BN104">
        <v>154.91999999999999</v>
      </c>
      <c r="BO104">
        <v>154.91999999999999</v>
      </c>
      <c r="BQ104" t="s">
        <v>522</v>
      </c>
      <c r="BR104" t="s">
        <v>83</v>
      </c>
      <c r="BS104" s="3">
        <v>44883</v>
      </c>
      <c r="BT104" s="4">
        <v>0.40347222222222223</v>
      </c>
      <c r="BU104" t="s">
        <v>523</v>
      </c>
      <c r="BV104" t="s">
        <v>85</v>
      </c>
      <c r="BY104">
        <v>3265.08</v>
      </c>
      <c r="BZ104" t="s">
        <v>86</v>
      </c>
      <c r="CA104" t="s">
        <v>524</v>
      </c>
      <c r="CC104" t="s">
        <v>520</v>
      </c>
      <c r="CD104">
        <v>6024</v>
      </c>
      <c r="CE104" t="s">
        <v>88</v>
      </c>
      <c r="CF104" s="3">
        <v>44883</v>
      </c>
      <c r="CI104">
        <v>1</v>
      </c>
      <c r="CJ104">
        <v>1</v>
      </c>
      <c r="CK104">
        <v>31</v>
      </c>
      <c r="CL104" t="s">
        <v>89</v>
      </c>
    </row>
    <row r="105" spans="1:90" ht="15" customHeight="1" x14ac:dyDescent="0.3">
      <c r="A105" t="s">
        <v>72</v>
      </c>
      <c r="B105" t="s">
        <v>73</v>
      </c>
      <c r="C105" t="s">
        <v>74</v>
      </c>
      <c r="E105" t="str">
        <f>"009943061724"</f>
        <v>009943061724</v>
      </c>
      <c r="F105" s="3">
        <v>44882</v>
      </c>
      <c r="G105">
        <v>202308</v>
      </c>
      <c r="H105" t="s">
        <v>75</v>
      </c>
      <c r="I105" t="s">
        <v>76</v>
      </c>
      <c r="J105" t="s">
        <v>77</v>
      </c>
      <c r="K105" t="s">
        <v>78</v>
      </c>
      <c r="L105" t="s">
        <v>337</v>
      </c>
      <c r="M105" t="s">
        <v>338</v>
      </c>
      <c r="N105" t="s">
        <v>525</v>
      </c>
      <c r="O105" t="s">
        <v>82</v>
      </c>
      <c r="P105" t="str">
        <f>"23483                         "</f>
        <v xml:space="preserve">23483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42.23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3.4</v>
      </c>
      <c r="BJ105">
        <v>12</v>
      </c>
      <c r="BK105">
        <v>12</v>
      </c>
      <c r="BL105">
        <v>112.45</v>
      </c>
      <c r="BM105">
        <v>16.87</v>
      </c>
      <c r="BN105">
        <v>129.32</v>
      </c>
      <c r="BO105">
        <v>129.32</v>
      </c>
      <c r="BR105" t="s">
        <v>83</v>
      </c>
      <c r="BS105" s="3">
        <v>44883</v>
      </c>
      <c r="BT105" s="4">
        <v>0.60416666666666663</v>
      </c>
      <c r="BU105" t="s">
        <v>526</v>
      </c>
      <c r="BV105" t="s">
        <v>85</v>
      </c>
      <c r="BY105">
        <v>60181.8</v>
      </c>
      <c r="BZ105" t="s">
        <v>86</v>
      </c>
      <c r="CA105" t="s">
        <v>527</v>
      </c>
      <c r="CC105" t="s">
        <v>338</v>
      </c>
      <c r="CD105">
        <v>7613</v>
      </c>
      <c r="CE105" t="s">
        <v>88</v>
      </c>
      <c r="CF105" s="3">
        <v>44886</v>
      </c>
      <c r="CI105">
        <v>1</v>
      </c>
      <c r="CJ105">
        <v>1</v>
      </c>
      <c r="CK105">
        <v>42</v>
      </c>
      <c r="CL105" t="s">
        <v>89</v>
      </c>
    </row>
    <row r="106" spans="1:90" ht="15" customHeight="1" x14ac:dyDescent="0.3">
      <c r="A106" t="s">
        <v>72</v>
      </c>
      <c r="B106" t="s">
        <v>73</v>
      </c>
      <c r="C106" t="s">
        <v>74</v>
      </c>
      <c r="E106" t="str">
        <f>"009943061727"</f>
        <v>009943061727</v>
      </c>
      <c r="F106" s="3">
        <v>44882</v>
      </c>
      <c r="G106">
        <v>202308</v>
      </c>
      <c r="H106" t="s">
        <v>75</v>
      </c>
      <c r="I106" t="s">
        <v>76</v>
      </c>
      <c r="J106" t="s">
        <v>77</v>
      </c>
      <c r="K106" t="s">
        <v>78</v>
      </c>
      <c r="L106" t="s">
        <v>75</v>
      </c>
      <c r="M106" t="s">
        <v>76</v>
      </c>
      <c r="N106" t="s">
        <v>528</v>
      </c>
      <c r="O106" t="s">
        <v>82</v>
      </c>
      <c r="P106" t="str">
        <f>"28018                         "</f>
        <v xml:space="preserve">28018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42.23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2.7</v>
      </c>
      <c r="BJ106">
        <v>11.5</v>
      </c>
      <c r="BK106">
        <v>12</v>
      </c>
      <c r="BL106">
        <v>112.45</v>
      </c>
      <c r="BM106">
        <v>16.87</v>
      </c>
      <c r="BN106">
        <v>129.32</v>
      </c>
      <c r="BO106">
        <v>129.32</v>
      </c>
      <c r="BQ106" t="s">
        <v>529</v>
      </c>
      <c r="BR106" t="s">
        <v>83</v>
      </c>
      <c r="BS106" s="3">
        <v>44883</v>
      </c>
      <c r="BT106" s="4">
        <v>0.45277777777777778</v>
      </c>
      <c r="BU106" t="s">
        <v>530</v>
      </c>
      <c r="BV106" t="s">
        <v>85</v>
      </c>
      <c r="BY106">
        <v>57520.95</v>
      </c>
      <c r="BZ106" t="s">
        <v>86</v>
      </c>
      <c r="CA106" t="s">
        <v>531</v>
      </c>
      <c r="CC106" t="s">
        <v>76</v>
      </c>
      <c r="CD106">
        <v>8000</v>
      </c>
      <c r="CE106" t="s">
        <v>88</v>
      </c>
      <c r="CF106" s="3">
        <v>44886</v>
      </c>
      <c r="CI106">
        <v>1</v>
      </c>
      <c r="CJ106">
        <v>1</v>
      </c>
      <c r="CK106">
        <v>42</v>
      </c>
      <c r="CL106" t="s">
        <v>89</v>
      </c>
    </row>
    <row r="107" spans="1:90" ht="15" customHeight="1" x14ac:dyDescent="0.3">
      <c r="A107" t="s">
        <v>72</v>
      </c>
      <c r="B107" t="s">
        <v>73</v>
      </c>
      <c r="C107" t="s">
        <v>74</v>
      </c>
      <c r="E107" t="str">
        <f>"009943061728"</f>
        <v>009943061728</v>
      </c>
      <c r="F107" s="3">
        <v>44882</v>
      </c>
      <c r="G107">
        <v>202308</v>
      </c>
      <c r="H107" t="s">
        <v>75</v>
      </c>
      <c r="I107" t="s">
        <v>76</v>
      </c>
      <c r="J107" t="s">
        <v>77</v>
      </c>
      <c r="K107" t="s">
        <v>78</v>
      </c>
      <c r="L107" t="s">
        <v>79</v>
      </c>
      <c r="M107" t="s">
        <v>80</v>
      </c>
      <c r="N107" t="s">
        <v>532</v>
      </c>
      <c r="O107" t="s">
        <v>82</v>
      </c>
      <c r="P107" t="str">
        <f>"28011                         "</f>
        <v xml:space="preserve">28011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54.73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2.8</v>
      </c>
      <c r="BJ107">
        <v>12</v>
      </c>
      <c r="BK107">
        <v>12</v>
      </c>
      <c r="BL107">
        <v>144.18</v>
      </c>
      <c r="BM107">
        <v>21.63</v>
      </c>
      <c r="BN107">
        <v>165.81</v>
      </c>
      <c r="BO107">
        <v>165.81</v>
      </c>
      <c r="BQ107" t="s">
        <v>533</v>
      </c>
      <c r="BR107" t="s">
        <v>83</v>
      </c>
      <c r="BS107" s="3">
        <v>44886</v>
      </c>
      <c r="BT107" s="4">
        <v>0.42430555555555555</v>
      </c>
      <c r="BU107" t="s">
        <v>534</v>
      </c>
      <c r="BV107" t="s">
        <v>85</v>
      </c>
      <c r="BY107">
        <v>60116.25</v>
      </c>
      <c r="BZ107" t="s">
        <v>86</v>
      </c>
      <c r="CA107" t="s">
        <v>87</v>
      </c>
      <c r="CC107" t="s">
        <v>80</v>
      </c>
      <c r="CD107">
        <v>2055</v>
      </c>
      <c r="CE107" t="s">
        <v>88</v>
      </c>
      <c r="CF107" s="3">
        <v>44886</v>
      </c>
      <c r="CI107">
        <v>2</v>
      </c>
      <c r="CJ107">
        <v>2</v>
      </c>
      <c r="CK107">
        <v>41</v>
      </c>
      <c r="CL107" t="s">
        <v>89</v>
      </c>
    </row>
    <row r="108" spans="1:90" ht="15" customHeight="1" x14ac:dyDescent="0.3">
      <c r="A108" t="s">
        <v>72</v>
      </c>
      <c r="B108" t="s">
        <v>73</v>
      </c>
      <c r="C108" t="s">
        <v>74</v>
      </c>
      <c r="E108" t="str">
        <f>"009943061729"</f>
        <v>009943061729</v>
      </c>
      <c r="F108" s="3">
        <v>44882</v>
      </c>
      <c r="G108">
        <v>202308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535</v>
      </c>
      <c r="O108" t="s">
        <v>82</v>
      </c>
      <c r="P108" t="str">
        <f>"188369                        "</f>
        <v xml:space="preserve">188369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54.73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2.9</v>
      </c>
      <c r="BJ108">
        <v>11.7</v>
      </c>
      <c r="BK108">
        <v>12</v>
      </c>
      <c r="BL108">
        <v>144.18</v>
      </c>
      <c r="BM108">
        <v>21.63</v>
      </c>
      <c r="BN108">
        <v>165.81</v>
      </c>
      <c r="BO108">
        <v>165.81</v>
      </c>
      <c r="BR108" t="s">
        <v>83</v>
      </c>
      <c r="BS108" s="3">
        <v>44886</v>
      </c>
      <c r="BT108" s="4">
        <v>0.73819444444444438</v>
      </c>
      <c r="BU108" t="s">
        <v>244</v>
      </c>
      <c r="BV108" t="s">
        <v>85</v>
      </c>
      <c r="BY108">
        <v>58612.53</v>
      </c>
      <c r="BZ108" t="s">
        <v>86</v>
      </c>
      <c r="CA108" t="s">
        <v>536</v>
      </c>
      <c r="CC108" t="s">
        <v>80</v>
      </c>
      <c r="CD108">
        <v>2196</v>
      </c>
      <c r="CE108" t="s">
        <v>88</v>
      </c>
      <c r="CF108" s="3">
        <v>44887</v>
      </c>
      <c r="CI108">
        <v>2</v>
      </c>
      <c r="CJ108">
        <v>2</v>
      </c>
      <c r="CK108">
        <v>41</v>
      </c>
      <c r="CL108" t="s">
        <v>89</v>
      </c>
    </row>
    <row r="109" spans="1:90" ht="15" customHeight="1" x14ac:dyDescent="0.3">
      <c r="A109" t="s">
        <v>72</v>
      </c>
      <c r="B109" t="s">
        <v>73</v>
      </c>
      <c r="C109" t="s">
        <v>74</v>
      </c>
      <c r="E109" t="str">
        <f>"009943061734"</f>
        <v>009943061734</v>
      </c>
      <c r="F109" s="3">
        <v>44883</v>
      </c>
      <c r="G109">
        <v>202308</v>
      </c>
      <c r="H109" t="s">
        <v>75</v>
      </c>
      <c r="I109" t="s">
        <v>76</v>
      </c>
      <c r="J109" t="s">
        <v>77</v>
      </c>
      <c r="K109" t="s">
        <v>78</v>
      </c>
      <c r="L109" t="s">
        <v>111</v>
      </c>
      <c r="M109" t="s">
        <v>112</v>
      </c>
      <c r="N109" t="s">
        <v>168</v>
      </c>
      <c r="O109" t="s">
        <v>82</v>
      </c>
      <c r="P109" t="str">
        <f>"INV188385                     "</f>
        <v xml:space="preserve">INV188385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54.73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2.6</v>
      </c>
      <c r="BJ109">
        <v>11.8</v>
      </c>
      <c r="BK109">
        <v>12</v>
      </c>
      <c r="BL109">
        <v>144.18</v>
      </c>
      <c r="BM109">
        <v>21.63</v>
      </c>
      <c r="BN109">
        <v>165.81</v>
      </c>
      <c r="BO109">
        <v>165.81</v>
      </c>
      <c r="BQ109" t="s">
        <v>537</v>
      </c>
      <c r="BR109" t="s">
        <v>83</v>
      </c>
      <c r="BS109" s="3">
        <v>44886</v>
      </c>
      <c r="BT109" s="4">
        <v>0.59166666666666667</v>
      </c>
      <c r="BU109" t="s">
        <v>538</v>
      </c>
      <c r="BV109" t="s">
        <v>85</v>
      </c>
      <c r="BY109">
        <v>58875.42</v>
      </c>
      <c r="BZ109" t="s">
        <v>86</v>
      </c>
      <c r="CA109" t="s">
        <v>539</v>
      </c>
      <c r="CC109" t="s">
        <v>112</v>
      </c>
      <c r="CD109">
        <v>1609</v>
      </c>
      <c r="CE109" t="s">
        <v>88</v>
      </c>
      <c r="CF109" s="3">
        <v>44887</v>
      </c>
      <c r="CI109">
        <v>2</v>
      </c>
      <c r="CJ109">
        <v>1</v>
      </c>
      <c r="CK109">
        <v>41</v>
      </c>
      <c r="CL109" t="s">
        <v>89</v>
      </c>
    </row>
    <row r="110" spans="1:90" ht="15" customHeight="1" x14ac:dyDescent="0.3">
      <c r="A110" t="s">
        <v>72</v>
      </c>
      <c r="B110" t="s">
        <v>73</v>
      </c>
      <c r="C110" t="s">
        <v>74</v>
      </c>
      <c r="E110" t="str">
        <f>"009943061733"</f>
        <v>009943061733</v>
      </c>
      <c r="F110" s="3">
        <v>44883</v>
      </c>
      <c r="G110">
        <v>202308</v>
      </c>
      <c r="H110" t="s">
        <v>75</v>
      </c>
      <c r="I110" t="s">
        <v>76</v>
      </c>
      <c r="J110" t="s">
        <v>77</v>
      </c>
      <c r="K110" t="s">
        <v>78</v>
      </c>
      <c r="L110" t="s">
        <v>194</v>
      </c>
      <c r="M110" t="s">
        <v>195</v>
      </c>
      <c r="N110" t="s">
        <v>540</v>
      </c>
      <c r="O110" t="s">
        <v>376</v>
      </c>
      <c r="P110" t="str">
        <f>"INV188383                     "</f>
        <v xml:space="preserve">INV188383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53.07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0.5</v>
      </c>
      <c r="BK110">
        <v>1</v>
      </c>
      <c r="BL110">
        <v>134.71</v>
      </c>
      <c r="BM110">
        <v>20.21</v>
      </c>
      <c r="BN110">
        <v>154.91999999999999</v>
      </c>
      <c r="BO110">
        <v>154.91999999999999</v>
      </c>
      <c r="BQ110" t="s">
        <v>541</v>
      </c>
      <c r="BR110" t="s">
        <v>83</v>
      </c>
      <c r="BS110" s="3">
        <v>44886</v>
      </c>
      <c r="BT110" s="4">
        <v>0.51111111111111118</v>
      </c>
      <c r="BU110" t="s">
        <v>542</v>
      </c>
      <c r="BV110" t="s">
        <v>85</v>
      </c>
      <c r="BY110">
        <v>2588.7600000000002</v>
      </c>
      <c r="BZ110" t="s">
        <v>86</v>
      </c>
      <c r="CA110" t="s">
        <v>285</v>
      </c>
      <c r="CC110" t="s">
        <v>195</v>
      </c>
      <c r="CD110">
        <v>1450</v>
      </c>
      <c r="CE110" t="s">
        <v>88</v>
      </c>
      <c r="CF110" s="3">
        <v>44886</v>
      </c>
      <c r="CI110">
        <v>1</v>
      </c>
      <c r="CJ110">
        <v>1</v>
      </c>
      <c r="CK110">
        <v>31</v>
      </c>
      <c r="CL110" t="s">
        <v>89</v>
      </c>
    </row>
    <row r="111" spans="1:90" ht="15" customHeight="1" x14ac:dyDescent="0.3">
      <c r="A111" t="s">
        <v>72</v>
      </c>
      <c r="B111" t="s">
        <v>73</v>
      </c>
      <c r="C111" t="s">
        <v>74</v>
      </c>
      <c r="E111" t="str">
        <f>"009943061732"</f>
        <v>009943061732</v>
      </c>
      <c r="F111" s="3">
        <v>44883</v>
      </c>
      <c r="G111">
        <v>202308</v>
      </c>
      <c r="H111" t="s">
        <v>75</v>
      </c>
      <c r="I111" t="s">
        <v>76</v>
      </c>
      <c r="J111" t="s">
        <v>77</v>
      </c>
      <c r="K111" t="s">
        <v>78</v>
      </c>
      <c r="L111" t="s">
        <v>543</v>
      </c>
      <c r="M111" t="s">
        <v>544</v>
      </c>
      <c r="N111" t="s">
        <v>168</v>
      </c>
      <c r="O111" t="s">
        <v>82</v>
      </c>
      <c r="P111" t="str">
        <f>"INV188380                     "</f>
        <v xml:space="preserve">INV188380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77.19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0.8</v>
      </c>
      <c r="BJ111">
        <v>3.1</v>
      </c>
      <c r="BK111">
        <v>4</v>
      </c>
      <c r="BL111">
        <v>201.19</v>
      </c>
      <c r="BM111">
        <v>30.18</v>
      </c>
      <c r="BN111">
        <v>231.37</v>
      </c>
      <c r="BO111">
        <v>231.37</v>
      </c>
      <c r="BQ111" t="s">
        <v>545</v>
      </c>
      <c r="BR111" t="s">
        <v>83</v>
      </c>
      <c r="BS111" s="3">
        <v>44888</v>
      </c>
      <c r="BT111" s="4">
        <v>0.63402777777777775</v>
      </c>
      <c r="BU111" t="s">
        <v>546</v>
      </c>
      <c r="BV111" t="s">
        <v>85</v>
      </c>
      <c r="BY111">
        <v>15308.89</v>
      </c>
      <c r="BZ111" t="s">
        <v>86</v>
      </c>
      <c r="CA111" t="s">
        <v>547</v>
      </c>
      <c r="CC111" t="s">
        <v>544</v>
      </c>
      <c r="CD111">
        <v>1055</v>
      </c>
      <c r="CE111" t="s">
        <v>88</v>
      </c>
      <c r="CF111" s="3">
        <v>44888</v>
      </c>
      <c r="CI111">
        <v>3</v>
      </c>
      <c r="CJ111">
        <v>3</v>
      </c>
      <c r="CK111">
        <v>43</v>
      </c>
      <c r="CL111" t="s">
        <v>89</v>
      </c>
    </row>
    <row r="112" spans="1:90" ht="15" customHeight="1" x14ac:dyDescent="0.3">
      <c r="A112" t="s">
        <v>72</v>
      </c>
      <c r="B112" t="s">
        <v>73</v>
      </c>
      <c r="C112" t="s">
        <v>74</v>
      </c>
      <c r="E112" t="str">
        <f>"009943061731"</f>
        <v>009943061731</v>
      </c>
      <c r="F112" s="3">
        <v>44883</v>
      </c>
      <c r="G112">
        <v>202308</v>
      </c>
      <c r="H112" t="s">
        <v>75</v>
      </c>
      <c r="I112" t="s">
        <v>76</v>
      </c>
      <c r="J112" t="s">
        <v>77</v>
      </c>
      <c r="K112" t="s">
        <v>78</v>
      </c>
      <c r="L112" t="s">
        <v>548</v>
      </c>
      <c r="M112" t="s">
        <v>549</v>
      </c>
      <c r="N112" t="s">
        <v>168</v>
      </c>
      <c r="O112" t="s">
        <v>82</v>
      </c>
      <c r="P112" t="str">
        <f>"INV188378                     "</f>
        <v xml:space="preserve">INV188378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77.19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0.1</v>
      </c>
      <c r="BJ112">
        <v>0.5</v>
      </c>
      <c r="BK112">
        <v>1</v>
      </c>
      <c r="BL112">
        <v>201.19</v>
      </c>
      <c r="BM112">
        <v>30.18</v>
      </c>
      <c r="BN112">
        <v>231.37</v>
      </c>
      <c r="BO112">
        <v>231.37</v>
      </c>
      <c r="BQ112" t="s">
        <v>550</v>
      </c>
      <c r="BR112" t="s">
        <v>83</v>
      </c>
      <c r="BS112" s="3">
        <v>44886</v>
      </c>
      <c r="BT112" s="4">
        <v>0.57986111111111105</v>
      </c>
      <c r="BU112" t="s">
        <v>551</v>
      </c>
      <c r="BV112" t="s">
        <v>85</v>
      </c>
      <c r="BY112">
        <v>2749.2</v>
      </c>
      <c r="BZ112" t="s">
        <v>86</v>
      </c>
      <c r="CA112" t="s">
        <v>552</v>
      </c>
      <c r="CC112" t="s">
        <v>549</v>
      </c>
      <c r="CD112">
        <v>3100</v>
      </c>
      <c r="CE112" t="s">
        <v>88</v>
      </c>
      <c r="CF112" s="3">
        <v>44886</v>
      </c>
      <c r="CI112">
        <v>3</v>
      </c>
      <c r="CJ112">
        <v>1</v>
      </c>
      <c r="CK112">
        <v>43</v>
      </c>
      <c r="CL112" t="s">
        <v>89</v>
      </c>
    </row>
    <row r="113" spans="1:90" ht="15" customHeight="1" x14ac:dyDescent="0.3">
      <c r="A113" t="s">
        <v>72</v>
      </c>
      <c r="B113" t="s">
        <v>73</v>
      </c>
      <c r="C113" t="s">
        <v>74</v>
      </c>
      <c r="E113" t="str">
        <f>"009943061730"</f>
        <v>009943061730</v>
      </c>
      <c r="F113" s="3">
        <v>44883</v>
      </c>
      <c r="G113">
        <v>202308</v>
      </c>
      <c r="H113" t="s">
        <v>75</v>
      </c>
      <c r="I113" t="s">
        <v>76</v>
      </c>
      <c r="J113" t="s">
        <v>77</v>
      </c>
      <c r="K113" t="s">
        <v>78</v>
      </c>
      <c r="L113" t="s">
        <v>254</v>
      </c>
      <c r="M113" t="s">
        <v>255</v>
      </c>
      <c r="N113" t="s">
        <v>168</v>
      </c>
      <c r="O113" t="s">
        <v>376</v>
      </c>
      <c r="P113" t="str">
        <f>"INV188377                     "</f>
        <v xml:space="preserve">INV188377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53.07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134.71</v>
      </c>
      <c r="BM113">
        <v>20.21</v>
      </c>
      <c r="BN113">
        <v>154.91999999999999</v>
      </c>
      <c r="BO113">
        <v>154.91999999999999</v>
      </c>
      <c r="BQ113" t="s">
        <v>553</v>
      </c>
      <c r="BR113" t="s">
        <v>83</v>
      </c>
      <c r="BS113" s="3">
        <v>44888</v>
      </c>
      <c r="BT113" s="4">
        <v>0.4069444444444445</v>
      </c>
      <c r="BU113" t="s">
        <v>554</v>
      </c>
      <c r="BV113" t="s">
        <v>89</v>
      </c>
      <c r="BW113" t="s">
        <v>130</v>
      </c>
      <c r="BX113" t="s">
        <v>555</v>
      </c>
      <c r="BY113">
        <v>1200</v>
      </c>
      <c r="BZ113" t="s">
        <v>86</v>
      </c>
      <c r="CA113" t="s">
        <v>556</v>
      </c>
      <c r="CC113" t="s">
        <v>255</v>
      </c>
      <c r="CD113">
        <v>157</v>
      </c>
      <c r="CE113" t="s">
        <v>88</v>
      </c>
      <c r="CF113" s="3">
        <v>44888</v>
      </c>
      <c r="CI113">
        <v>1</v>
      </c>
      <c r="CJ113">
        <v>3</v>
      </c>
      <c r="CK113">
        <v>31</v>
      </c>
      <c r="CL113" t="s">
        <v>89</v>
      </c>
    </row>
    <row r="114" spans="1:90" ht="15" customHeight="1" x14ac:dyDescent="0.3">
      <c r="A114" t="s">
        <v>72</v>
      </c>
      <c r="B114" t="s">
        <v>73</v>
      </c>
      <c r="C114" t="s">
        <v>74</v>
      </c>
      <c r="E114" t="str">
        <f>"009942857430"</f>
        <v>009942857430</v>
      </c>
      <c r="F114" s="3">
        <v>44883</v>
      </c>
      <c r="G114">
        <v>202308</v>
      </c>
      <c r="H114" t="s">
        <v>324</v>
      </c>
      <c r="I114" t="s">
        <v>325</v>
      </c>
      <c r="J114" t="s">
        <v>557</v>
      </c>
      <c r="K114" t="s">
        <v>78</v>
      </c>
      <c r="L114" t="s">
        <v>75</v>
      </c>
      <c r="M114" t="s">
        <v>76</v>
      </c>
      <c r="N114" t="s">
        <v>77</v>
      </c>
      <c r="O114" t="s">
        <v>96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28.3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2</v>
      </c>
      <c r="BJ114">
        <v>0.5</v>
      </c>
      <c r="BK114">
        <v>2</v>
      </c>
      <c r="BL114">
        <v>71.84</v>
      </c>
      <c r="BM114">
        <v>10.78</v>
      </c>
      <c r="BN114">
        <v>82.62</v>
      </c>
      <c r="BO114">
        <v>82.62</v>
      </c>
      <c r="BR114" t="s">
        <v>558</v>
      </c>
      <c r="BS114" s="3">
        <v>44886</v>
      </c>
      <c r="BT114" s="4">
        <v>0.38055555555555554</v>
      </c>
      <c r="BU114" t="s">
        <v>559</v>
      </c>
      <c r="BV114" t="s">
        <v>85</v>
      </c>
      <c r="BY114">
        <v>1200</v>
      </c>
      <c r="BZ114" t="s">
        <v>101</v>
      </c>
      <c r="CA114" t="s">
        <v>560</v>
      </c>
      <c r="CC114" t="s">
        <v>76</v>
      </c>
      <c r="CD114">
        <v>8000</v>
      </c>
      <c r="CE114" t="s">
        <v>88</v>
      </c>
      <c r="CF114" s="3">
        <v>44887</v>
      </c>
      <c r="CI114">
        <v>1</v>
      </c>
      <c r="CJ114">
        <v>1</v>
      </c>
      <c r="CK114">
        <v>21</v>
      </c>
      <c r="CL114" t="s">
        <v>89</v>
      </c>
    </row>
    <row r="115" spans="1:90" ht="15" customHeight="1" x14ac:dyDescent="0.3">
      <c r="A115" t="s">
        <v>72</v>
      </c>
      <c r="B115" t="s">
        <v>73</v>
      </c>
      <c r="C115" t="s">
        <v>74</v>
      </c>
      <c r="E115" t="str">
        <f>"009942885538"</f>
        <v>009942885538</v>
      </c>
      <c r="F115" s="3">
        <v>44883</v>
      </c>
      <c r="G115">
        <v>202308</v>
      </c>
      <c r="H115" t="s">
        <v>111</v>
      </c>
      <c r="I115" t="s">
        <v>112</v>
      </c>
      <c r="J115" t="s">
        <v>94</v>
      </c>
      <c r="K115" t="s">
        <v>78</v>
      </c>
      <c r="L115" t="s">
        <v>108</v>
      </c>
      <c r="M115" t="s">
        <v>109</v>
      </c>
      <c r="N115" t="s">
        <v>110</v>
      </c>
      <c r="O115" t="s">
        <v>96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56.59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1.2</v>
      </c>
      <c r="BJ115">
        <v>3.6</v>
      </c>
      <c r="BK115">
        <v>4</v>
      </c>
      <c r="BL115">
        <v>143.65</v>
      </c>
      <c r="BM115">
        <v>21.55</v>
      </c>
      <c r="BN115">
        <v>165.2</v>
      </c>
      <c r="BO115">
        <v>165.2</v>
      </c>
      <c r="BQ115" t="s">
        <v>114</v>
      </c>
      <c r="BR115" t="s">
        <v>113</v>
      </c>
      <c r="BS115" s="3">
        <v>44886</v>
      </c>
      <c r="BT115" s="4">
        <v>0.40625</v>
      </c>
      <c r="BU115" t="s">
        <v>561</v>
      </c>
      <c r="BV115" t="s">
        <v>85</v>
      </c>
      <c r="BY115">
        <v>17833.68</v>
      </c>
      <c r="BZ115" t="s">
        <v>101</v>
      </c>
      <c r="CA115" t="s">
        <v>363</v>
      </c>
      <c r="CC115" t="s">
        <v>109</v>
      </c>
      <c r="CD115">
        <v>6000</v>
      </c>
      <c r="CE115" t="s">
        <v>88</v>
      </c>
      <c r="CF115" s="3">
        <v>44886</v>
      </c>
      <c r="CI115">
        <v>1</v>
      </c>
      <c r="CJ115">
        <v>1</v>
      </c>
      <c r="CK115">
        <v>21</v>
      </c>
      <c r="CL115" t="s">
        <v>89</v>
      </c>
    </row>
    <row r="116" spans="1:90" ht="15" customHeight="1" x14ac:dyDescent="0.3">
      <c r="A116" t="s">
        <v>72</v>
      </c>
      <c r="B116" t="s">
        <v>73</v>
      </c>
      <c r="C116" t="s">
        <v>74</v>
      </c>
      <c r="E116" t="str">
        <f>"009942719421"</f>
        <v>009942719421</v>
      </c>
      <c r="F116" s="3">
        <v>44886</v>
      </c>
      <c r="G116">
        <v>202308</v>
      </c>
      <c r="H116" t="s">
        <v>562</v>
      </c>
      <c r="I116" t="s">
        <v>563</v>
      </c>
      <c r="J116" t="s">
        <v>557</v>
      </c>
      <c r="K116" t="s">
        <v>78</v>
      </c>
      <c r="L116" t="s">
        <v>75</v>
      </c>
      <c r="M116" t="s">
        <v>76</v>
      </c>
      <c r="N116" t="s">
        <v>77</v>
      </c>
      <c r="O116" t="s">
        <v>96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28.3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71.84</v>
      </c>
      <c r="BM116">
        <v>10.78</v>
      </c>
      <c r="BN116">
        <v>82.62</v>
      </c>
      <c r="BO116">
        <v>82.62</v>
      </c>
      <c r="BQ116" t="s">
        <v>564</v>
      </c>
      <c r="BR116" t="s">
        <v>565</v>
      </c>
      <c r="BS116" s="3">
        <v>44888</v>
      </c>
      <c r="BT116" s="4">
        <v>0.38472222222222219</v>
      </c>
      <c r="BU116" t="s">
        <v>566</v>
      </c>
      <c r="BV116" t="s">
        <v>85</v>
      </c>
      <c r="BY116">
        <v>1200</v>
      </c>
      <c r="BZ116" t="s">
        <v>101</v>
      </c>
      <c r="CA116" t="s">
        <v>567</v>
      </c>
      <c r="CC116" t="s">
        <v>76</v>
      </c>
      <c r="CD116">
        <v>7945</v>
      </c>
      <c r="CE116" t="s">
        <v>88</v>
      </c>
      <c r="CF116" s="3">
        <v>44889</v>
      </c>
      <c r="CI116">
        <v>2</v>
      </c>
      <c r="CJ116">
        <v>2</v>
      </c>
      <c r="CK116">
        <v>21</v>
      </c>
      <c r="CL116" t="s">
        <v>89</v>
      </c>
    </row>
    <row r="117" spans="1:90" ht="15" customHeight="1" x14ac:dyDescent="0.3">
      <c r="A117" t="s">
        <v>72</v>
      </c>
      <c r="B117" t="s">
        <v>73</v>
      </c>
      <c r="C117" t="s">
        <v>74</v>
      </c>
      <c r="E117" t="str">
        <f>"009943061738"</f>
        <v>009943061738</v>
      </c>
      <c r="F117" s="3">
        <v>44886</v>
      </c>
      <c r="G117">
        <v>202308</v>
      </c>
      <c r="H117" t="s">
        <v>75</v>
      </c>
      <c r="I117" t="s">
        <v>76</v>
      </c>
      <c r="J117" t="s">
        <v>77</v>
      </c>
      <c r="K117" t="s">
        <v>78</v>
      </c>
      <c r="L117" t="s">
        <v>568</v>
      </c>
      <c r="M117" t="s">
        <v>569</v>
      </c>
      <c r="N117" t="s">
        <v>168</v>
      </c>
      <c r="O117" t="s">
        <v>376</v>
      </c>
      <c r="P117" t="str">
        <f>"INV188459                     "</f>
        <v xml:space="preserve">INV188459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53.07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3.3</v>
      </c>
      <c r="BK117">
        <v>4</v>
      </c>
      <c r="BL117">
        <v>134.71</v>
      </c>
      <c r="BM117">
        <v>20.21</v>
      </c>
      <c r="BN117">
        <v>154.91999999999999</v>
      </c>
      <c r="BO117">
        <v>154.91999999999999</v>
      </c>
      <c r="BQ117" t="s">
        <v>570</v>
      </c>
      <c r="BR117" t="s">
        <v>83</v>
      </c>
      <c r="BS117" s="3">
        <v>44887</v>
      </c>
      <c r="BT117" s="4">
        <v>0.58472222222222225</v>
      </c>
      <c r="BU117" t="s">
        <v>571</v>
      </c>
      <c r="BV117" t="s">
        <v>89</v>
      </c>
      <c r="BW117" t="s">
        <v>99</v>
      </c>
      <c r="BX117" t="s">
        <v>572</v>
      </c>
      <c r="BY117">
        <v>16276.48</v>
      </c>
      <c r="BZ117" t="s">
        <v>86</v>
      </c>
      <c r="CA117" t="s">
        <v>573</v>
      </c>
      <c r="CC117" t="s">
        <v>569</v>
      </c>
      <c r="CD117">
        <v>1540</v>
      </c>
      <c r="CE117" t="s">
        <v>88</v>
      </c>
      <c r="CF117" s="3">
        <v>44887</v>
      </c>
      <c r="CI117">
        <v>1</v>
      </c>
      <c r="CJ117">
        <v>1</v>
      </c>
      <c r="CK117">
        <v>31</v>
      </c>
      <c r="CL117" t="s">
        <v>89</v>
      </c>
    </row>
    <row r="118" spans="1:90" ht="15" customHeight="1" x14ac:dyDescent="0.3">
      <c r="A118" t="s">
        <v>72</v>
      </c>
      <c r="B118" t="s">
        <v>73</v>
      </c>
      <c r="C118" t="s">
        <v>74</v>
      </c>
      <c r="E118" t="str">
        <f>"009943061737"</f>
        <v>009943061737</v>
      </c>
      <c r="F118" s="3">
        <v>44886</v>
      </c>
      <c r="G118">
        <v>202308</v>
      </c>
      <c r="H118" t="s">
        <v>75</v>
      </c>
      <c r="I118" t="s">
        <v>76</v>
      </c>
      <c r="J118" t="s">
        <v>77</v>
      </c>
      <c r="K118" t="s">
        <v>78</v>
      </c>
      <c r="L118" t="s">
        <v>574</v>
      </c>
      <c r="M118" t="s">
        <v>575</v>
      </c>
      <c r="N118" t="s">
        <v>168</v>
      </c>
      <c r="O118" t="s">
        <v>376</v>
      </c>
      <c r="P118" t="str">
        <f>"INV188458                     "</f>
        <v xml:space="preserve">INV188458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54.83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0.7</v>
      </c>
      <c r="BK118">
        <v>1</v>
      </c>
      <c r="BL118">
        <v>139.19</v>
      </c>
      <c r="BM118">
        <v>20.88</v>
      </c>
      <c r="BN118">
        <v>160.07</v>
      </c>
      <c r="BO118">
        <v>160.07</v>
      </c>
      <c r="BQ118" t="s">
        <v>576</v>
      </c>
      <c r="BR118" t="s">
        <v>83</v>
      </c>
      <c r="BS118" s="3">
        <v>44887</v>
      </c>
      <c r="BT118" s="4">
        <v>0.64513888888888882</v>
      </c>
      <c r="BU118" t="s">
        <v>577</v>
      </c>
      <c r="BV118" t="s">
        <v>89</v>
      </c>
      <c r="BY118">
        <v>3713.78</v>
      </c>
      <c r="BZ118" t="s">
        <v>86</v>
      </c>
      <c r="CC118" t="s">
        <v>575</v>
      </c>
      <c r="CD118">
        <v>1240</v>
      </c>
      <c r="CE118" t="s">
        <v>88</v>
      </c>
      <c r="CF118" s="3">
        <v>44887</v>
      </c>
      <c r="CI118">
        <v>1</v>
      </c>
      <c r="CJ118">
        <v>1</v>
      </c>
      <c r="CK118">
        <v>33</v>
      </c>
      <c r="CL118" t="s">
        <v>89</v>
      </c>
    </row>
    <row r="119" spans="1:90" ht="15" customHeight="1" x14ac:dyDescent="0.3">
      <c r="A119" t="s">
        <v>72</v>
      </c>
      <c r="B119" t="s">
        <v>73</v>
      </c>
      <c r="C119" t="s">
        <v>74</v>
      </c>
      <c r="E119" t="str">
        <f>"009943061739"</f>
        <v>009943061739</v>
      </c>
      <c r="F119" s="3">
        <v>44886</v>
      </c>
      <c r="G119">
        <v>202308</v>
      </c>
      <c r="H119" t="s">
        <v>75</v>
      </c>
      <c r="I119" t="s">
        <v>76</v>
      </c>
      <c r="J119" t="s">
        <v>77</v>
      </c>
      <c r="K119" t="s">
        <v>78</v>
      </c>
      <c r="L119" t="s">
        <v>578</v>
      </c>
      <c r="M119" t="s">
        <v>579</v>
      </c>
      <c r="N119" t="s">
        <v>580</v>
      </c>
      <c r="O119" t="s">
        <v>376</v>
      </c>
      <c r="P119" t="str">
        <f>"INV188460                     "</f>
        <v xml:space="preserve">INV188460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54.83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0.7</v>
      </c>
      <c r="BK119">
        <v>1</v>
      </c>
      <c r="BL119">
        <v>139.19</v>
      </c>
      <c r="BM119">
        <v>20.88</v>
      </c>
      <c r="BN119">
        <v>160.07</v>
      </c>
      <c r="BO119">
        <v>160.07</v>
      </c>
      <c r="BQ119" t="s">
        <v>581</v>
      </c>
      <c r="BR119" t="s">
        <v>83</v>
      </c>
      <c r="BS119" s="3">
        <v>44887</v>
      </c>
      <c r="BT119" s="4">
        <v>0.53888888888888886</v>
      </c>
      <c r="BU119" t="s">
        <v>582</v>
      </c>
      <c r="BV119" t="s">
        <v>85</v>
      </c>
      <c r="BY119">
        <v>3329.48</v>
      </c>
      <c r="BZ119" t="s">
        <v>86</v>
      </c>
      <c r="CA119" t="s">
        <v>583</v>
      </c>
      <c r="CC119" t="s">
        <v>579</v>
      </c>
      <c r="CD119">
        <v>300</v>
      </c>
      <c r="CE119" t="s">
        <v>88</v>
      </c>
      <c r="CF119" s="3">
        <v>44888</v>
      </c>
      <c r="CI119">
        <v>1</v>
      </c>
      <c r="CJ119">
        <v>1</v>
      </c>
      <c r="CK119">
        <v>33</v>
      </c>
      <c r="CL119" t="s">
        <v>89</v>
      </c>
    </row>
    <row r="120" spans="1:90" ht="15" customHeight="1" x14ac:dyDescent="0.3">
      <c r="A120" t="s">
        <v>72</v>
      </c>
      <c r="B120" t="s">
        <v>73</v>
      </c>
      <c r="C120" t="s">
        <v>74</v>
      </c>
      <c r="E120" t="str">
        <f>"009942701268"</f>
        <v>009942701268</v>
      </c>
      <c r="F120" s="3">
        <v>44886</v>
      </c>
      <c r="G120">
        <v>202308</v>
      </c>
      <c r="H120" t="s">
        <v>108</v>
      </c>
      <c r="I120" t="s">
        <v>109</v>
      </c>
      <c r="J120" t="s">
        <v>110</v>
      </c>
      <c r="K120" t="s">
        <v>78</v>
      </c>
      <c r="L120" t="s">
        <v>111</v>
      </c>
      <c r="M120" t="s">
        <v>112</v>
      </c>
      <c r="N120" t="s">
        <v>94</v>
      </c>
      <c r="O120" t="s">
        <v>96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28.3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71.84</v>
      </c>
      <c r="BM120">
        <v>10.78</v>
      </c>
      <c r="BN120">
        <v>82.62</v>
      </c>
      <c r="BO120">
        <v>82.62</v>
      </c>
      <c r="BQ120" t="s">
        <v>113</v>
      </c>
      <c r="BR120" t="s">
        <v>114</v>
      </c>
      <c r="BS120" s="3">
        <v>44887</v>
      </c>
      <c r="BT120" s="4">
        <v>0.42638888888888887</v>
      </c>
      <c r="BU120" t="s">
        <v>115</v>
      </c>
      <c r="BV120" t="s">
        <v>85</v>
      </c>
      <c r="BY120">
        <v>1200</v>
      </c>
      <c r="BZ120" t="s">
        <v>101</v>
      </c>
      <c r="CA120" t="s">
        <v>116</v>
      </c>
      <c r="CC120" t="s">
        <v>112</v>
      </c>
      <c r="CD120">
        <v>1620</v>
      </c>
      <c r="CE120" t="s">
        <v>88</v>
      </c>
      <c r="CF120" s="3">
        <v>44888</v>
      </c>
      <c r="CI120">
        <v>1</v>
      </c>
      <c r="CJ120">
        <v>1</v>
      </c>
      <c r="CK120">
        <v>21</v>
      </c>
      <c r="CL120" t="s">
        <v>89</v>
      </c>
    </row>
    <row r="121" spans="1:90" ht="15" customHeight="1" x14ac:dyDescent="0.3">
      <c r="A121" t="s">
        <v>72</v>
      </c>
      <c r="B121" t="s">
        <v>73</v>
      </c>
      <c r="C121" t="s">
        <v>74</v>
      </c>
      <c r="E121" t="str">
        <f>"009942701344"</f>
        <v>009942701344</v>
      </c>
      <c r="F121" s="3">
        <v>44886</v>
      </c>
      <c r="G121">
        <v>202308</v>
      </c>
      <c r="H121" t="s">
        <v>108</v>
      </c>
      <c r="I121" t="s">
        <v>109</v>
      </c>
      <c r="J121" t="s">
        <v>110</v>
      </c>
      <c r="K121" t="s">
        <v>78</v>
      </c>
      <c r="L121" t="s">
        <v>75</v>
      </c>
      <c r="M121" t="s">
        <v>76</v>
      </c>
      <c r="N121" t="s">
        <v>584</v>
      </c>
      <c r="O121" t="s">
        <v>96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28.3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71.84</v>
      </c>
      <c r="BM121">
        <v>10.78</v>
      </c>
      <c r="BN121">
        <v>82.62</v>
      </c>
      <c r="BO121">
        <v>82.62</v>
      </c>
      <c r="BQ121" t="s">
        <v>585</v>
      </c>
      <c r="BR121" t="s">
        <v>114</v>
      </c>
      <c r="BS121" s="3">
        <v>44887</v>
      </c>
      <c r="BT121" s="4">
        <v>0.4201388888888889</v>
      </c>
      <c r="BU121" t="s">
        <v>586</v>
      </c>
      <c r="BV121" t="s">
        <v>85</v>
      </c>
      <c r="BY121">
        <v>1200</v>
      </c>
      <c r="BZ121" t="s">
        <v>101</v>
      </c>
      <c r="CA121" t="s">
        <v>342</v>
      </c>
      <c r="CC121" t="s">
        <v>76</v>
      </c>
      <c r="CD121">
        <v>7530</v>
      </c>
      <c r="CE121" t="s">
        <v>88</v>
      </c>
      <c r="CF121" s="3">
        <v>44888</v>
      </c>
      <c r="CI121">
        <v>1</v>
      </c>
      <c r="CJ121">
        <v>1</v>
      </c>
      <c r="CK121">
        <v>21</v>
      </c>
      <c r="CL121" t="s">
        <v>89</v>
      </c>
    </row>
    <row r="122" spans="1:90" ht="15" customHeight="1" x14ac:dyDescent="0.3">
      <c r="A122" t="s">
        <v>72</v>
      </c>
      <c r="B122" t="s">
        <v>73</v>
      </c>
      <c r="C122" t="s">
        <v>74</v>
      </c>
      <c r="E122" t="str">
        <f>"009943061742"</f>
        <v>009943061742</v>
      </c>
      <c r="F122" s="3">
        <v>44886</v>
      </c>
      <c r="G122">
        <v>202308</v>
      </c>
      <c r="H122" t="s">
        <v>75</v>
      </c>
      <c r="I122" t="s">
        <v>76</v>
      </c>
      <c r="J122" t="s">
        <v>77</v>
      </c>
      <c r="K122" t="s">
        <v>78</v>
      </c>
      <c r="L122" t="s">
        <v>180</v>
      </c>
      <c r="M122" t="s">
        <v>181</v>
      </c>
      <c r="N122" t="s">
        <v>168</v>
      </c>
      <c r="O122" t="s">
        <v>82</v>
      </c>
      <c r="P122" t="str">
        <f>"INV188464                     "</f>
        <v xml:space="preserve">INV188464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54.73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0.6</v>
      </c>
      <c r="BK122">
        <v>1</v>
      </c>
      <c r="BL122">
        <v>144.18</v>
      </c>
      <c r="BM122">
        <v>21.63</v>
      </c>
      <c r="BN122">
        <v>165.81</v>
      </c>
      <c r="BO122">
        <v>165.81</v>
      </c>
      <c r="BQ122" t="s">
        <v>587</v>
      </c>
      <c r="BR122" t="s">
        <v>83</v>
      </c>
      <c r="BS122" s="3">
        <v>44890</v>
      </c>
      <c r="BT122" s="4">
        <v>0.5</v>
      </c>
      <c r="BU122" t="s">
        <v>588</v>
      </c>
      <c r="BV122" t="s">
        <v>89</v>
      </c>
      <c r="BY122">
        <v>3239.6</v>
      </c>
      <c r="BZ122" t="s">
        <v>86</v>
      </c>
      <c r="CC122" t="s">
        <v>181</v>
      </c>
      <c r="CD122">
        <v>4000</v>
      </c>
      <c r="CE122" t="s">
        <v>88</v>
      </c>
      <c r="CF122" s="3">
        <v>44894</v>
      </c>
      <c r="CI122">
        <v>3</v>
      </c>
      <c r="CJ122">
        <v>4</v>
      </c>
      <c r="CK122">
        <v>41</v>
      </c>
      <c r="CL122" t="s">
        <v>89</v>
      </c>
    </row>
    <row r="123" spans="1:90" ht="15" customHeight="1" x14ac:dyDescent="0.3">
      <c r="A123" t="s">
        <v>72</v>
      </c>
      <c r="B123" t="s">
        <v>73</v>
      </c>
      <c r="C123" t="s">
        <v>74</v>
      </c>
      <c r="E123" t="str">
        <f>"009943061741"</f>
        <v>009943061741</v>
      </c>
      <c r="F123" s="3">
        <v>44886</v>
      </c>
      <c r="G123">
        <v>202308</v>
      </c>
      <c r="H123" t="s">
        <v>75</v>
      </c>
      <c r="I123" t="s">
        <v>76</v>
      </c>
      <c r="J123" t="s">
        <v>77</v>
      </c>
      <c r="K123" t="s">
        <v>78</v>
      </c>
      <c r="L123" t="s">
        <v>166</v>
      </c>
      <c r="M123" t="s">
        <v>167</v>
      </c>
      <c r="N123" t="s">
        <v>168</v>
      </c>
      <c r="O123" t="s">
        <v>376</v>
      </c>
      <c r="P123" t="str">
        <f>"INV188463                     "</f>
        <v xml:space="preserve">INV188463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132.66999999999999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1.3</v>
      </c>
      <c r="BJ123">
        <v>9.6999999999999993</v>
      </c>
      <c r="BK123">
        <v>10</v>
      </c>
      <c r="BL123">
        <v>336.77</v>
      </c>
      <c r="BM123">
        <v>50.52</v>
      </c>
      <c r="BN123">
        <v>387.29</v>
      </c>
      <c r="BO123">
        <v>387.29</v>
      </c>
      <c r="BQ123" t="s">
        <v>589</v>
      </c>
      <c r="BR123" t="s">
        <v>83</v>
      </c>
      <c r="BS123" s="3">
        <v>44888</v>
      </c>
      <c r="BT123" s="4">
        <v>0.57361111111111118</v>
      </c>
      <c r="BU123" t="s">
        <v>590</v>
      </c>
      <c r="BV123" t="s">
        <v>89</v>
      </c>
      <c r="BY123">
        <v>48327.6</v>
      </c>
      <c r="BZ123" t="s">
        <v>86</v>
      </c>
      <c r="CA123" t="s">
        <v>591</v>
      </c>
      <c r="CC123" t="s">
        <v>167</v>
      </c>
      <c r="CD123">
        <v>1</v>
      </c>
      <c r="CE123" t="s">
        <v>88</v>
      </c>
      <c r="CF123" s="3">
        <v>44888</v>
      </c>
      <c r="CI123">
        <v>1</v>
      </c>
      <c r="CJ123">
        <v>2</v>
      </c>
      <c r="CK123">
        <v>31</v>
      </c>
      <c r="CL123" t="s">
        <v>89</v>
      </c>
    </row>
    <row r="124" spans="1:90" ht="15" customHeight="1" x14ac:dyDescent="0.3">
      <c r="A124" t="s">
        <v>72</v>
      </c>
      <c r="B124" t="s">
        <v>73</v>
      </c>
      <c r="C124" t="s">
        <v>74</v>
      </c>
      <c r="E124" t="str">
        <f>"009943061735"</f>
        <v>009943061735</v>
      </c>
      <c r="F124" s="3">
        <v>44886</v>
      </c>
      <c r="G124">
        <v>202308</v>
      </c>
      <c r="H124" t="s">
        <v>75</v>
      </c>
      <c r="I124" t="s">
        <v>76</v>
      </c>
      <c r="J124" t="s">
        <v>77</v>
      </c>
      <c r="K124" t="s">
        <v>78</v>
      </c>
      <c r="L124" t="s">
        <v>166</v>
      </c>
      <c r="M124" t="s">
        <v>167</v>
      </c>
      <c r="N124" t="s">
        <v>168</v>
      </c>
      <c r="O124" t="s">
        <v>82</v>
      </c>
      <c r="P124" t="str">
        <f>"INV188456                     "</f>
        <v xml:space="preserve">INV188456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54.73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3</v>
      </c>
      <c r="BJ124">
        <v>12.8</v>
      </c>
      <c r="BK124">
        <v>13</v>
      </c>
      <c r="BL124">
        <v>144.18</v>
      </c>
      <c r="BM124">
        <v>21.63</v>
      </c>
      <c r="BN124">
        <v>165.81</v>
      </c>
      <c r="BO124">
        <v>165.81</v>
      </c>
      <c r="BQ124" t="s">
        <v>592</v>
      </c>
      <c r="BR124" t="s">
        <v>83</v>
      </c>
      <c r="BS124" s="3">
        <v>44888</v>
      </c>
      <c r="BT124" s="4">
        <v>0.47222222222222227</v>
      </c>
      <c r="BU124" t="s">
        <v>593</v>
      </c>
      <c r="BV124" t="s">
        <v>85</v>
      </c>
      <c r="BY124">
        <v>64215.06</v>
      </c>
      <c r="BZ124" t="s">
        <v>86</v>
      </c>
      <c r="CA124" t="s">
        <v>475</v>
      </c>
      <c r="CC124" t="s">
        <v>167</v>
      </c>
      <c r="CD124">
        <v>1</v>
      </c>
      <c r="CE124" t="s">
        <v>88</v>
      </c>
      <c r="CF124" s="3">
        <v>44888</v>
      </c>
      <c r="CI124">
        <v>2</v>
      </c>
      <c r="CJ124">
        <v>2</v>
      </c>
      <c r="CK124">
        <v>41</v>
      </c>
      <c r="CL124" t="s">
        <v>89</v>
      </c>
    </row>
    <row r="125" spans="1:90" ht="15" customHeight="1" x14ac:dyDescent="0.3">
      <c r="A125" t="s">
        <v>72</v>
      </c>
      <c r="B125" t="s">
        <v>73</v>
      </c>
      <c r="C125" t="s">
        <v>74</v>
      </c>
      <c r="E125" t="str">
        <f>"009943061743"</f>
        <v>009943061743</v>
      </c>
      <c r="F125" s="3">
        <v>44886</v>
      </c>
      <c r="G125">
        <v>202308</v>
      </c>
      <c r="H125" t="s">
        <v>75</v>
      </c>
      <c r="I125" t="s">
        <v>76</v>
      </c>
      <c r="J125" t="s">
        <v>77</v>
      </c>
      <c r="K125" t="s">
        <v>78</v>
      </c>
      <c r="L125" t="s">
        <v>153</v>
      </c>
      <c r="M125" t="s">
        <v>154</v>
      </c>
      <c r="N125" t="s">
        <v>594</v>
      </c>
      <c r="O125" t="s">
        <v>376</v>
      </c>
      <c r="P125" t="str">
        <f>"INV188471                     "</f>
        <v xml:space="preserve">INV188471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39.81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2.5</v>
      </c>
      <c r="BK125">
        <v>3</v>
      </c>
      <c r="BL125">
        <v>101.05</v>
      </c>
      <c r="BM125">
        <v>15.16</v>
      </c>
      <c r="BN125">
        <v>116.21</v>
      </c>
      <c r="BO125">
        <v>116.21</v>
      </c>
      <c r="BQ125" t="s">
        <v>595</v>
      </c>
      <c r="BR125" t="s">
        <v>83</v>
      </c>
      <c r="BS125" s="3">
        <v>44887</v>
      </c>
      <c r="BT125" s="4">
        <v>0.67847222222222225</v>
      </c>
      <c r="BU125" t="s">
        <v>596</v>
      </c>
      <c r="BV125" t="s">
        <v>89</v>
      </c>
      <c r="BW125" t="s">
        <v>157</v>
      </c>
      <c r="BX125" t="s">
        <v>158</v>
      </c>
      <c r="BY125">
        <v>12414.68</v>
      </c>
      <c r="BZ125" t="s">
        <v>86</v>
      </c>
      <c r="CA125" t="s">
        <v>159</v>
      </c>
      <c r="CC125" t="s">
        <v>154</v>
      </c>
      <c r="CD125">
        <v>7130</v>
      </c>
      <c r="CE125" t="s">
        <v>88</v>
      </c>
      <c r="CF125" s="3">
        <v>44888</v>
      </c>
      <c r="CI125">
        <v>1</v>
      </c>
      <c r="CJ125">
        <v>1</v>
      </c>
      <c r="CK125">
        <v>34</v>
      </c>
      <c r="CL125" t="s">
        <v>89</v>
      </c>
    </row>
    <row r="126" spans="1:90" ht="15" customHeight="1" x14ac:dyDescent="0.3">
      <c r="A126" t="s">
        <v>72</v>
      </c>
      <c r="B126" t="s">
        <v>73</v>
      </c>
      <c r="C126" t="s">
        <v>74</v>
      </c>
      <c r="E126" t="str">
        <f>"009943061736"</f>
        <v>009943061736</v>
      </c>
      <c r="F126" s="3">
        <v>44886</v>
      </c>
      <c r="G126">
        <v>202308</v>
      </c>
      <c r="H126" t="s">
        <v>75</v>
      </c>
      <c r="I126" t="s">
        <v>76</v>
      </c>
      <c r="J126" t="s">
        <v>77</v>
      </c>
      <c r="K126" t="s">
        <v>78</v>
      </c>
      <c r="L126" t="s">
        <v>337</v>
      </c>
      <c r="M126" t="s">
        <v>338</v>
      </c>
      <c r="N126" t="s">
        <v>597</v>
      </c>
      <c r="O126" t="s">
        <v>82</v>
      </c>
      <c r="P126" t="str">
        <f>"INV188457                     "</f>
        <v xml:space="preserve">INV188457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42.23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2.8</v>
      </c>
      <c r="BJ126">
        <v>12</v>
      </c>
      <c r="BK126">
        <v>12</v>
      </c>
      <c r="BL126">
        <v>112.45</v>
      </c>
      <c r="BM126">
        <v>16.87</v>
      </c>
      <c r="BN126">
        <v>129.32</v>
      </c>
      <c r="BO126">
        <v>129.32</v>
      </c>
      <c r="BQ126" t="s">
        <v>598</v>
      </c>
      <c r="BR126" t="s">
        <v>83</v>
      </c>
      <c r="BS126" s="3">
        <v>44887</v>
      </c>
      <c r="BT126" s="4">
        <v>0.59722222222222221</v>
      </c>
      <c r="BU126" t="s">
        <v>599</v>
      </c>
      <c r="BV126" t="s">
        <v>85</v>
      </c>
      <c r="BY126">
        <v>59840.34</v>
      </c>
      <c r="BZ126" t="s">
        <v>86</v>
      </c>
      <c r="CA126" t="s">
        <v>527</v>
      </c>
      <c r="CC126" t="s">
        <v>338</v>
      </c>
      <c r="CD126">
        <v>7600</v>
      </c>
      <c r="CE126" t="s">
        <v>88</v>
      </c>
      <c r="CF126" s="3">
        <v>44888</v>
      </c>
      <c r="CI126">
        <v>1</v>
      </c>
      <c r="CJ126">
        <v>1</v>
      </c>
      <c r="CK126">
        <v>42</v>
      </c>
      <c r="CL126" t="s">
        <v>89</v>
      </c>
    </row>
    <row r="127" spans="1:90" ht="15" customHeight="1" x14ac:dyDescent="0.3">
      <c r="A127" t="s">
        <v>72</v>
      </c>
      <c r="B127" t="s">
        <v>73</v>
      </c>
      <c r="C127" t="s">
        <v>74</v>
      </c>
      <c r="E127" t="str">
        <f>"009943061740"</f>
        <v>009943061740</v>
      </c>
      <c r="F127" s="3">
        <v>44886</v>
      </c>
      <c r="G127">
        <v>202308</v>
      </c>
      <c r="H127" t="s">
        <v>75</v>
      </c>
      <c r="I127" t="s">
        <v>76</v>
      </c>
      <c r="J127" t="s">
        <v>77</v>
      </c>
      <c r="K127" t="s">
        <v>78</v>
      </c>
      <c r="L127" t="s">
        <v>75</v>
      </c>
      <c r="M127" t="s">
        <v>76</v>
      </c>
      <c r="N127" t="s">
        <v>168</v>
      </c>
      <c r="O127" t="s">
        <v>376</v>
      </c>
      <c r="P127" t="str">
        <f>"INV188462                     "</f>
        <v xml:space="preserve">INV188462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22.11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1.7</v>
      </c>
      <c r="BK127">
        <v>2</v>
      </c>
      <c r="BL127">
        <v>56.13</v>
      </c>
      <c r="BM127">
        <v>8.42</v>
      </c>
      <c r="BN127">
        <v>64.55</v>
      </c>
      <c r="BO127">
        <v>64.55</v>
      </c>
      <c r="BQ127" t="s">
        <v>600</v>
      </c>
      <c r="BR127" t="s">
        <v>83</v>
      </c>
      <c r="BS127" s="3">
        <v>44888</v>
      </c>
      <c r="BT127" s="4">
        <v>0.47500000000000003</v>
      </c>
      <c r="BU127" t="s">
        <v>601</v>
      </c>
      <c r="BV127" t="s">
        <v>89</v>
      </c>
      <c r="BW127" t="s">
        <v>130</v>
      </c>
      <c r="BX127" t="s">
        <v>100</v>
      </c>
      <c r="BY127">
        <v>8517</v>
      </c>
      <c r="BZ127" t="s">
        <v>86</v>
      </c>
      <c r="CA127" t="s">
        <v>602</v>
      </c>
      <c r="CC127" t="s">
        <v>76</v>
      </c>
      <c r="CD127">
        <v>7700</v>
      </c>
      <c r="CE127" t="s">
        <v>88</v>
      </c>
      <c r="CF127" s="3">
        <v>44889</v>
      </c>
      <c r="CI127">
        <v>1</v>
      </c>
      <c r="CJ127">
        <v>2</v>
      </c>
      <c r="CK127">
        <v>32</v>
      </c>
      <c r="CL127" t="s">
        <v>89</v>
      </c>
    </row>
    <row r="128" spans="1:90" ht="15" customHeight="1" x14ac:dyDescent="0.3">
      <c r="A128" t="s">
        <v>72</v>
      </c>
      <c r="B128" t="s">
        <v>73</v>
      </c>
      <c r="C128" t="s">
        <v>74</v>
      </c>
      <c r="E128" t="str">
        <f>"009942899879"</f>
        <v>009942899879</v>
      </c>
      <c r="F128" s="3">
        <v>44886</v>
      </c>
      <c r="G128">
        <v>202308</v>
      </c>
      <c r="H128" t="s">
        <v>111</v>
      </c>
      <c r="I128" t="s">
        <v>112</v>
      </c>
      <c r="J128" t="s">
        <v>94</v>
      </c>
      <c r="K128" t="s">
        <v>78</v>
      </c>
      <c r="L128" t="s">
        <v>497</v>
      </c>
      <c r="M128" t="s">
        <v>497</v>
      </c>
      <c r="N128" t="s">
        <v>603</v>
      </c>
      <c r="O128" t="s">
        <v>96</v>
      </c>
      <c r="P128" t="str">
        <f>"C21802                        "</f>
        <v xml:space="preserve">C21802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54.83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0.4</v>
      </c>
      <c r="BK128">
        <v>0.5</v>
      </c>
      <c r="BL128">
        <v>139.19</v>
      </c>
      <c r="BM128">
        <v>20.88</v>
      </c>
      <c r="BN128">
        <v>160.07</v>
      </c>
      <c r="BO128">
        <v>160.07</v>
      </c>
      <c r="BQ128" t="s">
        <v>604</v>
      </c>
      <c r="BR128" t="s">
        <v>221</v>
      </c>
      <c r="BS128" s="3">
        <v>44887</v>
      </c>
      <c r="BT128" s="4">
        <v>0.49861111111111112</v>
      </c>
      <c r="BU128" t="s">
        <v>605</v>
      </c>
      <c r="BV128" t="s">
        <v>85</v>
      </c>
      <c r="BY128">
        <v>1785.89</v>
      </c>
      <c r="BZ128" t="s">
        <v>101</v>
      </c>
      <c r="CA128" t="s">
        <v>501</v>
      </c>
      <c r="CC128" t="s">
        <v>497</v>
      </c>
      <c r="CD128">
        <v>7646</v>
      </c>
      <c r="CE128" t="s">
        <v>88</v>
      </c>
      <c r="CF128" s="3">
        <v>44888</v>
      </c>
      <c r="CI128">
        <v>1</v>
      </c>
      <c r="CJ128">
        <v>1</v>
      </c>
      <c r="CK128">
        <v>23</v>
      </c>
      <c r="CL128" t="s">
        <v>89</v>
      </c>
    </row>
    <row r="129" spans="1:90" ht="15" customHeight="1" x14ac:dyDescent="0.3">
      <c r="A129" t="s">
        <v>72</v>
      </c>
      <c r="B129" t="s">
        <v>73</v>
      </c>
      <c r="C129" t="s">
        <v>74</v>
      </c>
      <c r="E129" t="str">
        <f>"009942899880"</f>
        <v>009942899880</v>
      </c>
      <c r="F129" s="3">
        <v>44886</v>
      </c>
      <c r="G129">
        <v>202308</v>
      </c>
      <c r="H129" t="s">
        <v>111</v>
      </c>
      <c r="I129" t="s">
        <v>112</v>
      </c>
      <c r="J129" t="s">
        <v>94</v>
      </c>
      <c r="K129" t="s">
        <v>78</v>
      </c>
      <c r="L129" t="s">
        <v>75</v>
      </c>
      <c r="M129" t="s">
        <v>76</v>
      </c>
      <c r="N129" t="s">
        <v>606</v>
      </c>
      <c r="O129" t="s">
        <v>96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28.3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0.7</v>
      </c>
      <c r="BJ129">
        <v>0.6</v>
      </c>
      <c r="BK129">
        <v>1</v>
      </c>
      <c r="BL129">
        <v>71.84</v>
      </c>
      <c r="BM129">
        <v>10.78</v>
      </c>
      <c r="BN129">
        <v>82.62</v>
      </c>
      <c r="BO129">
        <v>82.62</v>
      </c>
      <c r="BQ129" t="s">
        <v>607</v>
      </c>
      <c r="BR129" t="s">
        <v>221</v>
      </c>
      <c r="BS129" s="3">
        <v>44887</v>
      </c>
      <c r="BT129" s="4">
        <v>0.47430555555555554</v>
      </c>
      <c r="BU129" t="s">
        <v>608</v>
      </c>
      <c r="BV129" t="s">
        <v>89</v>
      </c>
      <c r="BW129" t="s">
        <v>99</v>
      </c>
      <c r="BX129" t="s">
        <v>100</v>
      </c>
      <c r="BY129">
        <v>3006.88</v>
      </c>
      <c r="BZ129" t="s">
        <v>101</v>
      </c>
      <c r="CA129" t="s">
        <v>609</v>
      </c>
      <c r="CC129" t="s">
        <v>76</v>
      </c>
      <c r="CD129">
        <v>7405</v>
      </c>
      <c r="CE129" t="s">
        <v>88</v>
      </c>
      <c r="CF129" s="3">
        <v>44888</v>
      </c>
      <c r="CI129">
        <v>1</v>
      </c>
      <c r="CJ129">
        <v>1</v>
      </c>
      <c r="CK129">
        <v>21</v>
      </c>
      <c r="CL129" t="s">
        <v>89</v>
      </c>
    </row>
    <row r="130" spans="1:90" ht="15" customHeight="1" x14ac:dyDescent="0.3">
      <c r="A130" t="s">
        <v>72</v>
      </c>
      <c r="B130" t="s">
        <v>73</v>
      </c>
      <c r="C130" t="s">
        <v>74</v>
      </c>
      <c r="E130" t="str">
        <f>"009942917369"</f>
        <v>009942917369</v>
      </c>
      <c r="F130" s="3">
        <v>44886</v>
      </c>
      <c r="G130">
        <v>202308</v>
      </c>
      <c r="H130" t="s">
        <v>111</v>
      </c>
      <c r="I130" t="s">
        <v>112</v>
      </c>
      <c r="J130" t="s">
        <v>94</v>
      </c>
      <c r="K130" t="s">
        <v>78</v>
      </c>
      <c r="L130" t="s">
        <v>75</v>
      </c>
      <c r="M130" t="s">
        <v>76</v>
      </c>
      <c r="N130" t="s">
        <v>610</v>
      </c>
      <c r="O130" t="s">
        <v>96</v>
      </c>
      <c r="P130" t="str">
        <f>"J000031507 31509              "</f>
        <v xml:space="preserve">J000031507 31509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113.17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6.3</v>
      </c>
      <c r="BJ130">
        <v>8</v>
      </c>
      <c r="BK130">
        <v>8</v>
      </c>
      <c r="BL130">
        <v>287.27</v>
      </c>
      <c r="BM130">
        <v>43.09</v>
      </c>
      <c r="BN130">
        <v>330.36</v>
      </c>
      <c r="BO130">
        <v>330.36</v>
      </c>
      <c r="BR130" t="s">
        <v>113</v>
      </c>
      <c r="BS130" s="3">
        <v>44887</v>
      </c>
      <c r="BT130" s="4">
        <v>0.4201388888888889</v>
      </c>
      <c r="BU130" t="s">
        <v>586</v>
      </c>
      <c r="BV130" t="s">
        <v>85</v>
      </c>
      <c r="BY130">
        <v>40240.720000000001</v>
      </c>
      <c r="BZ130" t="s">
        <v>101</v>
      </c>
      <c r="CA130" t="s">
        <v>342</v>
      </c>
      <c r="CC130" t="s">
        <v>76</v>
      </c>
      <c r="CD130">
        <v>7530</v>
      </c>
      <c r="CE130" t="s">
        <v>88</v>
      </c>
      <c r="CF130" s="3">
        <v>44888</v>
      </c>
      <c r="CI130">
        <v>1</v>
      </c>
      <c r="CJ130">
        <v>1</v>
      </c>
      <c r="CK130">
        <v>21</v>
      </c>
      <c r="CL130" t="s">
        <v>89</v>
      </c>
    </row>
    <row r="131" spans="1:90" ht="15" customHeight="1" x14ac:dyDescent="0.3">
      <c r="A131" t="s">
        <v>72</v>
      </c>
      <c r="B131" t="s">
        <v>73</v>
      </c>
      <c r="C131" t="s">
        <v>74</v>
      </c>
      <c r="E131" t="str">
        <f>"009942899878"</f>
        <v>009942899878</v>
      </c>
      <c r="F131" s="3">
        <v>44886</v>
      </c>
      <c r="G131">
        <v>202308</v>
      </c>
      <c r="H131" t="s">
        <v>111</v>
      </c>
      <c r="I131" t="s">
        <v>112</v>
      </c>
      <c r="J131" t="s">
        <v>94</v>
      </c>
      <c r="K131" t="s">
        <v>78</v>
      </c>
      <c r="L131" t="s">
        <v>200</v>
      </c>
      <c r="M131" t="s">
        <v>201</v>
      </c>
      <c r="N131" t="s">
        <v>611</v>
      </c>
      <c r="O131" t="s">
        <v>96</v>
      </c>
      <c r="P131" t="str">
        <f>"J29113                        "</f>
        <v xml:space="preserve">J29113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22.11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0.3</v>
      </c>
      <c r="BK131">
        <v>0.5</v>
      </c>
      <c r="BL131">
        <v>56.12</v>
      </c>
      <c r="BM131">
        <v>8.42</v>
      </c>
      <c r="BN131">
        <v>64.540000000000006</v>
      </c>
      <c r="BO131">
        <v>64.540000000000006</v>
      </c>
      <c r="BQ131" t="s">
        <v>612</v>
      </c>
      <c r="BR131" t="s">
        <v>221</v>
      </c>
      <c r="BS131" s="3">
        <v>44887</v>
      </c>
      <c r="BT131" s="4">
        <v>0.40069444444444446</v>
      </c>
      <c r="BU131" t="s">
        <v>613</v>
      </c>
      <c r="BV131" t="s">
        <v>85</v>
      </c>
      <c r="BY131">
        <v>1596.91</v>
      </c>
      <c r="BZ131" t="s">
        <v>101</v>
      </c>
      <c r="CA131" t="s">
        <v>207</v>
      </c>
      <c r="CC131" t="s">
        <v>201</v>
      </c>
      <c r="CD131">
        <v>1422</v>
      </c>
      <c r="CE131" t="s">
        <v>88</v>
      </c>
      <c r="CF131" s="3">
        <v>44887</v>
      </c>
      <c r="CI131">
        <v>1</v>
      </c>
      <c r="CJ131">
        <v>1</v>
      </c>
      <c r="CK131">
        <v>22</v>
      </c>
      <c r="CL131" t="s">
        <v>89</v>
      </c>
    </row>
    <row r="132" spans="1:90" ht="15" customHeight="1" x14ac:dyDescent="0.3">
      <c r="A132" t="s">
        <v>72</v>
      </c>
      <c r="B132" t="s">
        <v>73</v>
      </c>
      <c r="C132" t="s">
        <v>74</v>
      </c>
      <c r="E132" t="str">
        <f>"009942899881"</f>
        <v>009942899881</v>
      </c>
      <c r="F132" s="3">
        <v>44886</v>
      </c>
      <c r="G132">
        <v>202308</v>
      </c>
      <c r="H132" t="s">
        <v>111</v>
      </c>
      <c r="I132" t="s">
        <v>112</v>
      </c>
      <c r="J132" t="s">
        <v>94</v>
      </c>
      <c r="K132" t="s">
        <v>78</v>
      </c>
      <c r="L132" t="s">
        <v>79</v>
      </c>
      <c r="M132" t="s">
        <v>80</v>
      </c>
      <c r="N132" t="s">
        <v>614</v>
      </c>
      <c r="O132" t="s">
        <v>96</v>
      </c>
      <c r="P132" t="str">
        <f>"J29149                        "</f>
        <v xml:space="preserve">J29149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38.020000000000003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</v>
      </c>
      <c r="BJ132">
        <v>10.8</v>
      </c>
      <c r="BK132">
        <v>11</v>
      </c>
      <c r="BL132">
        <v>96.51</v>
      </c>
      <c r="BM132">
        <v>14.48</v>
      </c>
      <c r="BN132">
        <v>110.99</v>
      </c>
      <c r="BO132">
        <v>110.99</v>
      </c>
      <c r="BQ132" t="s">
        <v>615</v>
      </c>
      <c r="BR132" t="s">
        <v>221</v>
      </c>
      <c r="BS132" s="3">
        <v>44887</v>
      </c>
      <c r="BT132" s="4">
        <v>0.43055555555555558</v>
      </c>
      <c r="BU132" t="s">
        <v>616</v>
      </c>
      <c r="BV132" t="s">
        <v>85</v>
      </c>
      <c r="BY132">
        <v>54000</v>
      </c>
      <c r="BZ132" t="s">
        <v>101</v>
      </c>
      <c r="CA132" t="s">
        <v>296</v>
      </c>
      <c r="CC132" t="s">
        <v>80</v>
      </c>
      <c r="CD132">
        <v>2091</v>
      </c>
      <c r="CE132" t="s">
        <v>88</v>
      </c>
      <c r="CF132" s="3">
        <v>44888</v>
      </c>
      <c r="CI132">
        <v>1</v>
      </c>
      <c r="CJ132">
        <v>1</v>
      </c>
      <c r="CK132">
        <v>22</v>
      </c>
      <c r="CL132" t="s">
        <v>89</v>
      </c>
    </row>
    <row r="133" spans="1:90" ht="15" customHeight="1" x14ac:dyDescent="0.3">
      <c r="A133" t="s">
        <v>72</v>
      </c>
      <c r="B133" t="s">
        <v>73</v>
      </c>
      <c r="C133" t="s">
        <v>74</v>
      </c>
      <c r="E133" t="str">
        <f>"009942899882"</f>
        <v>009942899882</v>
      </c>
      <c r="F133" s="3">
        <v>44886</v>
      </c>
      <c r="G133">
        <v>202308</v>
      </c>
      <c r="H133" t="s">
        <v>111</v>
      </c>
      <c r="I133" t="s">
        <v>112</v>
      </c>
      <c r="J133" t="s">
        <v>94</v>
      </c>
      <c r="K133" t="s">
        <v>78</v>
      </c>
      <c r="L133" t="s">
        <v>194</v>
      </c>
      <c r="M133" t="s">
        <v>195</v>
      </c>
      <c r="N133" t="s">
        <v>617</v>
      </c>
      <c r="O133" t="s">
        <v>96</v>
      </c>
      <c r="P133" t="str">
        <f>"J28646                        "</f>
        <v xml:space="preserve">J28646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22.11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0.6</v>
      </c>
      <c r="BK133">
        <v>1</v>
      </c>
      <c r="BL133">
        <v>56.12</v>
      </c>
      <c r="BM133">
        <v>8.42</v>
      </c>
      <c r="BN133">
        <v>64.540000000000006</v>
      </c>
      <c r="BO133">
        <v>64.540000000000006</v>
      </c>
      <c r="BQ133" t="s">
        <v>618</v>
      </c>
      <c r="BR133" t="s">
        <v>221</v>
      </c>
      <c r="BS133" s="3">
        <v>44887</v>
      </c>
      <c r="BT133" s="4">
        <v>0.3888888888888889</v>
      </c>
      <c r="BU133" t="s">
        <v>619</v>
      </c>
      <c r="BV133" t="s">
        <v>85</v>
      </c>
      <c r="BY133">
        <v>3236.76</v>
      </c>
      <c r="BZ133" t="s">
        <v>101</v>
      </c>
      <c r="CA133" t="s">
        <v>285</v>
      </c>
      <c r="CC133" t="s">
        <v>195</v>
      </c>
      <c r="CD133">
        <v>1451</v>
      </c>
      <c r="CE133" t="s">
        <v>88</v>
      </c>
      <c r="CF133" s="3">
        <v>44888</v>
      </c>
      <c r="CI133">
        <v>1</v>
      </c>
      <c r="CJ133">
        <v>1</v>
      </c>
      <c r="CK133">
        <v>22</v>
      </c>
      <c r="CL133" t="s">
        <v>89</v>
      </c>
    </row>
    <row r="134" spans="1:90" ht="15" customHeight="1" x14ac:dyDescent="0.3">
      <c r="A134" t="s">
        <v>72</v>
      </c>
      <c r="B134" t="s">
        <v>73</v>
      </c>
      <c r="C134" t="s">
        <v>74</v>
      </c>
      <c r="E134" t="str">
        <f>"009942899883"</f>
        <v>009942899883</v>
      </c>
      <c r="F134" s="3">
        <v>44886</v>
      </c>
      <c r="G134">
        <v>202308</v>
      </c>
      <c r="H134" t="s">
        <v>111</v>
      </c>
      <c r="I134" t="s">
        <v>112</v>
      </c>
      <c r="J134" t="s">
        <v>94</v>
      </c>
      <c r="K134" t="s">
        <v>78</v>
      </c>
      <c r="L134" t="s">
        <v>373</v>
      </c>
      <c r="M134" t="s">
        <v>374</v>
      </c>
      <c r="N134" t="s">
        <v>620</v>
      </c>
      <c r="O134" t="s">
        <v>96</v>
      </c>
      <c r="P134" t="str">
        <f>"J28196                        "</f>
        <v xml:space="preserve">J28196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42.45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2.9</v>
      </c>
      <c r="BJ134">
        <v>2.1</v>
      </c>
      <c r="BK134">
        <v>3</v>
      </c>
      <c r="BL134">
        <v>107.75</v>
      </c>
      <c r="BM134">
        <v>16.16</v>
      </c>
      <c r="BN134">
        <v>123.91</v>
      </c>
      <c r="BO134">
        <v>123.91</v>
      </c>
      <c r="BQ134" t="s">
        <v>621</v>
      </c>
      <c r="BR134" t="s">
        <v>221</v>
      </c>
      <c r="BS134" s="3">
        <v>44887</v>
      </c>
      <c r="BT134" s="4">
        <v>0.4201388888888889</v>
      </c>
      <c r="BU134" t="s">
        <v>588</v>
      </c>
      <c r="BV134" t="s">
        <v>85</v>
      </c>
      <c r="BY134">
        <v>10271.17</v>
      </c>
      <c r="BZ134" t="s">
        <v>101</v>
      </c>
      <c r="CA134" t="s">
        <v>379</v>
      </c>
      <c r="CC134" t="s">
        <v>374</v>
      </c>
      <c r="CD134">
        <v>6536</v>
      </c>
      <c r="CE134" t="s">
        <v>88</v>
      </c>
      <c r="CF134" s="3">
        <v>44888</v>
      </c>
      <c r="CI134">
        <v>1</v>
      </c>
      <c r="CJ134">
        <v>1</v>
      </c>
      <c r="CK134">
        <v>21</v>
      </c>
      <c r="CL134" t="s">
        <v>89</v>
      </c>
    </row>
    <row r="135" spans="1:90" ht="15" customHeight="1" x14ac:dyDescent="0.3">
      <c r="A135" t="s">
        <v>72</v>
      </c>
      <c r="B135" t="s">
        <v>73</v>
      </c>
      <c r="C135" t="s">
        <v>74</v>
      </c>
      <c r="E135" t="str">
        <f>"009942837117"</f>
        <v>009942837117</v>
      </c>
      <c r="F135" s="3">
        <v>44887</v>
      </c>
      <c r="G135">
        <v>202308</v>
      </c>
      <c r="H135" t="s">
        <v>117</v>
      </c>
      <c r="I135" t="s">
        <v>118</v>
      </c>
      <c r="J135" t="s">
        <v>94</v>
      </c>
      <c r="K135" t="s">
        <v>78</v>
      </c>
      <c r="L135" t="s">
        <v>108</v>
      </c>
      <c r="M135" t="s">
        <v>109</v>
      </c>
      <c r="N135" t="s">
        <v>94</v>
      </c>
      <c r="O135" t="s">
        <v>96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28.3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71.84</v>
      </c>
      <c r="BM135">
        <v>10.78</v>
      </c>
      <c r="BN135">
        <v>82.62</v>
      </c>
      <c r="BO135">
        <v>82.62</v>
      </c>
      <c r="BR135" t="s">
        <v>622</v>
      </c>
      <c r="BS135" s="3">
        <v>44890</v>
      </c>
      <c r="BT135" s="4">
        <v>0.3520833333333333</v>
      </c>
      <c r="BU135" t="s">
        <v>623</v>
      </c>
      <c r="BV135" t="s">
        <v>89</v>
      </c>
      <c r="BW135" t="s">
        <v>157</v>
      </c>
      <c r="BX135" t="s">
        <v>624</v>
      </c>
      <c r="BY135">
        <v>5850</v>
      </c>
      <c r="BZ135" t="s">
        <v>101</v>
      </c>
      <c r="CA135" t="s">
        <v>625</v>
      </c>
      <c r="CC135" t="s">
        <v>109</v>
      </c>
      <c r="CD135">
        <v>6000</v>
      </c>
      <c r="CE135" t="s">
        <v>88</v>
      </c>
      <c r="CF135" s="3">
        <v>44890</v>
      </c>
      <c r="CI135">
        <v>1</v>
      </c>
      <c r="CJ135">
        <v>3</v>
      </c>
      <c r="CK135">
        <v>21</v>
      </c>
      <c r="CL135" t="s">
        <v>89</v>
      </c>
    </row>
    <row r="136" spans="1:90" ht="15" customHeight="1" x14ac:dyDescent="0.3">
      <c r="A136" t="s">
        <v>72</v>
      </c>
      <c r="B136" t="s">
        <v>73</v>
      </c>
      <c r="C136" t="s">
        <v>74</v>
      </c>
      <c r="E136" t="str">
        <f>"009942701343"</f>
        <v>009942701343</v>
      </c>
      <c r="F136" s="3">
        <v>44887</v>
      </c>
      <c r="G136">
        <v>202308</v>
      </c>
      <c r="H136" t="s">
        <v>108</v>
      </c>
      <c r="I136" t="s">
        <v>109</v>
      </c>
      <c r="J136" t="s">
        <v>110</v>
      </c>
      <c r="K136" t="s">
        <v>78</v>
      </c>
      <c r="L136" t="s">
        <v>75</v>
      </c>
      <c r="M136" t="s">
        <v>76</v>
      </c>
      <c r="N136" t="s">
        <v>584</v>
      </c>
      <c r="O136" t="s">
        <v>96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28.3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71.84</v>
      </c>
      <c r="BM136">
        <v>10.78</v>
      </c>
      <c r="BN136">
        <v>82.62</v>
      </c>
      <c r="BO136">
        <v>82.62</v>
      </c>
      <c r="BQ136" t="s">
        <v>585</v>
      </c>
      <c r="BR136" t="s">
        <v>114</v>
      </c>
      <c r="BS136" s="3">
        <v>44888</v>
      </c>
      <c r="BT136" s="4">
        <v>0.43055555555555558</v>
      </c>
      <c r="BU136" t="s">
        <v>626</v>
      </c>
      <c r="BV136" t="s">
        <v>85</v>
      </c>
      <c r="BY136">
        <v>1200</v>
      </c>
      <c r="BZ136" t="s">
        <v>101</v>
      </c>
      <c r="CA136" t="s">
        <v>627</v>
      </c>
      <c r="CC136" t="s">
        <v>76</v>
      </c>
      <c r="CD136">
        <v>7530</v>
      </c>
      <c r="CE136" t="s">
        <v>88</v>
      </c>
      <c r="CF136" s="3">
        <v>44889</v>
      </c>
      <c r="CI136">
        <v>1</v>
      </c>
      <c r="CJ136">
        <v>1</v>
      </c>
      <c r="CK136">
        <v>21</v>
      </c>
      <c r="CL136" t="s">
        <v>89</v>
      </c>
    </row>
    <row r="137" spans="1:90" ht="15" customHeight="1" x14ac:dyDescent="0.3">
      <c r="A137" t="s">
        <v>72</v>
      </c>
      <c r="B137" t="s">
        <v>73</v>
      </c>
      <c r="C137" t="s">
        <v>74</v>
      </c>
      <c r="E137" t="str">
        <f>"009942701267"</f>
        <v>009942701267</v>
      </c>
      <c r="F137" s="3">
        <v>44887</v>
      </c>
      <c r="G137">
        <v>202308</v>
      </c>
      <c r="H137" t="s">
        <v>108</v>
      </c>
      <c r="I137" t="s">
        <v>109</v>
      </c>
      <c r="J137" t="s">
        <v>110</v>
      </c>
      <c r="K137" t="s">
        <v>78</v>
      </c>
      <c r="L137" t="s">
        <v>111</v>
      </c>
      <c r="M137" t="s">
        <v>112</v>
      </c>
      <c r="N137" t="s">
        <v>94</v>
      </c>
      <c r="O137" t="s">
        <v>96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28.3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71.84</v>
      </c>
      <c r="BM137">
        <v>10.78</v>
      </c>
      <c r="BN137">
        <v>82.62</v>
      </c>
      <c r="BO137">
        <v>82.62</v>
      </c>
      <c r="BQ137" t="s">
        <v>113</v>
      </c>
      <c r="BR137" t="s">
        <v>114</v>
      </c>
      <c r="BS137" s="3">
        <v>44888</v>
      </c>
      <c r="BT137" s="4">
        <v>0.35000000000000003</v>
      </c>
      <c r="BU137" t="s">
        <v>115</v>
      </c>
      <c r="BV137" t="s">
        <v>85</v>
      </c>
      <c r="BY137">
        <v>1200</v>
      </c>
      <c r="BZ137" t="s">
        <v>101</v>
      </c>
      <c r="CA137" t="s">
        <v>116</v>
      </c>
      <c r="CC137" t="s">
        <v>112</v>
      </c>
      <c r="CD137">
        <v>1620</v>
      </c>
      <c r="CE137" t="s">
        <v>88</v>
      </c>
      <c r="CF137" s="3">
        <v>44889</v>
      </c>
      <c r="CI137">
        <v>1</v>
      </c>
      <c r="CJ137">
        <v>1</v>
      </c>
      <c r="CK137">
        <v>21</v>
      </c>
      <c r="CL137" t="s">
        <v>89</v>
      </c>
    </row>
    <row r="138" spans="1:90" ht="15" customHeight="1" x14ac:dyDescent="0.3">
      <c r="A138" t="s">
        <v>72</v>
      </c>
      <c r="B138" t="s">
        <v>73</v>
      </c>
      <c r="C138" t="s">
        <v>74</v>
      </c>
      <c r="E138" t="str">
        <f>"009943061744"</f>
        <v>009943061744</v>
      </c>
      <c r="F138" s="3">
        <v>44887</v>
      </c>
      <c r="G138">
        <v>202308</v>
      </c>
      <c r="H138" t="s">
        <v>75</v>
      </c>
      <c r="I138" t="s">
        <v>76</v>
      </c>
      <c r="J138" t="s">
        <v>77</v>
      </c>
      <c r="K138" t="s">
        <v>78</v>
      </c>
      <c r="L138" t="s">
        <v>75</v>
      </c>
      <c r="M138" t="s">
        <v>76</v>
      </c>
      <c r="N138" t="s">
        <v>168</v>
      </c>
      <c r="O138" t="s">
        <v>96</v>
      </c>
      <c r="P138" t="str">
        <f>"INV188489                     "</f>
        <v xml:space="preserve">INV188489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22.11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0.1</v>
      </c>
      <c r="BJ138">
        <v>0.7</v>
      </c>
      <c r="BK138">
        <v>1</v>
      </c>
      <c r="BL138">
        <v>56.12</v>
      </c>
      <c r="BM138">
        <v>8.42</v>
      </c>
      <c r="BN138">
        <v>64.540000000000006</v>
      </c>
      <c r="BO138">
        <v>64.540000000000006</v>
      </c>
      <c r="BQ138" t="s">
        <v>628</v>
      </c>
      <c r="BR138" t="s">
        <v>83</v>
      </c>
      <c r="BS138" s="3">
        <v>44888</v>
      </c>
      <c r="BT138" s="4">
        <v>0.60416666666666663</v>
      </c>
      <c r="BU138" t="s">
        <v>629</v>
      </c>
      <c r="BV138" t="s">
        <v>89</v>
      </c>
      <c r="BW138" t="s">
        <v>157</v>
      </c>
      <c r="BX138" t="s">
        <v>630</v>
      </c>
      <c r="BY138">
        <v>3648.65</v>
      </c>
      <c r="BZ138" t="s">
        <v>101</v>
      </c>
      <c r="CA138" t="s">
        <v>631</v>
      </c>
      <c r="CC138" t="s">
        <v>76</v>
      </c>
      <c r="CD138">
        <v>8000</v>
      </c>
      <c r="CE138" t="s">
        <v>88</v>
      </c>
      <c r="CF138" s="3">
        <v>44889</v>
      </c>
      <c r="CI138">
        <v>1</v>
      </c>
      <c r="CJ138">
        <v>1</v>
      </c>
      <c r="CK138">
        <v>22</v>
      </c>
      <c r="CL138" t="s">
        <v>89</v>
      </c>
    </row>
    <row r="139" spans="1:90" ht="15" customHeight="1" x14ac:dyDescent="0.3">
      <c r="A139" t="s">
        <v>72</v>
      </c>
      <c r="B139" t="s">
        <v>73</v>
      </c>
      <c r="C139" t="s">
        <v>74</v>
      </c>
      <c r="E139" t="str">
        <f>"009942899870"</f>
        <v>009942899870</v>
      </c>
      <c r="F139" s="3">
        <v>44887</v>
      </c>
      <c r="G139">
        <v>202308</v>
      </c>
      <c r="H139" t="s">
        <v>111</v>
      </c>
      <c r="I139" t="s">
        <v>112</v>
      </c>
      <c r="J139" t="s">
        <v>94</v>
      </c>
      <c r="K139" t="s">
        <v>78</v>
      </c>
      <c r="L139" t="s">
        <v>185</v>
      </c>
      <c r="M139" t="s">
        <v>186</v>
      </c>
      <c r="N139" t="s">
        <v>632</v>
      </c>
      <c r="O139" t="s">
        <v>96</v>
      </c>
      <c r="P139" t="str">
        <f>"J728421                       "</f>
        <v xml:space="preserve">J728421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54.83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0.4</v>
      </c>
      <c r="BK139">
        <v>0.5</v>
      </c>
      <c r="BL139">
        <v>139.19</v>
      </c>
      <c r="BM139">
        <v>20.88</v>
      </c>
      <c r="BN139">
        <v>160.07</v>
      </c>
      <c r="BO139">
        <v>160.07</v>
      </c>
      <c r="BQ139" t="s">
        <v>633</v>
      </c>
      <c r="BR139" t="s">
        <v>113</v>
      </c>
      <c r="BS139" s="3">
        <v>44888</v>
      </c>
      <c r="BT139" s="4">
        <v>0.4375</v>
      </c>
      <c r="BU139" t="s">
        <v>634</v>
      </c>
      <c r="BV139" t="s">
        <v>85</v>
      </c>
      <c r="BY139">
        <v>1784.62</v>
      </c>
      <c r="BZ139" t="s">
        <v>101</v>
      </c>
      <c r="CA139" t="s">
        <v>631</v>
      </c>
      <c r="CC139" t="s">
        <v>186</v>
      </c>
      <c r="CD139">
        <v>250</v>
      </c>
      <c r="CE139" t="s">
        <v>88</v>
      </c>
      <c r="CF139" s="3">
        <v>44888</v>
      </c>
      <c r="CI139">
        <v>1</v>
      </c>
      <c r="CJ139">
        <v>1</v>
      </c>
      <c r="CK139">
        <v>23</v>
      </c>
      <c r="CL139" t="s">
        <v>89</v>
      </c>
    </row>
    <row r="140" spans="1:90" ht="15" customHeight="1" x14ac:dyDescent="0.3">
      <c r="A140" t="s">
        <v>72</v>
      </c>
      <c r="B140" t="s">
        <v>73</v>
      </c>
      <c r="C140" t="s">
        <v>74</v>
      </c>
      <c r="E140" t="str">
        <f>"009942899868"</f>
        <v>009942899868</v>
      </c>
      <c r="F140" s="3">
        <v>44887</v>
      </c>
      <c r="G140">
        <v>202308</v>
      </c>
      <c r="H140" t="s">
        <v>111</v>
      </c>
      <c r="I140" t="s">
        <v>112</v>
      </c>
      <c r="J140" t="s">
        <v>94</v>
      </c>
      <c r="K140" t="s">
        <v>78</v>
      </c>
      <c r="L140" t="s">
        <v>200</v>
      </c>
      <c r="M140" t="s">
        <v>201</v>
      </c>
      <c r="N140" t="s">
        <v>611</v>
      </c>
      <c r="O140" t="s">
        <v>96</v>
      </c>
      <c r="P140" t="str">
        <f>"J29238                        "</f>
        <v xml:space="preserve">J29238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22.11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6.5</v>
      </c>
      <c r="BJ140">
        <v>6.1</v>
      </c>
      <c r="BK140">
        <v>6.5</v>
      </c>
      <c r="BL140">
        <v>56.12</v>
      </c>
      <c r="BM140">
        <v>8.42</v>
      </c>
      <c r="BN140">
        <v>64.540000000000006</v>
      </c>
      <c r="BO140">
        <v>64.540000000000006</v>
      </c>
      <c r="BQ140" t="s">
        <v>612</v>
      </c>
      <c r="BR140" t="s">
        <v>113</v>
      </c>
      <c r="BS140" s="3">
        <v>44889</v>
      </c>
      <c r="BT140" s="4">
        <v>0.36527777777777781</v>
      </c>
      <c r="BU140" t="s">
        <v>635</v>
      </c>
      <c r="BV140" t="s">
        <v>89</v>
      </c>
      <c r="BW140" t="s">
        <v>205</v>
      </c>
      <c r="BX140" t="s">
        <v>206</v>
      </c>
      <c r="BY140">
        <v>30561.53</v>
      </c>
      <c r="BZ140" t="s">
        <v>101</v>
      </c>
      <c r="CA140" t="s">
        <v>207</v>
      </c>
      <c r="CC140" t="s">
        <v>201</v>
      </c>
      <c r="CD140">
        <v>1422</v>
      </c>
      <c r="CE140" t="s">
        <v>88</v>
      </c>
      <c r="CI140">
        <v>1</v>
      </c>
      <c r="CJ140">
        <v>2</v>
      </c>
      <c r="CK140">
        <v>22</v>
      </c>
      <c r="CL140" t="s">
        <v>89</v>
      </c>
    </row>
    <row r="141" spans="1:90" ht="15" customHeight="1" x14ac:dyDescent="0.3">
      <c r="A141" t="s">
        <v>72</v>
      </c>
      <c r="B141" t="s">
        <v>73</v>
      </c>
      <c r="C141" t="s">
        <v>74</v>
      </c>
      <c r="E141" t="str">
        <f>"009942899874"</f>
        <v>009942899874</v>
      </c>
      <c r="F141" s="3">
        <v>44887</v>
      </c>
      <c r="G141">
        <v>202308</v>
      </c>
      <c r="H141" t="s">
        <v>111</v>
      </c>
      <c r="I141" t="s">
        <v>112</v>
      </c>
      <c r="J141" t="s">
        <v>94</v>
      </c>
      <c r="K141" t="s">
        <v>78</v>
      </c>
      <c r="L141" t="s">
        <v>246</v>
      </c>
      <c r="M141" t="s">
        <v>247</v>
      </c>
      <c r="N141" t="s">
        <v>266</v>
      </c>
      <c r="O141" t="s">
        <v>96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22.11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1.8</v>
      </c>
      <c r="BJ141">
        <v>0.6</v>
      </c>
      <c r="BK141">
        <v>2</v>
      </c>
      <c r="BL141">
        <v>56.12</v>
      </c>
      <c r="BM141">
        <v>8.42</v>
      </c>
      <c r="BN141">
        <v>64.540000000000006</v>
      </c>
      <c r="BO141">
        <v>64.540000000000006</v>
      </c>
      <c r="BQ141" t="s">
        <v>636</v>
      </c>
      <c r="BR141" t="s">
        <v>113</v>
      </c>
      <c r="BS141" s="3">
        <v>44888</v>
      </c>
      <c r="BT141" s="4">
        <v>0.42499999999999999</v>
      </c>
      <c r="BU141" t="s">
        <v>637</v>
      </c>
      <c r="BV141" t="s">
        <v>85</v>
      </c>
      <c r="BY141">
        <v>2882.67</v>
      </c>
      <c r="BZ141" t="s">
        <v>101</v>
      </c>
      <c r="CA141" t="s">
        <v>638</v>
      </c>
      <c r="CC141" t="s">
        <v>247</v>
      </c>
      <c r="CD141">
        <v>1559</v>
      </c>
      <c r="CE141" t="s">
        <v>88</v>
      </c>
      <c r="CF141" s="3">
        <v>44888</v>
      </c>
      <c r="CI141">
        <v>1</v>
      </c>
      <c r="CJ141">
        <v>1</v>
      </c>
      <c r="CK141">
        <v>22</v>
      </c>
      <c r="CL141" t="s">
        <v>89</v>
      </c>
    </row>
    <row r="142" spans="1:90" ht="15" customHeight="1" x14ac:dyDescent="0.3">
      <c r="A142" t="s">
        <v>72</v>
      </c>
      <c r="B142" t="s">
        <v>73</v>
      </c>
      <c r="C142" t="s">
        <v>74</v>
      </c>
      <c r="E142" t="str">
        <f>"009942899877"</f>
        <v>009942899877</v>
      </c>
      <c r="F142" s="3">
        <v>44887</v>
      </c>
      <c r="G142">
        <v>202308</v>
      </c>
      <c r="H142" t="s">
        <v>111</v>
      </c>
      <c r="I142" t="s">
        <v>112</v>
      </c>
      <c r="J142" t="s">
        <v>94</v>
      </c>
      <c r="K142" t="s">
        <v>78</v>
      </c>
      <c r="L142" t="s">
        <v>396</v>
      </c>
      <c r="M142" t="s">
        <v>397</v>
      </c>
      <c r="N142" t="s">
        <v>639</v>
      </c>
      <c r="O142" t="s">
        <v>96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22.11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0.6</v>
      </c>
      <c r="BK142">
        <v>1</v>
      </c>
      <c r="BL142">
        <v>56.12</v>
      </c>
      <c r="BM142">
        <v>8.42</v>
      </c>
      <c r="BN142">
        <v>64.540000000000006</v>
      </c>
      <c r="BO142">
        <v>64.540000000000006</v>
      </c>
      <c r="BQ142" t="s">
        <v>640</v>
      </c>
      <c r="BR142" t="s">
        <v>113</v>
      </c>
      <c r="BS142" s="3">
        <v>44888</v>
      </c>
      <c r="BT142" s="4">
        <v>0.67291666666666661</v>
      </c>
      <c r="BU142" t="s">
        <v>641</v>
      </c>
      <c r="BV142" t="s">
        <v>89</v>
      </c>
      <c r="BW142" t="s">
        <v>99</v>
      </c>
      <c r="BX142" t="s">
        <v>223</v>
      </c>
      <c r="BY142">
        <v>3075.81</v>
      </c>
      <c r="BZ142" t="s">
        <v>101</v>
      </c>
      <c r="CA142" t="s">
        <v>642</v>
      </c>
      <c r="CC142" t="s">
        <v>397</v>
      </c>
      <c r="CD142">
        <v>1735</v>
      </c>
      <c r="CE142" t="s">
        <v>88</v>
      </c>
      <c r="CF142" s="3">
        <v>44889</v>
      </c>
      <c r="CI142">
        <v>1</v>
      </c>
      <c r="CJ142">
        <v>1</v>
      </c>
      <c r="CK142">
        <v>22</v>
      </c>
      <c r="CL142" t="s">
        <v>89</v>
      </c>
    </row>
    <row r="143" spans="1:90" ht="15" customHeight="1" x14ac:dyDescent="0.3">
      <c r="A143" t="s">
        <v>72</v>
      </c>
      <c r="B143" t="s">
        <v>73</v>
      </c>
      <c r="C143" t="s">
        <v>74</v>
      </c>
      <c r="E143" t="str">
        <f>"009942899873"</f>
        <v>009942899873</v>
      </c>
      <c r="F143" s="3">
        <v>44887</v>
      </c>
      <c r="G143">
        <v>202308</v>
      </c>
      <c r="H143" t="s">
        <v>111</v>
      </c>
      <c r="I143" t="s">
        <v>112</v>
      </c>
      <c r="J143" t="s">
        <v>94</v>
      </c>
      <c r="K143" t="s">
        <v>78</v>
      </c>
      <c r="L143" t="s">
        <v>380</v>
      </c>
      <c r="M143" t="s">
        <v>381</v>
      </c>
      <c r="N143" t="s">
        <v>643</v>
      </c>
      <c r="O143" t="s">
        <v>96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68.88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3.1</v>
      </c>
      <c r="BJ143">
        <v>0.6</v>
      </c>
      <c r="BK143">
        <v>3.5</v>
      </c>
      <c r="BL143">
        <v>174.85</v>
      </c>
      <c r="BM143">
        <v>26.23</v>
      </c>
      <c r="BN143">
        <v>201.08</v>
      </c>
      <c r="BO143">
        <v>201.08</v>
      </c>
      <c r="BQ143" t="s">
        <v>644</v>
      </c>
      <c r="BR143" t="s">
        <v>113</v>
      </c>
      <c r="BS143" s="3">
        <v>44888</v>
      </c>
      <c r="BT143" s="4">
        <v>0.38194444444444442</v>
      </c>
      <c r="BU143" t="s">
        <v>645</v>
      </c>
      <c r="BV143" t="s">
        <v>85</v>
      </c>
      <c r="BY143">
        <v>2997</v>
      </c>
      <c r="BZ143" t="s">
        <v>101</v>
      </c>
      <c r="CC143" t="s">
        <v>381</v>
      </c>
      <c r="CD143">
        <v>1441</v>
      </c>
      <c r="CE143" t="s">
        <v>88</v>
      </c>
      <c r="CF143" s="3">
        <v>44888</v>
      </c>
      <c r="CI143">
        <v>1</v>
      </c>
      <c r="CJ143">
        <v>1</v>
      </c>
      <c r="CK143">
        <v>24</v>
      </c>
      <c r="CL143" t="s">
        <v>89</v>
      </c>
    </row>
    <row r="144" spans="1:90" ht="15" customHeight="1" x14ac:dyDescent="0.3">
      <c r="A144" t="s">
        <v>72</v>
      </c>
      <c r="B144" t="s">
        <v>73</v>
      </c>
      <c r="C144" t="s">
        <v>74</v>
      </c>
      <c r="E144" t="str">
        <f>"009942899866"</f>
        <v>009942899866</v>
      </c>
      <c r="F144" s="3">
        <v>44887</v>
      </c>
      <c r="G144">
        <v>202308</v>
      </c>
      <c r="H144" t="s">
        <v>111</v>
      </c>
      <c r="I144" t="s">
        <v>112</v>
      </c>
      <c r="J144" t="s">
        <v>94</v>
      </c>
      <c r="K144" t="s">
        <v>78</v>
      </c>
      <c r="L144" t="s">
        <v>111</v>
      </c>
      <c r="M144" t="s">
        <v>112</v>
      </c>
      <c r="N144" t="s">
        <v>646</v>
      </c>
      <c r="O144" t="s">
        <v>96</v>
      </c>
      <c r="P144" t="str">
        <f>"J29099                        "</f>
        <v xml:space="preserve">J29099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22.11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2.2999999999999998</v>
      </c>
      <c r="BJ144">
        <v>3.3</v>
      </c>
      <c r="BK144">
        <v>3.5</v>
      </c>
      <c r="BL144">
        <v>56.12</v>
      </c>
      <c r="BM144">
        <v>8.42</v>
      </c>
      <c r="BN144">
        <v>64.540000000000006</v>
      </c>
      <c r="BO144">
        <v>64.540000000000006</v>
      </c>
      <c r="BR144" t="s">
        <v>113</v>
      </c>
      <c r="BS144" s="3">
        <v>44888</v>
      </c>
      <c r="BT144" s="4">
        <v>0.3576388888888889</v>
      </c>
      <c r="BU144" t="s">
        <v>647</v>
      </c>
      <c r="BV144" t="s">
        <v>85</v>
      </c>
      <c r="BY144">
        <v>16381.95</v>
      </c>
      <c r="BZ144" t="s">
        <v>101</v>
      </c>
      <c r="CA144" t="s">
        <v>391</v>
      </c>
      <c r="CC144" t="s">
        <v>112</v>
      </c>
      <c r="CD144">
        <v>1614</v>
      </c>
      <c r="CE144" t="s">
        <v>88</v>
      </c>
      <c r="CF144" s="3">
        <v>44889</v>
      </c>
      <c r="CI144">
        <v>1</v>
      </c>
      <c r="CJ144">
        <v>1</v>
      </c>
      <c r="CK144">
        <v>22</v>
      </c>
      <c r="CL144" t="s">
        <v>89</v>
      </c>
    </row>
    <row r="145" spans="1:90" ht="15" customHeight="1" x14ac:dyDescent="0.3">
      <c r="A145" t="s">
        <v>72</v>
      </c>
      <c r="B145" t="s">
        <v>73</v>
      </c>
      <c r="C145" t="s">
        <v>74</v>
      </c>
      <c r="E145" t="str">
        <f>"009942899876"</f>
        <v>009942899876</v>
      </c>
      <c r="F145" s="3">
        <v>44887</v>
      </c>
      <c r="G145">
        <v>202308</v>
      </c>
      <c r="H145" t="s">
        <v>111</v>
      </c>
      <c r="I145" t="s">
        <v>112</v>
      </c>
      <c r="J145" t="s">
        <v>94</v>
      </c>
      <c r="K145" t="s">
        <v>78</v>
      </c>
      <c r="L145" t="s">
        <v>111</v>
      </c>
      <c r="M145" t="s">
        <v>112</v>
      </c>
      <c r="N145" t="s">
        <v>648</v>
      </c>
      <c r="O145" t="s">
        <v>96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22.11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0.7</v>
      </c>
      <c r="BJ145">
        <v>2.1</v>
      </c>
      <c r="BK145">
        <v>2.5</v>
      </c>
      <c r="BL145">
        <v>56.12</v>
      </c>
      <c r="BM145">
        <v>8.42</v>
      </c>
      <c r="BN145">
        <v>64.540000000000006</v>
      </c>
      <c r="BO145">
        <v>64.540000000000006</v>
      </c>
      <c r="BQ145" t="s">
        <v>649</v>
      </c>
      <c r="BR145" t="s">
        <v>113</v>
      </c>
      <c r="BS145" s="3">
        <v>44890</v>
      </c>
      <c r="BT145" s="4">
        <v>0.37222222222222223</v>
      </c>
      <c r="BU145" t="s">
        <v>650</v>
      </c>
      <c r="BV145" t="s">
        <v>89</v>
      </c>
      <c r="BW145" t="s">
        <v>205</v>
      </c>
      <c r="BX145" t="s">
        <v>206</v>
      </c>
      <c r="BY145">
        <v>10332.629999999999</v>
      </c>
      <c r="BZ145" t="s">
        <v>101</v>
      </c>
      <c r="CA145" t="s">
        <v>372</v>
      </c>
      <c r="CC145" t="s">
        <v>112</v>
      </c>
      <c r="CD145">
        <v>1609</v>
      </c>
      <c r="CE145" t="s">
        <v>88</v>
      </c>
      <c r="CF145" s="3">
        <v>44891</v>
      </c>
      <c r="CI145">
        <v>1</v>
      </c>
      <c r="CJ145">
        <v>3</v>
      </c>
      <c r="CK145">
        <v>22</v>
      </c>
      <c r="CL145" t="s">
        <v>89</v>
      </c>
    </row>
    <row r="146" spans="1:90" ht="15" customHeight="1" x14ac:dyDescent="0.3">
      <c r="A146" t="s">
        <v>72</v>
      </c>
      <c r="B146" t="s">
        <v>73</v>
      </c>
      <c r="C146" t="s">
        <v>74</v>
      </c>
      <c r="E146" t="str">
        <f>"009942899867"</f>
        <v>009942899867</v>
      </c>
      <c r="F146" s="3">
        <v>44887</v>
      </c>
      <c r="G146">
        <v>202308</v>
      </c>
      <c r="H146" t="s">
        <v>111</v>
      </c>
      <c r="I146" t="s">
        <v>112</v>
      </c>
      <c r="J146" t="s">
        <v>94</v>
      </c>
      <c r="K146" t="s">
        <v>78</v>
      </c>
      <c r="L146" t="s">
        <v>651</v>
      </c>
      <c r="M146" t="s">
        <v>652</v>
      </c>
      <c r="N146" t="s">
        <v>653</v>
      </c>
      <c r="O146" t="s">
        <v>96</v>
      </c>
      <c r="P146" t="str">
        <f>"J28425                        "</f>
        <v xml:space="preserve">J28425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54.83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1.3</v>
      </c>
      <c r="BJ146">
        <v>0.9</v>
      </c>
      <c r="BK146">
        <v>1.5</v>
      </c>
      <c r="BL146">
        <v>139.19</v>
      </c>
      <c r="BM146">
        <v>20.88</v>
      </c>
      <c r="BN146">
        <v>160.07</v>
      </c>
      <c r="BO146">
        <v>160.07</v>
      </c>
      <c r="BQ146" t="s">
        <v>654</v>
      </c>
      <c r="BR146" t="s">
        <v>113</v>
      </c>
      <c r="BS146" s="3">
        <v>44888</v>
      </c>
      <c r="BT146" s="4">
        <v>0.51388888888888895</v>
      </c>
      <c r="BU146" t="s">
        <v>655</v>
      </c>
      <c r="BV146" t="s">
        <v>85</v>
      </c>
      <c r="BY146">
        <v>4612.2700000000004</v>
      </c>
      <c r="BZ146" t="s">
        <v>101</v>
      </c>
      <c r="CA146" t="s">
        <v>656</v>
      </c>
      <c r="CC146" t="s">
        <v>652</v>
      </c>
      <c r="CD146">
        <v>1209</v>
      </c>
      <c r="CE146" t="s">
        <v>88</v>
      </c>
      <c r="CF146" s="3">
        <v>44888</v>
      </c>
      <c r="CI146">
        <v>1</v>
      </c>
      <c r="CJ146">
        <v>1</v>
      </c>
      <c r="CK146">
        <v>23</v>
      </c>
      <c r="CL146" t="s">
        <v>89</v>
      </c>
    </row>
    <row r="147" spans="1:90" ht="15" customHeight="1" x14ac:dyDescent="0.3">
      <c r="A147" t="s">
        <v>72</v>
      </c>
      <c r="B147" t="s">
        <v>73</v>
      </c>
      <c r="C147" t="s">
        <v>74</v>
      </c>
      <c r="E147" t="str">
        <f>"009942687467"</f>
        <v>009942687467</v>
      </c>
      <c r="F147" s="3">
        <v>44887</v>
      </c>
      <c r="G147">
        <v>202308</v>
      </c>
      <c r="H147" t="s">
        <v>217</v>
      </c>
      <c r="I147" t="s">
        <v>218</v>
      </c>
      <c r="J147" t="s">
        <v>657</v>
      </c>
      <c r="K147" t="s">
        <v>78</v>
      </c>
      <c r="L147" t="s">
        <v>75</v>
      </c>
      <c r="M147" t="s">
        <v>76</v>
      </c>
      <c r="N147" t="s">
        <v>77</v>
      </c>
      <c r="O147" t="s">
        <v>82</v>
      </c>
      <c r="P147" t="str">
        <f>"JNX2904832298                 "</f>
        <v xml:space="preserve">JNX2904832298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54.73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1.2</v>
      </c>
      <c r="BJ147">
        <v>5.7</v>
      </c>
      <c r="BK147">
        <v>6</v>
      </c>
      <c r="BL147">
        <v>144.18</v>
      </c>
      <c r="BM147">
        <v>21.63</v>
      </c>
      <c r="BN147">
        <v>165.81</v>
      </c>
      <c r="BO147">
        <v>165.81</v>
      </c>
      <c r="BQ147" t="s">
        <v>359</v>
      </c>
      <c r="BR147" t="s">
        <v>658</v>
      </c>
      <c r="BS147" s="3">
        <v>44889</v>
      </c>
      <c r="BT147" s="4">
        <v>0.41666666666666669</v>
      </c>
      <c r="BU147" t="s">
        <v>659</v>
      </c>
      <c r="BV147" t="s">
        <v>85</v>
      </c>
      <c r="BY147">
        <v>28686.42</v>
      </c>
      <c r="BZ147" t="s">
        <v>86</v>
      </c>
      <c r="CC147" t="s">
        <v>76</v>
      </c>
      <c r="CD147">
        <v>7945</v>
      </c>
      <c r="CE147" t="s">
        <v>88</v>
      </c>
      <c r="CF147" s="3">
        <v>44890</v>
      </c>
      <c r="CI147">
        <v>2</v>
      </c>
      <c r="CJ147">
        <v>2</v>
      </c>
      <c r="CK147">
        <v>41</v>
      </c>
      <c r="CL147" t="s">
        <v>89</v>
      </c>
    </row>
    <row r="148" spans="1:90" ht="15" customHeight="1" x14ac:dyDescent="0.3">
      <c r="A148" t="s">
        <v>72</v>
      </c>
      <c r="B148" t="s">
        <v>73</v>
      </c>
      <c r="C148" t="s">
        <v>74</v>
      </c>
      <c r="E148" t="str">
        <f>"009942358089"</f>
        <v>009942358089</v>
      </c>
      <c r="F148" s="3">
        <v>44887</v>
      </c>
      <c r="G148">
        <v>202308</v>
      </c>
      <c r="H148" t="s">
        <v>75</v>
      </c>
      <c r="I148" t="s">
        <v>76</v>
      </c>
      <c r="J148" t="s">
        <v>273</v>
      </c>
      <c r="K148" t="s">
        <v>78</v>
      </c>
      <c r="L148" t="s">
        <v>660</v>
      </c>
      <c r="M148" t="s">
        <v>661</v>
      </c>
      <c r="N148" t="s">
        <v>662</v>
      </c>
      <c r="O148" t="s">
        <v>82</v>
      </c>
      <c r="P148" t="str">
        <f>"11924 095AE00141781           "</f>
        <v xml:space="preserve">11924 095AE00141781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15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66.739999999999995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14.1</v>
      </c>
      <c r="BJ148">
        <v>18.7</v>
      </c>
      <c r="BK148">
        <v>19</v>
      </c>
      <c r="BL148">
        <v>189.66</v>
      </c>
      <c r="BM148">
        <v>28.45</v>
      </c>
      <c r="BN148">
        <v>218.11</v>
      </c>
      <c r="BO148">
        <v>218.11</v>
      </c>
      <c r="BR148" t="s">
        <v>276</v>
      </c>
      <c r="BS148" s="3">
        <v>44888</v>
      </c>
      <c r="BT148" s="4">
        <v>0.61736111111111114</v>
      </c>
      <c r="BU148" t="s">
        <v>663</v>
      </c>
      <c r="BV148" t="s">
        <v>85</v>
      </c>
      <c r="BY148">
        <v>93366</v>
      </c>
      <c r="BZ148" t="s">
        <v>278</v>
      </c>
      <c r="CA148" t="s">
        <v>664</v>
      </c>
      <c r="CC148" t="s">
        <v>661</v>
      </c>
      <c r="CD148">
        <v>6820</v>
      </c>
      <c r="CE148" t="s">
        <v>88</v>
      </c>
      <c r="CF148" s="3">
        <v>44889</v>
      </c>
      <c r="CI148">
        <v>2</v>
      </c>
      <c r="CJ148">
        <v>1</v>
      </c>
      <c r="CK148">
        <v>44</v>
      </c>
      <c r="CL148" t="s">
        <v>89</v>
      </c>
    </row>
    <row r="149" spans="1:90" ht="15" customHeight="1" x14ac:dyDescent="0.3">
      <c r="A149" t="s">
        <v>72</v>
      </c>
      <c r="B149" t="s">
        <v>73</v>
      </c>
      <c r="C149" t="s">
        <v>74</v>
      </c>
      <c r="E149" t="str">
        <f>"009942862459"</f>
        <v>009942862459</v>
      </c>
      <c r="F149" s="3">
        <v>44887</v>
      </c>
      <c r="G149">
        <v>202308</v>
      </c>
      <c r="H149" t="s">
        <v>180</v>
      </c>
      <c r="I149" t="s">
        <v>181</v>
      </c>
      <c r="J149" t="s">
        <v>665</v>
      </c>
      <c r="K149" t="s">
        <v>78</v>
      </c>
      <c r="L149" t="s">
        <v>75</v>
      </c>
      <c r="M149" t="s">
        <v>76</v>
      </c>
      <c r="N149" t="s">
        <v>77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54.73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7.6</v>
      </c>
      <c r="BJ149">
        <v>7</v>
      </c>
      <c r="BK149">
        <v>8</v>
      </c>
      <c r="BL149">
        <v>144.18</v>
      </c>
      <c r="BM149">
        <v>21.63</v>
      </c>
      <c r="BN149">
        <v>165.81</v>
      </c>
      <c r="BO149">
        <v>165.81</v>
      </c>
      <c r="BQ149" t="s">
        <v>83</v>
      </c>
      <c r="BR149" t="s">
        <v>666</v>
      </c>
      <c r="BS149" s="3">
        <v>44890</v>
      </c>
      <c r="BT149" s="4">
        <v>0.49583333333333335</v>
      </c>
      <c r="BU149" t="s">
        <v>667</v>
      </c>
      <c r="BV149" t="s">
        <v>85</v>
      </c>
      <c r="BY149">
        <v>35061</v>
      </c>
      <c r="BZ149" t="s">
        <v>86</v>
      </c>
      <c r="CA149" t="s">
        <v>668</v>
      </c>
      <c r="CC149" t="s">
        <v>76</v>
      </c>
      <c r="CD149">
        <v>8000</v>
      </c>
      <c r="CE149" t="s">
        <v>88</v>
      </c>
      <c r="CF149" s="3">
        <v>44893</v>
      </c>
      <c r="CI149">
        <v>3</v>
      </c>
      <c r="CJ149">
        <v>3</v>
      </c>
      <c r="CK149">
        <v>41</v>
      </c>
      <c r="CL149" t="s">
        <v>89</v>
      </c>
    </row>
    <row r="150" spans="1:90" ht="15" customHeight="1" x14ac:dyDescent="0.3">
      <c r="A150" t="s">
        <v>72</v>
      </c>
      <c r="B150" t="s">
        <v>73</v>
      </c>
      <c r="C150" t="s">
        <v>74</v>
      </c>
      <c r="E150" t="str">
        <f>"009942358093"</f>
        <v>009942358093</v>
      </c>
      <c r="F150" s="3">
        <v>44887</v>
      </c>
      <c r="G150">
        <v>202308</v>
      </c>
      <c r="H150" t="s">
        <v>75</v>
      </c>
      <c r="I150" t="s">
        <v>76</v>
      </c>
      <c r="J150" t="s">
        <v>423</v>
      </c>
      <c r="K150" t="s">
        <v>78</v>
      </c>
      <c r="L150" t="s">
        <v>424</v>
      </c>
      <c r="M150" t="s">
        <v>425</v>
      </c>
      <c r="N150" t="s">
        <v>669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15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62.02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10.5</v>
      </c>
      <c r="BJ150">
        <v>15.6</v>
      </c>
      <c r="BK150">
        <v>16</v>
      </c>
      <c r="BL150">
        <v>177.68</v>
      </c>
      <c r="BM150">
        <v>26.65</v>
      </c>
      <c r="BN150">
        <v>204.33</v>
      </c>
      <c r="BO150">
        <v>204.33</v>
      </c>
      <c r="BQ150" t="s">
        <v>670</v>
      </c>
      <c r="BR150" t="s">
        <v>276</v>
      </c>
      <c r="BS150" s="3">
        <v>44888</v>
      </c>
      <c r="BT150" s="4">
        <v>0.70138888888888884</v>
      </c>
      <c r="BU150" t="s">
        <v>671</v>
      </c>
      <c r="BV150" t="s">
        <v>85</v>
      </c>
      <c r="BY150">
        <v>78021.899999999994</v>
      </c>
      <c r="BZ150" t="s">
        <v>278</v>
      </c>
      <c r="CA150" t="s">
        <v>429</v>
      </c>
      <c r="CC150" t="s">
        <v>425</v>
      </c>
      <c r="CD150">
        <v>7200</v>
      </c>
      <c r="CE150" t="s">
        <v>88</v>
      </c>
      <c r="CF150" s="3">
        <v>44889</v>
      </c>
      <c r="CI150">
        <v>2</v>
      </c>
      <c r="CJ150">
        <v>1</v>
      </c>
      <c r="CK150">
        <v>44</v>
      </c>
      <c r="CL150" t="s">
        <v>89</v>
      </c>
    </row>
    <row r="151" spans="1:90" ht="15" customHeight="1" x14ac:dyDescent="0.3">
      <c r="A151" t="s">
        <v>72</v>
      </c>
      <c r="B151" t="s">
        <v>73</v>
      </c>
      <c r="C151" t="s">
        <v>74</v>
      </c>
      <c r="E151" t="str">
        <f>"009942358091"</f>
        <v>009942358091</v>
      </c>
      <c r="F151" s="3">
        <v>44887</v>
      </c>
      <c r="G151">
        <v>202308</v>
      </c>
      <c r="H151" t="s">
        <v>75</v>
      </c>
      <c r="I151" t="s">
        <v>76</v>
      </c>
      <c r="J151" t="s">
        <v>273</v>
      </c>
      <c r="K151" t="s">
        <v>78</v>
      </c>
      <c r="L151" t="s">
        <v>497</v>
      </c>
      <c r="M151" t="s">
        <v>497</v>
      </c>
      <c r="N151" t="s">
        <v>672</v>
      </c>
      <c r="O151" t="s">
        <v>82</v>
      </c>
      <c r="P151" t="str">
        <f>"11925 035AR00282782           "</f>
        <v xml:space="preserve">11925 035AR00282782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15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73.03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15.2</v>
      </c>
      <c r="BJ151">
        <v>22.9</v>
      </c>
      <c r="BK151">
        <v>23</v>
      </c>
      <c r="BL151">
        <v>205.63</v>
      </c>
      <c r="BM151">
        <v>30.84</v>
      </c>
      <c r="BN151">
        <v>236.47</v>
      </c>
      <c r="BO151">
        <v>236.47</v>
      </c>
      <c r="BR151" t="s">
        <v>276</v>
      </c>
      <c r="BS151" s="3">
        <v>44888</v>
      </c>
      <c r="BT151" s="4">
        <v>0.53749999999999998</v>
      </c>
      <c r="BU151" t="s">
        <v>673</v>
      </c>
      <c r="BV151" t="s">
        <v>85</v>
      </c>
      <c r="BY151">
        <v>114358.23</v>
      </c>
      <c r="BZ151" t="s">
        <v>278</v>
      </c>
      <c r="CA151" t="s">
        <v>674</v>
      </c>
      <c r="CC151" t="s">
        <v>497</v>
      </c>
      <c r="CD151">
        <v>7646</v>
      </c>
      <c r="CE151" t="s">
        <v>88</v>
      </c>
      <c r="CF151" s="3">
        <v>44889</v>
      </c>
      <c r="CI151">
        <v>1</v>
      </c>
      <c r="CJ151">
        <v>1</v>
      </c>
      <c r="CK151">
        <v>44</v>
      </c>
      <c r="CL151" t="s">
        <v>89</v>
      </c>
    </row>
    <row r="152" spans="1:90" ht="15" customHeight="1" x14ac:dyDescent="0.3">
      <c r="A152" t="s">
        <v>72</v>
      </c>
      <c r="B152" t="s">
        <v>73</v>
      </c>
      <c r="C152" t="s">
        <v>74</v>
      </c>
      <c r="E152" t="str">
        <f>"009942358092"</f>
        <v>009942358092</v>
      </c>
      <c r="F152" s="3">
        <v>44887</v>
      </c>
      <c r="G152">
        <v>202308</v>
      </c>
      <c r="H152" t="s">
        <v>75</v>
      </c>
      <c r="I152" t="s">
        <v>76</v>
      </c>
      <c r="J152" t="s">
        <v>273</v>
      </c>
      <c r="K152" t="s">
        <v>78</v>
      </c>
      <c r="L152" t="s">
        <v>497</v>
      </c>
      <c r="M152" t="s">
        <v>497</v>
      </c>
      <c r="N152" t="s">
        <v>672</v>
      </c>
      <c r="O152" t="s">
        <v>82</v>
      </c>
      <c r="P152" t="str">
        <f>"11926 035AR00282945           "</f>
        <v xml:space="preserve">11926 035AR00282945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15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87.18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21.3</v>
      </c>
      <c r="BJ152">
        <v>32</v>
      </c>
      <c r="BK152">
        <v>32</v>
      </c>
      <c r="BL152">
        <v>241.56</v>
      </c>
      <c r="BM152">
        <v>36.229999999999997</v>
      </c>
      <c r="BN152">
        <v>277.79000000000002</v>
      </c>
      <c r="BO152">
        <v>277.79000000000002</v>
      </c>
      <c r="BR152" t="s">
        <v>276</v>
      </c>
      <c r="BS152" s="3">
        <v>44888</v>
      </c>
      <c r="BT152" s="4">
        <v>0.53749999999999998</v>
      </c>
      <c r="BU152" t="s">
        <v>673</v>
      </c>
      <c r="BV152" t="s">
        <v>85</v>
      </c>
      <c r="BY152">
        <v>159766.98000000001</v>
      </c>
      <c r="BZ152" t="s">
        <v>278</v>
      </c>
      <c r="CA152" t="s">
        <v>674</v>
      </c>
      <c r="CC152" t="s">
        <v>497</v>
      </c>
      <c r="CD152">
        <v>7646</v>
      </c>
      <c r="CE152" t="s">
        <v>88</v>
      </c>
      <c r="CF152" s="3">
        <v>44889</v>
      </c>
      <c r="CI152">
        <v>1</v>
      </c>
      <c r="CJ152">
        <v>1</v>
      </c>
      <c r="CK152">
        <v>44</v>
      </c>
      <c r="CL152" t="s">
        <v>89</v>
      </c>
    </row>
    <row r="153" spans="1:90" ht="15" customHeight="1" x14ac:dyDescent="0.3">
      <c r="A153" t="s">
        <v>72</v>
      </c>
      <c r="B153" t="s">
        <v>73</v>
      </c>
      <c r="C153" t="s">
        <v>74</v>
      </c>
      <c r="E153" t="str">
        <f>"009942358090"</f>
        <v>009942358090</v>
      </c>
      <c r="F153" s="3">
        <v>44887</v>
      </c>
      <c r="G153">
        <v>202308</v>
      </c>
      <c r="H153" t="s">
        <v>75</v>
      </c>
      <c r="I153" t="s">
        <v>76</v>
      </c>
      <c r="J153" t="s">
        <v>273</v>
      </c>
      <c r="K153" t="s">
        <v>78</v>
      </c>
      <c r="L153" t="s">
        <v>675</v>
      </c>
      <c r="M153" t="s">
        <v>676</v>
      </c>
      <c r="N153" t="s">
        <v>677</v>
      </c>
      <c r="O153" t="s">
        <v>82</v>
      </c>
      <c r="P153" t="str">
        <f>"11923 OESAE00156851           "</f>
        <v xml:space="preserve">11923 OESAE00156851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85.08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16.2</v>
      </c>
      <c r="BJ153">
        <v>16.2</v>
      </c>
      <c r="BK153">
        <v>17</v>
      </c>
      <c r="BL153">
        <v>236.22</v>
      </c>
      <c r="BM153">
        <v>35.43</v>
      </c>
      <c r="BN153">
        <v>271.64999999999998</v>
      </c>
      <c r="BO153">
        <v>271.64999999999998</v>
      </c>
      <c r="BR153" t="s">
        <v>276</v>
      </c>
      <c r="BS153" s="3">
        <v>44893</v>
      </c>
      <c r="BT153" s="4">
        <v>0.77500000000000002</v>
      </c>
      <c r="BU153" t="s">
        <v>678</v>
      </c>
      <c r="BV153" t="s">
        <v>85</v>
      </c>
      <c r="BY153">
        <v>80909.009999999995</v>
      </c>
      <c r="BZ153" t="s">
        <v>278</v>
      </c>
      <c r="CA153" t="s">
        <v>679</v>
      </c>
      <c r="CC153" t="s">
        <v>676</v>
      </c>
      <c r="CD153">
        <v>8870</v>
      </c>
      <c r="CE153" t="s">
        <v>88</v>
      </c>
      <c r="CF153" s="3">
        <v>44894</v>
      </c>
      <c r="CI153">
        <v>6</v>
      </c>
      <c r="CJ153">
        <v>4</v>
      </c>
      <c r="CK153">
        <v>43</v>
      </c>
      <c r="CL153" t="s">
        <v>89</v>
      </c>
    </row>
    <row r="154" spans="1:90" ht="15" customHeight="1" x14ac:dyDescent="0.3">
      <c r="A154" t="s">
        <v>72</v>
      </c>
      <c r="B154" t="s">
        <v>73</v>
      </c>
      <c r="C154" t="s">
        <v>74</v>
      </c>
      <c r="E154" t="str">
        <f>"009942358087"</f>
        <v>009942358087</v>
      </c>
      <c r="F154" s="3">
        <v>44887</v>
      </c>
      <c r="G154">
        <v>202308</v>
      </c>
      <c r="H154" t="s">
        <v>75</v>
      </c>
      <c r="I154" t="s">
        <v>76</v>
      </c>
      <c r="J154" t="s">
        <v>273</v>
      </c>
      <c r="K154" t="s">
        <v>78</v>
      </c>
      <c r="L154" t="s">
        <v>680</v>
      </c>
      <c r="M154" t="s">
        <v>681</v>
      </c>
      <c r="N154" t="s">
        <v>682</v>
      </c>
      <c r="O154" t="s">
        <v>82</v>
      </c>
      <c r="P154" t="str">
        <f>"11922                         "</f>
        <v xml:space="preserve">11922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15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77.19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6.8</v>
      </c>
      <c r="BJ154">
        <v>13.3</v>
      </c>
      <c r="BK154">
        <v>14</v>
      </c>
      <c r="BL154">
        <v>216.19</v>
      </c>
      <c r="BM154">
        <v>32.43</v>
      </c>
      <c r="BN154">
        <v>248.62</v>
      </c>
      <c r="BO154">
        <v>248.62</v>
      </c>
      <c r="BR154" t="s">
        <v>276</v>
      </c>
      <c r="BS154" s="3">
        <v>44890</v>
      </c>
      <c r="BT154" s="4">
        <v>0.66180555555555554</v>
      </c>
      <c r="BU154" t="s">
        <v>683</v>
      </c>
      <c r="BV154" t="s">
        <v>85</v>
      </c>
      <c r="BY154">
        <v>66724.88</v>
      </c>
      <c r="BZ154" t="s">
        <v>278</v>
      </c>
      <c r="CA154" t="s">
        <v>329</v>
      </c>
      <c r="CC154" t="s">
        <v>681</v>
      </c>
      <c r="CD154">
        <v>4391</v>
      </c>
      <c r="CE154" t="s">
        <v>88</v>
      </c>
      <c r="CF154" s="3">
        <v>44893</v>
      </c>
      <c r="CI154">
        <v>3</v>
      </c>
      <c r="CJ154">
        <v>3</v>
      </c>
      <c r="CK154">
        <v>43</v>
      </c>
      <c r="CL154" t="s">
        <v>89</v>
      </c>
    </row>
    <row r="155" spans="1:90" ht="15" customHeight="1" x14ac:dyDescent="0.3">
      <c r="A155" t="s">
        <v>72</v>
      </c>
      <c r="B155" t="s">
        <v>73</v>
      </c>
      <c r="C155" t="s">
        <v>74</v>
      </c>
      <c r="E155" t="str">
        <f>"009942358088"</f>
        <v>009942358088</v>
      </c>
      <c r="F155" s="3">
        <v>44887</v>
      </c>
      <c r="G155">
        <v>202308</v>
      </c>
      <c r="H155" t="s">
        <v>75</v>
      </c>
      <c r="I155" t="s">
        <v>76</v>
      </c>
      <c r="J155" t="s">
        <v>273</v>
      </c>
      <c r="K155" t="s">
        <v>78</v>
      </c>
      <c r="L155" t="s">
        <v>337</v>
      </c>
      <c r="M155" t="s">
        <v>338</v>
      </c>
      <c r="N155" t="s">
        <v>684</v>
      </c>
      <c r="O155" t="s">
        <v>82</v>
      </c>
      <c r="P155" t="str">
        <f>"11928 02SAR00275674           "</f>
        <v xml:space="preserve">11928 02SAR00275674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15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47.17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15.9</v>
      </c>
      <c r="BJ155">
        <v>19</v>
      </c>
      <c r="BK155">
        <v>19</v>
      </c>
      <c r="BL155">
        <v>139.99</v>
      </c>
      <c r="BM155">
        <v>21</v>
      </c>
      <c r="BN155">
        <v>160.99</v>
      </c>
      <c r="BO155">
        <v>160.99</v>
      </c>
      <c r="BR155" t="s">
        <v>276</v>
      </c>
      <c r="BS155" s="3">
        <v>44888</v>
      </c>
      <c r="BT155" s="4">
        <v>0.43611111111111112</v>
      </c>
      <c r="BU155" t="s">
        <v>685</v>
      </c>
      <c r="BV155" t="s">
        <v>85</v>
      </c>
      <c r="BY155">
        <v>94869.92</v>
      </c>
      <c r="BZ155" t="s">
        <v>278</v>
      </c>
      <c r="CA155" t="s">
        <v>342</v>
      </c>
      <c r="CC155" t="s">
        <v>338</v>
      </c>
      <c r="CD155">
        <v>7599</v>
      </c>
      <c r="CE155" t="s">
        <v>88</v>
      </c>
      <c r="CF155" s="3">
        <v>44889</v>
      </c>
      <c r="CI155">
        <v>1</v>
      </c>
      <c r="CJ155">
        <v>1</v>
      </c>
      <c r="CK155">
        <v>42</v>
      </c>
      <c r="CL155" t="s">
        <v>89</v>
      </c>
    </row>
    <row r="156" spans="1:90" ht="15" customHeight="1" x14ac:dyDescent="0.3">
      <c r="A156" t="s">
        <v>72</v>
      </c>
      <c r="B156" t="s">
        <v>73</v>
      </c>
      <c r="C156" t="s">
        <v>74</v>
      </c>
      <c r="E156" t="str">
        <f>"009942899869"</f>
        <v>009942899869</v>
      </c>
      <c r="F156" s="3">
        <v>44887</v>
      </c>
      <c r="G156">
        <v>202308</v>
      </c>
      <c r="H156" t="s">
        <v>111</v>
      </c>
      <c r="I156" t="s">
        <v>112</v>
      </c>
      <c r="J156" t="s">
        <v>94</v>
      </c>
      <c r="K156" t="s">
        <v>78</v>
      </c>
      <c r="L156" t="s">
        <v>686</v>
      </c>
      <c r="M156" t="s">
        <v>687</v>
      </c>
      <c r="N156" t="s">
        <v>614</v>
      </c>
      <c r="O156" t="s">
        <v>96</v>
      </c>
      <c r="P156" t="str">
        <f>"J28362                        "</f>
        <v xml:space="preserve">J28362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39.81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0.2</v>
      </c>
      <c r="BK156">
        <v>0.5</v>
      </c>
      <c r="BL156">
        <v>101.05</v>
      </c>
      <c r="BM156">
        <v>15.16</v>
      </c>
      <c r="BN156">
        <v>116.21</v>
      </c>
      <c r="BO156">
        <v>116.21</v>
      </c>
      <c r="BQ156" t="s">
        <v>688</v>
      </c>
      <c r="BR156" t="s">
        <v>113</v>
      </c>
      <c r="BS156" s="3">
        <v>44888</v>
      </c>
      <c r="BT156" s="4">
        <v>0.67569444444444438</v>
      </c>
      <c r="BU156" t="s">
        <v>671</v>
      </c>
      <c r="BV156" t="s">
        <v>89</v>
      </c>
      <c r="BW156" t="s">
        <v>99</v>
      </c>
      <c r="BX156" t="s">
        <v>335</v>
      </c>
      <c r="BY156">
        <v>1200</v>
      </c>
      <c r="BZ156" t="s">
        <v>101</v>
      </c>
      <c r="CA156" t="s">
        <v>689</v>
      </c>
      <c r="CC156" t="s">
        <v>687</v>
      </c>
      <c r="CD156">
        <v>1961</v>
      </c>
      <c r="CE156" t="s">
        <v>88</v>
      </c>
      <c r="CF156" s="3">
        <v>44889</v>
      </c>
      <c r="CI156">
        <v>1</v>
      </c>
      <c r="CJ156">
        <v>1</v>
      </c>
      <c r="CK156">
        <v>24</v>
      </c>
      <c r="CL156" t="s">
        <v>89</v>
      </c>
    </row>
    <row r="157" spans="1:90" ht="15" customHeight="1" x14ac:dyDescent="0.3">
      <c r="A157" t="s">
        <v>72</v>
      </c>
      <c r="B157" t="s">
        <v>73</v>
      </c>
      <c r="C157" t="s">
        <v>74</v>
      </c>
      <c r="E157" t="str">
        <f>"009942917367"</f>
        <v>009942917367</v>
      </c>
      <c r="F157" s="3">
        <v>44887</v>
      </c>
      <c r="G157">
        <v>202308</v>
      </c>
      <c r="H157" t="s">
        <v>111</v>
      </c>
      <c r="I157" t="s">
        <v>112</v>
      </c>
      <c r="J157" t="s">
        <v>94</v>
      </c>
      <c r="K157" t="s">
        <v>78</v>
      </c>
      <c r="L157" t="s">
        <v>75</v>
      </c>
      <c r="M157" t="s">
        <v>76</v>
      </c>
      <c r="N157" t="s">
        <v>610</v>
      </c>
      <c r="O157" t="s">
        <v>96</v>
      </c>
      <c r="P157" t="str">
        <f>"B5281 J3510                   "</f>
        <v xml:space="preserve">B5281 J3510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28.3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0.1</v>
      </c>
      <c r="BK157">
        <v>1</v>
      </c>
      <c r="BL157">
        <v>71.84</v>
      </c>
      <c r="BM157">
        <v>10.78</v>
      </c>
      <c r="BN157">
        <v>82.62</v>
      </c>
      <c r="BO157">
        <v>82.62</v>
      </c>
      <c r="BQ157" t="s">
        <v>585</v>
      </c>
      <c r="BR157" t="s">
        <v>113</v>
      </c>
      <c r="BS157" s="3">
        <v>44888</v>
      </c>
      <c r="BT157" s="4">
        <v>0.43055555555555558</v>
      </c>
      <c r="BU157" t="s">
        <v>690</v>
      </c>
      <c r="BV157" t="s">
        <v>85</v>
      </c>
      <c r="BY157">
        <v>500</v>
      </c>
      <c r="BZ157" t="s">
        <v>101</v>
      </c>
      <c r="CA157" t="s">
        <v>691</v>
      </c>
      <c r="CC157" t="s">
        <v>76</v>
      </c>
      <c r="CD157">
        <v>7530</v>
      </c>
      <c r="CE157" t="s">
        <v>88</v>
      </c>
      <c r="CF157" s="3">
        <v>44889</v>
      </c>
      <c r="CI157">
        <v>1</v>
      </c>
      <c r="CJ157">
        <v>1</v>
      </c>
      <c r="CK157">
        <v>21</v>
      </c>
      <c r="CL157" t="s">
        <v>89</v>
      </c>
    </row>
    <row r="158" spans="1:90" ht="15" customHeight="1" x14ac:dyDescent="0.3">
      <c r="A158" t="s">
        <v>72</v>
      </c>
      <c r="B158" t="s">
        <v>73</v>
      </c>
      <c r="C158" t="s">
        <v>74</v>
      </c>
      <c r="E158" t="str">
        <f>"009942729926"</f>
        <v>009942729926</v>
      </c>
      <c r="F158" s="3">
        <v>44887</v>
      </c>
      <c r="G158">
        <v>202308</v>
      </c>
      <c r="H158" t="s">
        <v>330</v>
      </c>
      <c r="I158" t="s">
        <v>331</v>
      </c>
      <c r="J158" t="s">
        <v>692</v>
      </c>
      <c r="K158" t="s">
        <v>78</v>
      </c>
      <c r="L158" t="s">
        <v>75</v>
      </c>
      <c r="M158" t="s">
        <v>76</v>
      </c>
      <c r="N158" t="s">
        <v>693</v>
      </c>
      <c r="O158" t="s">
        <v>82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77.19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1.7</v>
      </c>
      <c r="BJ158">
        <v>7.1</v>
      </c>
      <c r="BK158">
        <v>8</v>
      </c>
      <c r="BL158">
        <v>201.19</v>
      </c>
      <c r="BM158">
        <v>30.18</v>
      </c>
      <c r="BN158">
        <v>231.37</v>
      </c>
      <c r="BO158">
        <v>231.37</v>
      </c>
      <c r="BQ158" t="s">
        <v>694</v>
      </c>
      <c r="BR158" t="s">
        <v>359</v>
      </c>
      <c r="BS158" s="3">
        <v>44889</v>
      </c>
      <c r="BT158" s="4">
        <v>0.41666666666666669</v>
      </c>
      <c r="BU158" t="s">
        <v>659</v>
      </c>
      <c r="BV158" t="s">
        <v>85</v>
      </c>
      <c r="BY158">
        <v>35427.46</v>
      </c>
      <c r="BZ158" t="s">
        <v>86</v>
      </c>
      <c r="CC158" t="s">
        <v>76</v>
      </c>
      <c r="CD158">
        <v>7945</v>
      </c>
      <c r="CE158" t="s">
        <v>88</v>
      </c>
      <c r="CF158" s="3">
        <v>44890</v>
      </c>
      <c r="CI158">
        <v>2</v>
      </c>
      <c r="CJ158">
        <v>2</v>
      </c>
      <c r="CK158">
        <v>43</v>
      </c>
      <c r="CL158" t="s">
        <v>89</v>
      </c>
    </row>
    <row r="159" spans="1:90" ht="15" customHeight="1" x14ac:dyDescent="0.3">
      <c r="A159" t="s">
        <v>72</v>
      </c>
      <c r="B159" t="s">
        <v>73</v>
      </c>
      <c r="C159" t="s">
        <v>74</v>
      </c>
      <c r="E159" t="str">
        <f>"009943061751"</f>
        <v>009943061751</v>
      </c>
      <c r="F159" s="3">
        <v>44888</v>
      </c>
      <c r="G159">
        <v>202308</v>
      </c>
      <c r="H159" t="s">
        <v>75</v>
      </c>
      <c r="I159" t="s">
        <v>76</v>
      </c>
      <c r="J159" t="s">
        <v>77</v>
      </c>
      <c r="K159" t="s">
        <v>78</v>
      </c>
      <c r="L159" t="s">
        <v>217</v>
      </c>
      <c r="M159" t="s">
        <v>218</v>
      </c>
      <c r="N159" t="s">
        <v>695</v>
      </c>
      <c r="O159" t="s">
        <v>96</v>
      </c>
      <c r="P159" t="str">
        <f>"188535                        "</f>
        <v xml:space="preserve">188535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106.09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1.5</v>
      </c>
      <c r="BJ159">
        <v>7.2</v>
      </c>
      <c r="BK159">
        <v>7.5</v>
      </c>
      <c r="BL159">
        <v>269.31</v>
      </c>
      <c r="BM159">
        <v>40.4</v>
      </c>
      <c r="BN159">
        <v>309.70999999999998</v>
      </c>
      <c r="BO159">
        <v>309.70999999999998</v>
      </c>
      <c r="BR159" t="s">
        <v>83</v>
      </c>
      <c r="BS159" s="3">
        <v>44889</v>
      </c>
      <c r="BT159" s="4">
        <v>0.43541666666666662</v>
      </c>
      <c r="BU159" t="s">
        <v>696</v>
      </c>
      <c r="BV159" t="s">
        <v>85</v>
      </c>
      <c r="BY159">
        <v>35912.5</v>
      </c>
      <c r="BZ159" t="s">
        <v>101</v>
      </c>
      <c r="CA159" t="s">
        <v>224</v>
      </c>
      <c r="CC159" t="s">
        <v>218</v>
      </c>
      <c r="CD159">
        <v>1692</v>
      </c>
      <c r="CE159" t="s">
        <v>88</v>
      </c>
      <c r="CF159" s="3">
        <v>44890</v>
      </c>
      <c r="CI159">
        <v>1</v>
      </c>
      <c r="CJ159">
        <v>1</v>
      </c>
      <c r="CK159">
        <v>21</v>
      </c>
      <c r="CL159" t="s">
        <v>89</v>
      </c>
    </row>
    <row r="160" spans="1:90" ht="15" customHeight="1" x14ac:dyDescent="0.3">
      <c r="A160" t="s">
        <v>72</v>
      </c>
      <c r="B160" t="s">
        <v>73</v>
      </c>
      <c r="C160" t="s">
        <v>74</v>
      </c>
      <c r="E160" t="str">
        <f>"009943061754"</f>
        <v>009943061754</v>
      </c>
      <c r="F160" s="3">
        <v>44888</v>
      </c>
      <c r="G160">
        <v>202308</v>
      </c>
      <c r="H160" t="s">
        <v>75</v>
      </c>
      <c r="I160" t="s">
        <v>76</v>
      </c>
      <c r="J160" t="s">
        <v>77</v>
      </c>
      <c r="K160" t="s">
        <v>78</v>
      </c>
      <c r="L160" t="s">
        <v>180</v>
      </c>
      <c r="M160" t="s">
        <v>181</v>
      </c>
      <c r="N160" t="s">
        <v>697</v>
      </c>
      <c r="O160" t="s">
        <v>82</v>
      </c>
      <c r="P160" t="str">
        <f>"188529                        "</f>
        <v xml:space="preserve">188529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54.73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0.8</v>
      </c>
      <c r="BJ160">
        <v>2.7</v>
      </c>
      <c r="BK160">
        <v>3</v>
      </c>
      <c r="BL160">
        <v>144.18</v>
      </c>
      <c r="BM160">
        <v>21.63</v>
      </c>
      <c r="BN160">
        <v>165.81</v>
      </c>
      <c r="BO160">
        <v>165.81</v>
      </c>
      <c r="BR160" t="s">
        <v>83</v>
      </c>
      <c r="BS160" s="3">
        <v>44890</v>
      </c>
      <c r="BT160" s="4">
        <v>0.375</v>
      </c>
      <c r="BU160" t="s">
        <v>698</v>
      </c>
      <c r="BV160" t="s">
        <v>85</v>
      </c>
      <c r="BY160">
        <v>13713.96</v>
      </c>
      <c r="BZ160" t="s">
        <v>86</v>
      </c>
      <c r="CA160" t="s">
        <v>699</v>
      </c>
      <c r="CC160" t="s">
        <v>181</v>
      </c>
      <c r="CD160">
        <v>4068</v>
      </c>
      <c r="CE160" t="s">
        <v>88</v>
      </c>
      <c r="CF160" s="3">
        <v>44894</v>
      </c>
      <c r="CI160">
        <v>3</v>
      </c>
      <c r="CJ160">
        <v>2</v>
      </c>
      <c r="CK160">
        <v>41</v>
      </c>
      <c r="CL160" t="s">
        <v>89</v>
      </c>
    </row>
    <row r="161" spans="1:90" ht="15" customHeight="1" x14ac:dyDescent="0.3">
      <c r="A161" t="s">
        <v>72</v>
      </c>
      <c r="B161" t="s">
        <v>73</v>
      </c>
      <c r="C161" t="s">
        <v>74</v>
      </c>
      <c r="E161" t="str">
        <f>"009943061753"</f>
        <v>009943061753</v>
      </c>
      <c r="F161" s="3">
        <v>44888</v>
      </c>
      <c r="G161">
        <v>202308</v>
      </c>
      <c r="H161" t="s">
        <v>75</v>
      </c>
      <c r="I161" t="s">
        <v>76</v>
      </c>
      <c r="J161" t="s">
        <v>77</v>
      </c>
      <c r="K161" t="s">
        <v>78</v>
      </c>
      <c r="L161" t="s">
        <v>79</v>
      </c>
      <c r="M161" t="s">
        <v>80</v>
      </c>
      <c r="N161" t="s">
        <v>700</v>
      </c>
      <c r="O161" t="s">
        <v>96</v>
      </c>
      <c r="P161" t="str">
        <f>"188530                        "</f>
        <v xml:space="preserve">188530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56.59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0.9</v>
      </c>
      <c r="BJ161">
        <v>3.7</v>
      </c>
      <c r="BK161">
        <v>4</v>
      </c>
      <c r="BL161">
        <v>143.65</v>
      </c>
      <c r="BM161">
        <v>21.55</v>
      </c>
      <c r="BN161">
        <v>165.2</v>
      </c>
      <c r="BO161">
        <v>165.2</v>
      </c>
      <c r="BR161" t="s">
        <v>83</v>
      </c>
      <c r="BS161" s="3">
        <v>44889</v>
      </c>
      <c r="BT161" s="4">
        <v>0.375</v>
      </c>
      <c r="BU161" t="s">
        <v>701</v>
      </c>
      <c r="BV161" t="s">
        <v>85</v>
      </c>
      <c r="BY161">
        <v>18436.03</v>
      </c>
      <c r="BZ161" t="s">
        <v>101</v>
      </c>
      <c r="CA161" t="s">
        <v>702</v>
      </c>
      <c r="CC161" t="s">
        <v>80</v>
      </c>
      <c r="CD161">
        <v>2196</v>
      </c>
      <c r="CE161" t="s">
        <v>88</v>
      </c>
      <c r="CF161" s="3">
        <v>44890</v>
      </c>
      <c r="CI161">
        <v>1</v>
      </c>
      <c r="CJ161">
        <v>1</v>
      </c>
      <c r="CK161">
        <v>21</v>
      </c>
      <c r="CL161" t="s">
        <v>89</v>
      </c>
    </row>
    <row r="162" spans="1:90" ht="15" customHeight="1" x14ac:dyDescent="0.3">
      <c r="A162" t="s">
        <v>72</v>
      </c>
      <c r="B162" t="s">
        <v>73</v>
      </c>
      <c r="C162" t="s">
        <v>74</v>
      </c>
      <c r="E162" t="str">
        <f>"009943061752"</f>
        <v>009943061752</v>
      </c>
      <c r="F162" s="3">
        <v>44888</v>
      </c>
      <c r="G162">
        <v>202308</v>
      </c>
      <c r="H162" t="s">
        <v>75</v>
      </c>
      <c r="I162" t="s">
        <v>76</v>
      </c>
      <c r="J162" t="s">
        <v>77</v>
      </c>
      <c r="K162" t="s">
        <v>78</v>
      </c>
      <c r="L162" t="s">
        <v>177</v>
      </c>
      <c r="M162" t="s">
        <v>178</v>
      </c>
      <c r="N162" t="s">
        <v>703</v>
      </c>
      <c r="O162" t="s">
        <v>82</v>
      </c>
      <c r="P162" t="str">
        <f>"188532                        "</f>
        <v xml:space="preserve">188532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92.97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3.6</v>
      </c>
      <c r="BJ162">
        <v>18.8</v>
      </c>
      <c r="BK162">
        <v>19</v>
      </c>
      <c r="BL162">
        <v>241.25</v>
      </c>
      <c r="BM162">
        <v>36.19</v>
      </c>
      <c r="BN162">
        <v>277.44</v>
      </c>
      <c r="BO162">
        <v>277.44</v>
      </c>
      <c r="BR162" t="s">
        <v>83</v>
      </c>
      <c r="BS162" t="s">
        <v>93</v>
      </c>
      <c r="BY162">
        <v>93998.7</v>
      </c>
      <c r="BZ162" t="s">
        <v>86</v>
      </c>
      <c r="CC162" t="s">
        <v>178</v>
      </c>
      <c r="CD162">
        <v>4170</v>
      </c>
      <c r="CE162" t="s">
        <v>88</v>
      </c>
      <c r="CI162">
        <v>3</v>
      </c>
      <c r="CJ162" t="s">
        <v>93</v>
      </c>
      <c r="CK162">
        <v>43</v>
      </c>
      <c r="CL162" t="s">
        <v>89</v>
      </c>
    </row>
    <row r="163" spans="1:90" ht="15" customHeight="1" x14ac:dyDescent="0.3">
      <c r="A163" t="s">
        <v>72</v>
      </c>
      <c r="B163" t="s">
        <v>73</v>
      </c>
      <c r="C163" t="s">
        <v>74</v>
      </c>
      <c r="E163" t="str">
        <f>"009943061747"</f>
        <v>009943061747</v>
      </c>
      <c r="F163" s="3">
        <v>44888</v>
      </c>
      <c r="G163">
        <v>202308</v>
      </c>
      <c r="H163" t="s">
        <v>75</v>
      </c>
      <c r="I163" t="s">
        <v>76</v>
      </c>
      <c r="J163" t="s">
        <v>77</v>
      </c>
      <c r="K163" t="s">
        <v>78</v>
      </c>
      <c r="L163" t="s">
        <v>704</v>
      </c>
      <c r="M163" t="s">
        <v>705</v>
      </c>
      <c r="N163" t="s">
        <v>706</v>
      </c>
      <c r="O163" t="s">
        <v>82</v>
      </c>
      <c r="P163" t="str">
        <f>"188510                        "</f>
        <v xml:space="preserve">188510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54.73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1.8</v>
      </c>
      <c r="BJ163">
        <v>6.9</v>
      </c>
      <c r="BK163">
        <v>7</v>
      </c>
      <c r="BL163">
        <v>144.18</v>
      </c>
      <c r="BM163">
        <v>21.63</v>
      </c>
      <c r="BN163">
        <v>165.81</v>
      </c>
      <c r="BO163">
        <v>165.81</v>
      </c>
      <c r="BR163" t="s">
        <v>83</v>
      </c>
      <c r="BS163" s="3">
        <v>44890</v>
      </c>
      <c r="BT163" s="4">
        <v>0.60625000000000007</v>
      </c>
      <c r="BU163" t="s">
        <v>707</v>
      </c>
      <c r="BV163" t="s">
        <v>85</v>
      </c>
      <c r="BY163">
        <v>34448.230000000003</v>
      </c>
      <c r="BZ163" t="s">
        <v>86</v>
      </c>
      <c r="CA163" t="s">
        <v>708</v>
      </c>
      <c r="CC163" t="s">
        <v>705</v>
      </c>
      <c r="CD163">
        <v>1200</v>
      </c>
      <c r="CE163" t="s">
        <v>88</v>
      </c>
      <c r="CF163" s="3">
        <v>44890</v>
      </c>
      <c r="CI163">
        <v>3</v>
      </c>
      <c r="CJ163">
        <v>2</v>
      </c>
      <c r="CK163">
        <v>41</v>
      </c>
      <c r="CL163" t="s">
        <v>89</v>
      </c>
    </row>
    <row r="164" spans="1:90" ht="15" customHeight="1" x14ac:dyDescent="0.3">
      <c r="A164" t="s">
        <v>72</v>
      </c>
      <c r="B164" t="s">
        <v>73</v>
      </c>
      <c r="C164" t="s">
        <v>74</v>
      </c>
      <c r="E164" t="str">
        <f>"009943061750"</f>
        <v>009943061750</v>
      </c>
      <c r="F164" s="3">
        <v>44888</v>
      </c>
      <c r="G164">
        <v>202308</v>
      </c>
      <c r="H164" t="s">
        <v>75</v>
      </c>
      <c r="I164" t="s">
        <v>76</v>
      </c>
      <c r="J164" t="s">
        <v>77</v>
      </c>
      <c r="K164" t="s">
        <v>78</v>
      </c>
      <c r="L164" t="s">
        <v>166</v>
      </c>
      <c r="M164" t="s">
        <v>167</v>
      </c>
      <c r="N164" t="s">
        <v>709</v>
      </c>
      <c r="O164" t="s">
        <v>82</v>
      </c>
      <c r="P164" t="str">
        <f>"188536                        "</f>
        <v xml:space="preserve">188536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66.010000000000005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</v>
      </c>
      <c r="BJ164">
        <v>19.899999999999999</v>
      </c>
      <c r="BK164">
        <v>20</v>
      </c>
      <c r="BL164">
        <v>172.81</v>
      </c>
      <c r="BM164">
        <v>25.92</v>
      </c>
      <c r="BN164">
        <v>198.73</v>
      </c>
      <c r="BO164">
        <v>198.73</v>
      </c>
      <c r="BR164" t="s">
        <v>83</v>
      </c>
      <c r="BS164" s="3">
        <v>44894</v>
      </c>
      <c r="BT164" s="4">
        <v>0.70416666666666661</v>
      </c>
      <c r="BU164" t="s">
        <v>710</v>
      </c>
      <c r="BV164" t="s">
        <v>89</v>
      </c>
      <c r="BY164">
        <v>99390.9</v>
      </c>
      <c r="BZ164" t="s">
        <v>86</v>
      </c>
      <c r="CA164" t="s">
        <v>711</v>
      </c>
      <c r="CC164" t="s">
        <v>167</v>
      </c>
      <c r="CD164">
        <v>182</v>
      </c>
      <c r="CE164" t="s">
        <v>88</v>
      </c>
      <c r="CI164">
        <v>2</v>
      </c>
      <c r="CJ164">
        <v>4</v>
      </c>
      <c r="CK164">
        <v>41</v>
      </c>
      <c r="CL164" t="s">
        <v>89</v>
      </c>
    </row>
    <row r="165" spans="1:90" ht="15" customHeight="1" x14ac:dyDescent="0.3">
      <c r="A165" t="s">
        <v>72</v>
      </c>
      <c r="B165" t="s">
        <v>73</v>
      </c>
      <c r="C165" t="s">
        <v>74</v>
      </c>
      <c r="E165" t="str">
        <f>"009943061755"</f>
        <v>009943061755</v>
      </c>
      <c r="F165" s="3">
        <v>44888</v>
      </c>
      <c r="G165">
        <v>202308</v>
      </c>
      <c r="H165" t="s">
        <v>75</v>
      </c>
      <c r="I165" t="s">
        <v>76</v>
      </c>
      <c r="J165" t="s">
        <v>77</v>
      </c>
      <c r="K165" t="s">
        <v>78</v>
      </c>
      <c r="L165" t="s">
        <v>75</v>
      </c>
      <c r="M165" t="s">
        <v>76</v>
      </c>
      <c r="N165" t="s">
        <v>712</v>
      </c>
      <c r="O165" t="s">
        <v>82</v>
      </c>
      <c r="P165" t="str">
        <f>"188528                        "</f>
        <v xml:space="preserve">188528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48.41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6.9</v>
      </c>
      <c r="BJ165">
        <v>19.600000000000001</v>
      </c>
      <c r="BK165">
        <v>20</v>
      </c>
      <c r="BL165">
        <v>128.13</v>
      </c>
      <c r="BM165">
        <v>19.22</v>
      </c>
      <c r="BN165">
        <v>147.35</v>
      </c>
      <c r="BO165">
        <v>147.35</v>
      </c>
      <c r="BR165" t="s">
        <v>83</v>
      </c>
      <c r="BS165" s="3">
        <v>44889</v>
      </c>
      <c r="BT165" s="4">
        <v>0.41319444444444442</v>
      </c>
      <c r="BU165" t="s">
        <v>713</v>
      </c>
      <c r="BV165" t="s">
        <v>85</v>
      </c>
      <c r="BY165">
        <v>97782.2</v>
      </c>
      <c r="BZ165" t="s">
        <v>86</v>
      </c>
      <c r="CA165" t="s">
        <v>714</v>
      </c>
      <c r="CC165" t="s">
        <v>76</v>
      </c>
      <c r="CD165">
        <v>7780</v>
      </c>
      <c r="CE165" t="s">
        <v>88</v>
      </c>
      <c r="CF165" s="3">
        <v>44890</v>
      </c>
      <c r="CI165">
        <v>1</v>
      </c>
      <c r="CJ165">
        <v>1</v>
      </c>
      <c r="CK165">
        <v>42</v>
      </c>
      <c r="CL165" t="s">
        <v>89</v>
      </c>
    </row>
    <row r="166" spans="1:90" ht="15" customHeight="1" x14ac:dyDescent="0.3">
      <c r="A166" t="s">
        <v>72</v>
      </c>
      <c r="B166" t="s">
        <v>73</v>
      </c>
      <c r="C166" t="s">
        <v>74</v>
      </c>
      <c r="E166" t="str">
        <f>"009943061748"</f>
        <v>009943061748</v>
      </c>
      <c r="F166" s="3">
        <v>44888</v>
      </c>
      <c r="G166">
        <v>202308</v>
      </c>
      <c r="H166" t="s">
        <v>75</v>
      </c>
      <c r="I166" t="s">
        <v>76</v>
      </c>
      <c r="J166" t="s">
        <v>77</v>
      </c>
      <c r="K166" t="s">
        <v>78</v>
      </c>
      <c r="L166" t="s">
        <v>180</v>
      </c>
      <c r="M166" t="s">
        <v>181</v>
      </c>
      <c r="N166" t="s">
        <v>715</v>
      </c>
      <c r="O166" t="s">
        <v>82</v>
      </c>
      <c r="P166" t="str">
        <f>"188542                        "</f>
        <v xml:space="preserve">188542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54.73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2.6</v>
      </c>
      <c r="BJ166">
        <v>12</v>
      </c>
      <c r="BK166">
        <v>12</v>
      </c>
      <c r="BL166">
        <v>144.18</v>
      </c>
      <c r="BM166">
        <v>21.63</v>
      </c>
      <c r="BN166">
        <v>165.81</v>
      </c>
      <c r="BO166">
        <v>165.81</v>
      </c>
      <c r="BR166" t="s">
        <v>83</v>
      </c>
      <c r="BS166" s="3">
        <v>44890</v>
      </c>
      <c r="BT166" s="4">
        <v>0.49027777777777781</v>
      </c>
      <c r="BU166" t="s">
        <v>716</v>
      </c>
      <c r="BV166" t="s">
        <v>85</v>
      </c>
      <c r="BY166">
        <v>60207</v>
      </c>
      <c r="BZ166" t="s">
        <v>86</v>
      </c>
      <c r="CA166" t="s">
        <v>717</v>
      </c>
      <c r="CC166" t="s">
        <v>181</v>
      </c>
      <c r="CD166">
        <v>4092</v>
      </c>
      <c r="CE166" t="s">
        <v>88</v>
      </c>
      <c r="CF166" s="3">
        <v>44894</v>
      </c>
      <c r="CI166">
        <v>3</v>
      </c>
      <c r="CJ166">
        <v>2</v>
      </c>
      <c r="CK166">
        <v>41</v>
      </c>
      <c r="CL166" t="s">
        <v>89</v>
      </c>
    </row>
    <row r="167" spans="1:90" ht="15" customHeight="1" x14ac:dyDescent="0.3">
      <c r="A167" t="s">
        <v>72</v>
      </c>
      <c r="B167" t="s">
        <v>73</v>
      </c>
      <c r="C167" t="s">
        <v>74</v>
      </c>
      <c r="E167" t="str">
        <f>"009943061749"</f>
        <v>009943061749</v>
      </c>
      <c r="F167" s="3">
        <v>44888</v>
      </c>
      <c r="G167">
        <v>202308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718</v>
      </c>
      <c r="O167" t="s">
        <v>82</v>
      </c>
      <c r="P167" t="str">
        <f>"188537                        "</f>
        <v xml:space="preserve">188537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66.010000000000005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</v>
      </c>
      <c r="BJ167">
        <v>19.3</v>
      </c>
      <c r="BK167">
        <v>20</v>
      </c>
      <c r="BL167">
        <v>172.81</v>
      </c>
      <c r="BM167">
        <v>25.92</v>
      </c>
      <c r="BN167">
        <v>198.73</v>
      </c>
      <c r="BO167">
        <v>198.73</v>
      </c>
      <c r="BQ167" t="s">
        <v>719</v>
      </c>
      <c r="BR167" t="s">
        <v>83</v>
      </c>
      <c r="BS167" s="3">
        <v>44893</v>
      </c>
      <c r="BT167" s="4">
        <v>0.43541666666666662</v>
      </c>
      <c r="BU167" t="s">
        <v>720</v>
      </c>
      <c r="BV167" t="s">
        <v>89</v>
      </c>
      <c r="BW167" t="s">
        <v>130</v>
      </c>
      <c r="BX167" t="s">
        <v>223</v>
      </c>
      <c r="BY167">
        <v>96703.11</v>
      </c>
      <c r="BZ167" t="s">
        <v>86</v>
      </c>
      <c r="CA167" t="s">
        <v>721</v>
      </c>
      <c r="CC167" t="s">
        <v>80</v>
      </c>
      <c r="CD167">
        <v>2091</v>
      </c>
      <c r="CE167" t="s">
        <v>88</v>
      </c>
      <c r="CF167" s="3">
        <v>44894</v>
      </c>
      <c r="CI167">
        <v>2</v>
      </c>
      <c r="CJ167">
        <v>3</v>
      </c>
      <c r="CK167">
        <v>41</v>
      </c>
      <c r="CL167" t="s">
        <v>89</v>
      </c>
    </row>
    <row r="168" spans="1:90" ht="15" customHeight="1" x14ac:dyDescent="0.3">
      <c r="A168" t="s">
        <v>72</v>
      </c>
      <c r="B168" t="s">
        <v>73</v>
      </c>
      <c r="C168" t="s">
        <v>74</v>
      </c>
      <c r="E168" t="str">
        <f>"009942381249"</f>
        <v>009942381249</v>
      </c>
      <c r="F168" s="3">
        <v>44888</v>
      </c>
      <c r="G168">
        <v>202308</v>
      </c>
      <c r="H168" t="s">
        <v>75</v>
      </c>
      <c r="I168" t="s">
        <v>76</v>
      </c>
      <c r="J168" t="s">
        <v>94</v>
      </c>
      <c r="K168" t="s">
        <v>78</v>
      </c>
      <c r="L168" t="s">
        <v>117</v>
      </c>
      <c r="M168" t="s">
        <v>118</v>
      </c>
      <c r="N168" t="s">
        <v>94</v>
      </c>
      <c r="O168" t="s">
        <v>96</v>
      </c>
      <c r="P168" t="str">
        <f>"C2462                         "</f>
        <v xml:space="preserve">C2462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28.3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1.1000000000000001</v>
      </c>
      <c r="BJ168">
        <v>1</v>
      </c>
      <c r="BK168">
        <v>1.5</v>
      </c>
      <c r="BL168">
        <v>71.84</v>
      </c>
      <c r="BM168">
        <v>10.78</v>
      </c>
      <c r="BN168">
        <v>82.62</v>
      </c>
      <c r="BO168">
        <v>82.62</v>
      </c>
      <c r="BQ168" t="s">
        <v>722</v>
      </c>
      <c r="BR168" t="s">
        <v>585</v>
      </c>
      <c r="BS168" s="3">
        <v>44890</v>
      </c>
      <c r="BT168" s="4">
        <v>0.38263888888888892</v>
      </c>
      <c r="BU168" t="s">
        <v>723</v>
      </c>
      <c r="BV168" t="s">
        <v>89</v>
      </c>
      <c r="BW168" t="s">
        <v>122</v>
      </c>
      <c r="BX168" t="s">
        <v>724</v>
      </c>
      <c r="BY168">
        <v>4844.7299999999996</v>
      </c>
      <c r="BZ168" t="s">
        <v>101</v>
      </c>
      <c r="CA168" t="s">
        <v>725</v>
      </c>
      <c r="CC168" t="s">
        <v>118</v>
      </c>
      <c r="CD168">
        <v>3610</v>
      </c>
      <c r="CE168" t="s">
        <v>88</v>
      </c>
      <c r="CF168" s="3">
        <v>44893</v>
      </c>
      <c r="CI168">
        <v>1</v>
      </c>
      <c r="CJ168">
        <v>2</v>
      </c>
      <c r="CK168">
        <v>21</v>
      </c>
      <c r="CL168" t="s">
        <v>89</v>
      </c>
    </row>
    <row r="169" spans="1:90" ht="15" customHeight="1" x14ac:dyDescent="0.3">
      <c r="A169" t="s">
        <v>72</v>
      </c>
      <c r="B169" t="s">
        <v>73</v>
      </c>
      <c r="C169" t="s">
        <v>74</v>
      </c>
      <c r="E169" t="str">
        <f>"009942358094"</f>
        <v>009942358094</v>
      </c>
      <c r="F169" s="3">
        <v>44888</v>
      </c>
      <c r="G169">
        <v>202308</v>
      </c>
      <c r="H169" t="s">
        <v>75</v>
      </c>
      <c r="I169" t="s">
        <v>76</v>
      </c>
      <c r="J169" t="s">
        <v>273</v>
      </c>
      <c r="K169" t="s">
        <v>78</v>
      </c>
      <c r="L169" t="s">
        <v>726</v>
      </c>
      <c r="M169" t="s">
        <v>727</v>
      </c>
      <c r="N169" t="s">
        <v>728</v>
      </c>
      <c r="O169" t="s">
        <v>82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15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156.4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28.6</v>
      </c>
      <c r="BJ169">
        <v>75.5</v>
      </c>
      <c r="BK169">
        <v>76</v>
      </c>
      <c r="BL169">
        <v>417.26</v>
      </c>
      <c r="BM169">
        <v>62.59</v>
      </c>
      <c r="BN169">
        <v>479.85</v>
      </c>
      <c r="BO169">
        <v>479.85</v>
      </c>
      <c r="BQ169" t="s">
        <v>729</v>
      </c>
      <c r="BR169" t="s">
        <v>276</v>
      </c>
      <c r="BS169" t="s">
        <v>93</v>
      </c>
      <c r="BW169" t="s">
        <v>730</v>
      </c>
      <c r="BX169" t="s">
        <v>555</v>
      </c>
      <c r="BY169">
        <v>377497.15</v>
      </c>
      <c r="BZ169" t="s">
        <v>278</v>
      </c>
      <c r="CC169" t="s">
        <v>727</v>
      </c>
      <c r="CD169">
        <v>7230</v>
      </c>
      <c r="CE169" t="s">
        <v>88</v>
      </c>
      <c r="CI169">
        <v>2</v>
      </c>
      <c r="CJ169" t="s">
        <v>93</v>
      </c>
      <c r="CK169">
        <v>44</v>
      </c>
      <c r="CL169" t="s">
        <v>89</v>
      </c>
    </row>
    <row r="170" spans="1:90" ht="15" customHeight="1" x14ac:dyDescent="0.3">
      <c r="A170" t="s">
        <v>72</v>
      </c>
      <c r="B170" t="s">
        <v>73</v>
      </c>
      <c r="C170" t="s">
        <v>74</v>
      </c>
      <c r="E170" t="str">
        <f>"009943061756"</f>
        <v>009943061756</v>
      </c>
      <c r="F170" s="3">
        <v>44888</v>
      </c>
      <c r="G170">
        <v>202308</v>
      </c>
      <c r="H170" t="s">
        <v>75</v>
      </c>
      <c r="I170" t="s">
        <v>76</v>
      </c>
      <c r="J170" t="s">
        <v>77</v>
      </c>
      <c r="K170" t="s">
        <v>78</v>
      </c>
      <c r="L170" t="s">
        <v>111</v>
      </c>
      <c r="M170" t="s">
        <v>112</v>
      </c>
      <c r="N170" t="s">
        <v>731</v>
      </c>
      <c r="O170" t="s">
        <v>96</v>
      </c>
      <c r="P170" t="str">
        <f>"188522                        "</f>
        <v xml:space="preserve">188522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28.3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0.6</v>
      </c>
      <c r="BK170">
        <v>1</v>
      </c>
      <c r="BL170">
        <v>71.84</v>
      </c>
      <c r="BM170">
        <v>10.78</v>
      </c>
      <c r="BN170">
        <v>82.62</v>
      </c>
      <c r="BO170">
        <v>82.62</v>
      </c>
      <c r="BQ170" t="s">
        <v>732</v>
      </c>
      <c r="BR170" t="s">
        <v>83</v>
      </c>
      <c r="BS170" s="3">
        <v>44894</v>
      </c>
      <c r="BT170" s="4">
        <v>0.41597222222222219</v>
      </c>
      <c r="BU170" t="s">
        <v>733</v>
      </c>
      <c r="BV170" t="s">
        <v>89</v>
      </c>
      <c r="BW170" t="s">
        <v>730</v>
      </c>
      <c r="BX170" t="s">
        <v>390</v>
      </c>
      <c r="BY170">
        <v>3224.52</v>
      </c>
      <c r="BZ170" t="s">
        <v>101</v>
      </c>
      <c r="CA170" t="s">
        <v>391</v>
      </c>
      <c r="CC170" t="s">
        <v>112</v>
      </c>
      <c r="CD170">
        <v>1614</v>
      </c>
      <c r="CE170" t="s">
        <v>88</v>
      </c>
      <c r="CF170" s="3">
        <v>44895</v>
      </c>
      <c r="CI170">
        <v>1</v>
      </c>
      <c r="CJ170">
        <v>4</v>
      </c>
      <c r="CK170">
        <v>21</v>
      </c>
      <c r="CL170" t="s">
        <v>89</v>
      </c>
    </row>
    <row r="171" spans="1:90" ht="15" customHeight="1" x14ac:dyDescent="0.3">
      <c r="A171" t="s">
        <v>72</v>
      </c>
      <c r="B171" t="s">
        <v>73</v>
      </c>
      <c r="C171" t="s">
        <v>74</v>
      </c>
      <c r="E171" t="str">
        <f>"009943061745"</f>
        <v>009943061745</v>
      </c>
      <c r="F171" s="3">
        <v>44888</v>
      </c>
      <c r="G171">
        <v>202308</v>
      </c>
      <c r="H171" t="s">
        <v>75</v>
      </c>
      <c r="I171" t="s">
        <v>76</v>
      </c>
      <c r="J171" t="s">
        <v>77</v>
      </c>
      <c r="K171" t="s">
        <v>78</v>
      </c>
      <c r="L171" t="s">
        <v>166</v>
      </c>
      <c r="M171" t="s">
        <v>167</v>
      </c>
      <c r="N171" t="s">
        <v>734</v>
      </c>
      <c r="O171" t="s">
        <v>96</v>
      </c>
      <c r="P171" t="str">
        <f>"188490                        "</f>
        <v xml:space="preserve">188490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42.45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0.8</v>
      </c>
      <c r="BJ171">
        <v>2.9</v>
      </c>
      <c r="BK171">
        <v>3</v>
      </c>
      <c r="BL171">
        <v>107.75</v>
      </c>
      <c r="BM171">
        <v>16.16</v>
      </c>
      <c r="BN171">
        <v>123.91</v>
      </c>
      <c r="BO171">
        <v>123.91</v>
      </c>
      <c r="BR171" t="s">
        <v>83</v>
      </c>
      <c r="BS171" s="3">
        <v>44890</v>
      </c>
      <c r="BT171" s="4">
        <v>0.43194444444444446</v>
      </c>
      <c r="BU171" t="s">
        <v>735</v>
      </c>
      <c r="BV171" t="s">
        <v>89</v>
      </c>
      <c r="BY171">
        <v>14742</v>
      </c>
      <c r="BZ171" t="s">
        <v>101</v>
      </c>
      <c r="CA171" t="s">
        <v>475</v>
      </c>
      <c r="CC171" t="s">
        <v>167</v>
      </c>
      <c r="CD171">
        <v>1</v>
      </c>
      <c r="CE171" t="s">
        <v>88</v>
      </c>
      <c r="CF171" s="3">
        <v>44890</v>
      </c>
      <c r="CI171">
        <v>1</v>
      </c>
      <c r="CJ171">
        <v>2</v>
      </c>
      <c r="CK171">
        <v>21</v>
      </c>
      <c r="CL171" t="s">
        <v>89</v>
      </c>
    </row>
    <row r="172" spans="1:90" ht="15" customHeight="1" x14ac:dyDescent="0.3">
      <c r="A172" t="s">
        <v>72</v>
      </c>
      <c r="B172" t="s">
        <v>73</v>
      </c>
      <c r="C172" t="s">
        <v>74</v>
      </c>
      <c r="E172" t="str">
        <f>"009943061757"</f>
        <v>009943061757</v>
      </c>
      <c r="F172" s="3">
        <v>44888</v>
      </c>
      <c r="G172">
        <v>202308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736</v>
      </c>
      <c r="O172" t="s">
        <v>96</v>
      </c>
      <c r="P172" t="str">
        <f>"188519                        "</f>
        <v xml:space="preserve">188519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22.11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0.6</v>
      </c>
      <c r="BJ172">
        <v>2.4</v>
      </c>
      <c r="BK172">
        <v>2.5</v>
      </c>
      <c r="BL172">
        <v>56.12</v>
      </c>
      <c r="BM172">
        <v>8.42</v>
      </c>
      <c r="BN172">
        <v>64.540000000000006</v>
      </c>
      <c r="BO172">
        <v>64.540000000000006</v>
      </c>
      <c r="BR172" t="s">
        <v>83</v>
      </c>
      <c r="BS172" s="3">
        <v>44889</v>
      </c>
      <c r="BT172" s="4">
        <v>0.54027777777777775</v>
      </c>
      <c r="BU172" t="s">
        <v>737</v>
      </c>
      <c r="BV172" t="s">
        <v>85</v>
      </c>
      <c r="BY172">
        <v>12105.5</v>
      </c>
      <c r="BZ172" t="s">
        <v>101</v>
      </c>
      <c r="CA172" t="s">
        <v>107</v>
      </c>
      <c r="CC172" t="s">
        <v>76</v>
      </c>
      <c r="CD172">
        <v>7806</v>
      </c>
      <c r="CE172" t="s">
        <v>88</v>
      </c>
      <c r="CF172" s="3">
        <v>44890</v>
      </c>
      <c r="CI172">
        <v>1</v>
      </c>
      <c r="CJ172">
        <v>1</v>
      </c>
      <c r="CK172">
        <v>22</v>
      </c>
      <c r="CL172" t="s">
        <v>89</v>
      </c>
    </row>
    <row r="173" spans="1:90" ht="15" customHeight="1" x14ac:dyDescent="0.3">
      <c r="A173" t="s">
        <v>72</v>
      </c>
      <c r="B173" t="s">
        <v>73</v>
      </c>
      <c r="C173" t="s">
        <v>74</v>
      </c>
      <c r="E173" t="str">
        <f>"009943061746"</f>
        <v>009943061746</v>
      </c>
      <c r="F173" s="3">
        <v>44888</v>
      </c>
      <c r="G173">
        <v>202308</v>
      </c>
      <c r="H173" t="s">
        <v>75</v>
      </c>
      <c r="I173" t="s">
        <v>76</v>
      </c>
      <c r="J173" t="s">
        <v>77</v>
      </c>
      <c r="K173" t="s">
        <v>78</v>
      </c>
      <c r="L173" t="s">
        <v>79</v>
      </c>
      <c r="M173" t="s">
        <v>80</v>
      </c>
      <c r="N173" t="s">
        <v>738</v>
      </c>
      <c r="O173" t="s">
        <v>96</v>
      </c>
      <c r="P173" t="str">
        <f>"188504                        "</f>
        <v xml:space="preserve">188504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28.3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0.7</v>
      </c>
      <c r="BK173">
        <v>1</v>
      </c>
      <c r="BL173">
        <v>71.84</v>
      </c>
      <c r="BM173">
        <v>10.78</v>
      </c>
      <c r="BN173">
        <v>82.62</v>
      </c>
      <c r="BO173">
        <v>82.62</v>
      </c>
      <c r="BQ173" t="s">
        <v>739</v>
      </c>
      <c r="BR173" t="s">
        <v>83</v>
      </c>
      <c r="BS173" s="3">
        <v>44890</v>
      </c>
      <c r="BT173" s="4">
        <v>0.35833333333333334</v>
      </c>
      <c r="BU173" t="s">
        <v>740</v>
      </c>
      <c r="BV173" t="s">
        <v>89</v>
      </c>
      <c r="BW173" t="s">
        <v>130</v>
      </c>
      <c r="BX173" t="s">
        <v>223</v>
      </c>
      <c r="BY173">
        <v>3336.97</v>
      </c>
      <c r="BZ173" t="s">
        <v>101</v>
      </c>
      <c r="CA173" t="s">
        <v>741</v>
      </c>
      <c r="CC173" t="s">
        <v>80</v>
      </c>
      <c r="CD173">
        <v>2196</v>
      </c>
      <c r="CE173" t="s">
        <v>88</v>
      </c>
      <c r="CF173" s="3">
        <v>44891</v>
      </c>
      <c r="CI173">
        <v>1</v>
      </c>
      <c r="CJ173">
        <v>2</v>
      </c>
      <c r="CK173">
        <v>21</v>
      </c>
      <c r="CL173" t="s">
        <v>89</v>
      </c>
    </row>
    <row r="174" spans="1:90" ht="15" customHeight="1" x14ac:dyDescent="0.3">
      <c r="A174" t="s">
        <v>72</v>
      </c>
      <c r="B174" t="s">
        <v>73</v>
      </c>
      <c r="C174" t="s">
        <v>74</v>
      </c>
      <c r="E174" t="str">
        <f>"009942701231"</f>
        <v>009942701231</v>
      </c>
      <c r="F174" s="3">
        <v>44888</v>
      </c>
      <c r="G174">
        <v>202308</v>
      </c>
      <c r="H174" t="s">
        <v>108</v>
      </c>
      <c r="I174" t="s">
        <v>109</v>
      </c>
      <c r="J174" t="s">
        <v>110</v>
      </c>
      <c r="K174" t="s">
        <v>78</v>
      </c>
      <c r="L174" t="s">
        <v>111</v>
      </c>
      <c r="M174" t="s">
        <v>112</v>
      </c>
      <c r="N174" t="s">
        <v>94</v>
      </c>
      <c r="O174" t="s">
        <v>96</v>
      </c>
      <c r="P174" t="str">
        <f>"PLZ 2110104660                "</f>
        <v xml:space="preserve">PLZ 2110104660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28.3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71.84</v>
      </c>
      <c r="BM174">
        <v>10.78</v>
      </c>
      <c r="BN174">
        <v>82.62</v>
      </c>
      <c r="BO174">
        <v>82.62</v>
      </c>
      <c r="BQ174" t="s">
        <v>113</v>
      </c>
      <c r="BR174" t="s">
        <v>114</v>
      </c>
      <c r="BS174" s="3">
        <v>44889</v>
      </c>
      <c r="BT174" s="4">
        <v>0.35972222222222222</v>
      </c>
      <c r="BU174" t="s">
        <v>742</v>
      </c>
      <c r="BV174" t="s">
        <v>85</v>
      </c>
      <c r="BY174">
        <v>1200</v>
      </c>
      <c r="BZ174" t="s">
        <v>101</v>
      </c>
      <c r="CA174" t="s">
        <v>116</v>
      </c>
      <c r="CC174" t="s">
        <v>112</v>
      </c>
      <c r="CD174">
        <v>1620</v>
      </c>
      <c r="CE174" t="s">
        <v>88</v>
      </c>
      <c r="CF174" s="3">
        <v>44890</v>
      </c>
      <c r="CI174">
        <v>1</v>
      </c>
      <c r="CJ174">
        <v>1</v>
      </c>
      <c r="CK174">
        <v>21</v>
      </c>
      <c r="CL174" t="s">
        <v>89</v>
      </c>
    </row>
    <row r="175" spans="1:90" ht="15" customHeight="1" x14ac:dyDescent="0.3">
      <c r="A175" t="s">
        <v>72</v>
      </c>
      <c r="B175" t="s">
        <v>73</v>
      </c>
      <c r="C175" t="s">
        <v>74</v>
      </c>
      <c r="E175" t="str">
        <f>"009942899865"</f>
        <v>009942899865</v>
      </c>
      <c r="F175" s="3">
        <v>44888</v>
      </c>
      <c r="G175">
        <v>202308</v>
      </c>
      <c r="H175" t="s">
        <v>111</v>
      </c>
      <c r="I175" t="s">
        <v>112</v>
      </c>
      <c r="J175" t="s">
        <v>94</v>
      </c>
      <c r="K175" t="s">
        <v>78</v>
      </c>
      <c r="L175" t="s">
        <v>79</v>
      </c>
      <c r="M175" t="s">
        <v>80</v>
      </c>
      <c r="N175" t="s">
        <v>743</v>
      </c>
      <c r="O175" t="s">
        <v>96</v>
      </c>
      <c r="P175" t="str">
        <f>"J29171                        "</f>
        <v xml:space="preserve">J29171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22.11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1.6</v>
      </c>
      <c r="BJ175">
        <v>1.1000000000000001</v>
      </c>
      <c r="BK175">
        <v>2</v>
      </c>
      <c r="BL175">
        <v>56.12</v>
      </c>
      <c r="BM175">
        <v>8.42</v>
      </c>
      <c r="BN175">
        <v>64.540000000000006</v>
      </c>
      <c r="BO175">
        <v>64.540000000000006</v>
      </c>
      <c r="BQ175" t="s">
        <v>744</v>
      </c>
      <c r="BR175" t="s">
        <v>221</v>
      </c>
      <c r="BS175" s="3">
        <v>44889</v>
      </c>
      <c r="BT175" s="4">
        <v>0.34166666666666662</v>
      </c>
      <c r="BU175" t="s">
        <v>745</v>
      </c>
      <c r="BV175" t="s">
        <v>85</v>
      </c>
      <c r="BY175">
        <v>5464.09</v>
      </c>
      <c r="BZ175" t="s">
        <v>101</v>
      </c>
      <c r="CA175" t="s">
        <v>253</v>
      </c>
      <c r="CC175" t="s">
        <v>80</v>
      </c>
      <c r="CD175">
        <v>2013</v>
      </c>
      <c r="CE175" t="s">
        <v>88</v>
      </c>
      <c r="CF175" s="3">
        <v>44889</v>
      </c>
      <c r="CI175">
        <v>1</v>
      </c>
      <c r="CJ175">
        <v>1</v>
      </c>
      <c r="CK175">
        <v>22</v>
      </c>
      <c r="CL175" t="s">
        <v>89</v>
      </c>
    </row>
    <row r="176" spans="1:90" ht="15" customHeight="1" x14ac:dyDescent="0.3">
      <c r="A176" t="s">
        <v>72</v>
      </c>
      <c r="B176" t="s">
        <v>73</v>
      </c>
      <c r="C176" t="s">
        <v>74</v>
      </c>
      <c r="E176" t="str">
        <f>"009942917366"</f>
        <v>009942917366</v>
      </c>
      <c r="F176" s="3">
        <v>44888</v>
      </c>
      <c r="G176">
        <v>202308</v>
      </c>
      <c r="H176" t="s">
        <v>111</v>
      </c>
      <c r="I176" t="s">
        <v>112</v>
      </c>
      <c r="J176" t="s">
        <v>94</v>
      </c>
      <c r="K176" t="s">
        <v>78</v>
      </c>
      <c r="L176" t="s">
        <v>75</v>
      </c>
      <c r="M176" t="s">
        <v>76</v>
      </c>
      <c r="N176" t="s">
        <v>610</v>
      </c>
      <c r="O176" t="s">
        <v>96</v>
      </c>
      <c r="P176" t="str">
        <f>"J26779 J29284                 "</f>
        <v xml:space="preserve">J26779 J29284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35.369999999999997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2.2999999999999998</v>
      </c>
      <c r="BJ176">
        <v>2.1</v>
      </c>
      <c r="BK176">
        <v>2.5</v>
      </c>
      <c r="BL176">
        <v>89.79</v>
      </c>
      <c r="BM176">
        <v>13.47</v>
      </c>
      <c r="BN176">
        <v>103.26</v>
      </c>
      <c r="BO176">
        <v>103.26</v>
      </c>
      <c r="BQ176" t="s">
        <v>585</v>
      </c>
      <c r="BR176" t="s">
        <v>113</v>
      </c>
      <c r="BS176" s="3">
        <v>44889</v>
      </c>
      <c r="BT176" s="4">
        <v>0.43055555555555558</v>
      </c>
      <c r="BU176" t="s">
        <v>586</v>
      </c>
      <c r="BV176" t="s">
        <v>85</v>
      </c>
      <c r="BY176">
        <v>10329.34</v>
      </c>
      <c r="BZ176" t="s">
        <v>101</v>
      </c>
      <c r="CA176" t="s">
        <v>627</v>
      </c>
      <c r="CC176" t="s">
        <v>76</v>
      </c>
      <c r="CD176">
        <v>7530</v>
      </c>
      <c r="CE176" t="s">
        <v>88</v>
      </c>
      <c r="CF176" s="3">
        <v>44890</v>
      </c>
      <c r="CI176">
        <v>1</v>
      </c>
      <c r="CJ176">
        <v>1</v>
      </c>
      <c r="CK176">
        <v>21</v>
      </c>
      <c r="CL176" t="s">
        <v>89</v>
      </c>
    </row>
    <row r="177" spans="1:90" ht="15" customHeight="1" x14ac:dyDescent="0.3">
      <c r="A177" t="s">
        <v>72</v>
      </c>
      <c r="B177" t="s">
        <v>73</v>
      </c>
      <c r="C177" t="s">
        <v>74</v>
      </c>
      <c r="E177" t="str">
        <f>"009942775870"</f>
        <v>009942775870</v>
      </c>
      <c r="F177" s="3">
        <v>44888</v>
      </c>
      <c r="G177">
        <v>202308</v>
      </c>
      <c r="H177" t="s">
        <v>746</v>
      </c>
      <c r="I177" t="s">
        <v>747</v>
      </c>
      <c r="J177" t="s">
        <v>748</v>
      </c>
      <c r="K177" t="s">
        <v>78</v>
      </c>
      <c r="L177" t="s">
        <v>749</v>
      </c>
      <c r="M177" t="s">
        <v>750</v>
      </c>
      <c r="N177" t="s">
        <v>751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77.19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2.5</v>
      </c>
      <c r="BK177">
        <v>3</v>
      </c>
      <c r="BL177">
        <v>201.19</v>
      </c>
      <c r="BM177">
        <v>30.18</v>
      </c>
      <c r="BN177">
        <v>231.37</v>
      </c>
      <c r="BO177">
        <v>231.37</v>
      </c>
      <c r="BR177" t="s">
        <v>752</v>
      </c>
      <c r="BS177" s="3">
        <v>44890</v>
      </c>
      <c r="BT177" s="4">
        <v>0.55486111111111114</v>
      </c>
      <c r="BU177" t="s">
        <v>612</v>
      </c>
      <c r="BV177" t="s">
        <v>85</v>
      </c>
      <c r="BY177">
        <v>12548.34</v>
      </c>
      <c r="BZ177" t="s">
        <v>86</v>
      </c>
      <c r="CC177" t="s">
        <v>750</v>
      </c>
      <c r="CD177">
        <v>6313</v>
      </c>
      <c r="CE177" t="s">
        <v>88</v>
      </c>
      <c r="CI177">
        <v>3</v>
      </c>
      <c r="CJ177">
        <v>2</v>
      </c>
      <c r="CK177">
        <v>43</v>
      </c>
      <c r="CL177" t="s">
        <v>89</v>
      </c>
    </row>
    <row r="178" spans="1:90" ht="15" customHeight="1" x14ac:dyDescent="0.3">
      <c r="A178" t="s">
        <v>72</v>
      </c>
      <c r="B178" t="s">
        <v>73</v>
      </c>
      <c r="C178" t="s">
        <v>74</v>
      </c>
      <c r="E178" t="str">
        <f>"009942899863"</f>
        <v>009942899863</v>
      </c>
      <c r="F178" s="3">
        <v>44888</v>
      </c>
      <c r="G178">
        <v>202308</v>
      </c>
      <c r="H178" t="s">
        <v>111</v>
      </c>
      <c r="I178" t="s">
        <v>112</v>
      </c>
      <c r="J178" t="s">
        <v>94</v>
      </c>
      <c r="K178" t="s">
        <v>78</v>
      </c>
      <c r="L178" t="s">
        <v>79</v>
      </c>
      <c r="M178" t="s">
        <v>80</v>
      </c>
      <c r="N178" t="s">
        <v>753</v>
      </c>
      <c r="O178" t="s">
        <v>96</v>
      </c>
      <c r="P178" t="str">
        <f>"J29221                        "</f>
        <v xml:space="preserve">J29221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138.79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30</v>
      </c>
      <c r="BJ178">
        <v>0.6</v>
      </c>
      <c r="BK178">
        <v>30</v>
      </c>
      <c r="BL178">
        <v>352.32</v>
      </c>
      <c r="BM178">
        <v>52.85</v>
      </c>
      <c r="BN178">
        <v>405.17</v>
      </c>
      <c r="BO178">
        <v>405.17</v>
      </c>
      <c r="BQ178" t="s">
        <v>754</v>
      </c>
      <c r="BR178" t="s">
        <v>221</v>
      </c>
      <c r="BS178" s="3">
        <v>44889</v>
      </c>
      <c r="BT178" s="4">
        <v>0.36041666666666666</v>
      </c>
      <c r="BU178" t="s">
        <v>755</v>
      </c>
      <c r="BV178" t="s">
        <v>85</v>
      </c>
      <c r="BY178">
        <v>3000</v>
      </c>
      <c r="BZ178" t="s">
        <v>101</v>
      </c>
      <c r="CA178" t="s">
        <v>756</v>
      </c>
      <c r="CC178" t="s">
        <v>80</v>
      </c>
      <c r="CD178">
        <v>2198</v>
      </c>
      <c r="CE178" t="s">
        <v>88</v>
      </c>
      <c r="CF178" s="3">
        <v>44890</v>
      </c>
      <c r="CI178">
        <v>1</v>
      </c>
      <c r="CJ178">
        <v>1</v>
      </c>
      <c r="CK178">
        <v>22</v>
      </c>
      <c r="CL178" t="s">
        <v>89</v>
      </c>
    </row>
    <row r="179" spans="1:90" ht="15" customHeight="1" x14ac:dyDescent="0.3">
      <c r="A179" t="s">
        <v>72</v>
      </c>
      <c r="B179" t="s">
        <v>73</v>
      </c>
      <c r="C179" t="s">
        <v>74</v>
      </c>
      <c r="E179" t="str">
        <f>"009942899864"</f>
        <v>009942899864</v>
      </c>
      <c r="F179" s="3">
        <v>44888</v>
      </c>
      <c r="G179">
        <v>202308</v>
      </c>
      <c r="H179" t="s">
        <v>111</v>
      </c>
      <c r="I179" t="s">
        <v>112</v>
      </c>
      <c r="J179" t="s">
        <v>94</v>
      </c>
      <c r="K179" t="s">
        <v>78</v>
      </c>
      <c r="L179" t="s">
        <v>240</v>
      </c>
      <c r="M179" t="s">
        <v>241</v>
      </c>
      <c r="N179" t="s">
        <v>242</v>
      </c>
      <c r="O179" t="s">
        <v>96</v>
      </c>
      <c r="P179" t="str">
        <f>"J29273                        "</f>
        <v xml:space="preserve">J29273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39.81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0.1</v>
      </c>
      <c r="BK179">
        <v>0.5</v>
      </c>
      <c r="BL179">
        <v>101.05</v>
      </c>
      <c r="BM179">
        <v>15.16</v>
      </c>
      <c r="BN179">
        <v>116.21</v>
      </c>
      <c r="BO179">
        <v>116.21</v>
      </c>
      <c r="BQ179" t="s">
        <v>243</v>
      </c>
      <c r="BR179" t="s">
        <v>221</v>
      </c>
      <c r="BS179" s="3">
        <v>44889</v>
      </c>
      <c r="BT179" s="4">
        <v>0.72986111111111107</v>
      </c>
      <c r="BU179" t="s">
        <v>757</v>
      </c>
      <c r="BV179" t="s">
        <v>89</v>
      </c>
      <c r="BW179" t="s">
        <v>99</v>
      </c>
      <c r="BX179" t="s">
        <v>223</v>
      </c>
      <c r="BY179">
        <v>504</v>
      </c>
      <c r="BZ179" t="s">
        <v>101</v>
      </c>
      <c r="CA179" t="s">
        <v>245</v>
      </c>
      <c r="CC179" t="s">
        <v>241</v>
      </c>
      <c r="CD179">
        <v>1739</v>
      </c>
      <c r="CE179" t="s">
        <v>88</v>
      </c>
      <c r="CF179" s="3">
        <v>44889</v>
      </c>
      <c r="CI179">
        <v>1</v>
      </c>
      <c r="CJ179">
        <v>1</v>
      </c>
      <c r="CK179">
        <v>24</v>
      </c>
      <c r="CL179" t="s">
        <v>89</v>
      </c>
    </row>
    <row r="180" spans="1:90" ht="15" customHeight="1" x14ac:dyDescent="0.3">
      <c r="A180" t="s">
        <v>72</v>
      </c>
      <c r="B180" t="s">
        <v>73</v>
      </c>
      <c r="C180" t="s">
        <v>74</v>
      </c>
      <c r="E180" t="str">
        <f>"009942873235"</f>
        <v>009942873235</v>
      </c>
      <c r="F180" s="3">
        <v>44866</v>
      </c>
      <c r="G180">
        <v>202308</v>
      </c>
      <c r="H180" t="s">
        <v>117</v>
      </c>
      <c r="I180" t="s">
        <v>118</v>
      </c>
      <c r="J180" t="s">
        <v>94</v>
      </c>
      <c r="K180" t="s">
        <v>78</v>
      </c>
      <c r="L180" t="s">
        <v>108</v>
      </c>
      <c r="M180" t="s">
        <v>109</v>
      </c>
      <c r="N180" t="s">
        <v>758</v>
      </c>
      <c r="O180" t="s">
        <v>96</v>
      </c>
      <c r="P180" t="str">
        <f>"TELTRA BRIAN ZONDI            "</f>
        <v xml:space="preserve">TELTRA BRIAN ZONDI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26.12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0.4</v>
      </c>
      <c r="BJ180">
        <v>1</v>
      </c>
      <c r="BK180">
        <v>1</v>
      </c>
      <c r="BL180">
        <v>69.66</v>
      </c>
      <c r="BM180">
        <v>10.45</v>
      </c>
      <c r="BN180">
        <v>80.11</v>
      </c>
      <c r="BO180">
        <v>80.11</v>
      </c>
      <c r="BQ180" t="s">
        <v>114</v>
      </c>
      <c r="BR180" t="s">
        <v>622</v>
      </c>
      <c r="BS180" s="3">
        <v>44869</v>
      </c>
      <c r="BT180" s="4">
        <v>0.34861111111111115</v>
      </c>
      <c r="BU180" t="s">
        <v>362</v>
      </c>
      <c r="BV180" t="s">
        <v>89</v>
      </c>
      <c r="BW180" t="s">
        <v>157</v>
      </c>
      <c r="BX180" t="s">
        <v>624</v>
      </c>
      <c r="BY180">
        <v>4800</v>
      </c>
      <c r="BZ180" t="s">
        <v>101</v>
      </c>
      <c r="CA180" t="s">
        <v>363</v>
      </c>
      <c r="CC180" t="s">
        <v>109</v>
      </c>
      <c r="CD180">
        <v>6070</v>
      </c>
      <c r="CE180" t="s">
        <v>88</v>
      </c>
      <c r="CF180" s="3">
        <v>44869</v>
      </c>
      <c r="CI180">
        <v>1</v>
      </c>
      <c r="CJ180">
        <v>3</v>
      </c>
      <c r="CK180">
        <v>21</v>
      </c>
      <c r="CL180" t="s">
        <v>89</v>
      </c>
    </row>
    <row r="181" spans="1:90" ht="15" customHeight="1" x14ac:dyDescent="0.3">
      <c r="A181" t="s">
        <v>72</v>
      </c>
      <c r="B181" t="s">
        <v>73</v>
      </c>
      <c r="C181" t="s">
        <v>74</v>
      </c>
      <c r="E181" t="str">
        <f>"009942701276"</f>
        <v>009942701276</v>
      </c>
      <c r="F181" s="3">
        <v>44866</v>
      </c>
      <c r="G181">
        <v>202308</v>
      </c>
      <c r="H181" t="s">
        <v>108</v>
      </c>
      <c r="I181" t="s">
        <v>109</v>
      </c>
      <c r="J181" t="s">
        <v>110</v>
      </c>
      <c r="K181" t="s">
        <v>78</v>
      </c>
      <c r="L181" t="s">
        <v>111</v>
      </c>
      <c r="M181" t="s">
        <v>112</v>
      </c>
      <c r="N181" t="s">
        <v>94</v>
      </c>
      <c r="O181" t="s">
        <v>96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65.290000000000006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5</v>
      </c>
      <c r="BJ181">
        <v>4.3</v>
      </c>
      <c r="BK181">
        <v>5</v>
      </c>
      <c r="BL181">
        <v>174.11</v>
      </c>
      <c r="BM181">
        <v>26.12</v>
      </c>
      <c r="BN181">
        <v>200.23</v>
      </c>
      <c r="BO181">
        <v>200.23</v>
      </c>
      <c r="BQ181" t="s">
        <v>113</v>
      </c>
      <c r="BR181" t="s">
        <v>114</v>
      </c>
      <c r="BS181" s="3">
        <v>44867</v>
      </c>
      <c r="BT181" s="4">
        <v>0.39999999999999997</v>
      </c>
      <c r="BU181" t="s">
        <v>759</v>
      </c>
      <c r="BV181" t="s">
        <v>85</v>
      </c>
      <c r="BY181">
        <v>21600</v>
      </c>
      <c r="BZ181" t="s">
        <v>101</v>
      </c>
      <c r="CA181" t="s">
        <v>116</v>
      </c>
      <c r="CC181" t="s">
        <v>112</v>
      </c>
      <c r="CD181">
        <v>1620</v>
      </c>
      <c r="CE181" t="s">
        <v>88</v>
      </c>
      <c r="CF181" s="3">
        <v>44868</v>
      </c>
      <c r="CI181">
        <v>1</v>
      </c>
      <c r="CJ181">
        <v>1</v>
      </c>
      <c r="CK181">
        <v>21</v>
      </c>
      <c r="CL181" t="s">
        <v>89</v>
      </c>
    </row>
    <row r="182" spans="1:90" ht="15" customHeight="1" x14ac:dyDescent="0.3">
      <c r="A182" t="s">
        <v>72</v>
      </c>
      <c r="B182" t="s">
        <v>73</v>
      </c>
      <c r="C182" t="s">
        <v>74</v>
      </c>
      <c r="E182" t="str">
        <f>"009942358076"</f>
        <v>009942358076</v>
      </c>
      <c r="F182" s="3">
        <v>44866</v>
      </c>
      <c r="G182">
        <v>202308</v>
      </c>
      <c r="H182" t="s">
        <v>75</v>
      </c>
      <c r="I182" t="s">
        <v>76</v>
      </c>
      <c r="J182" t="s">
        <v>273</v>
      </c>
      <c r="K182" t="s">
        <v>78</v>
      </c>
      <c r="L182" t="s">
        <v>166</v>
      </c>
      <c r="M182" t="s">
        <v>167</v>
      </c>
      <c r="N182" t="s">
        <v>168</v>
      </c>
      <c r="O182" t="s">
        <v>82</v>
      </c>
      <c r="P182" t="str">
        <f>"JOB:12873 RE:RHODA            "</f>
        <v xml:space="preserve">JOB:12873 RE:RHODA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15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60.93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8.1</v>
      </c>
      <c r="BJ182">
        <v>19.100000000000001</v>
      </c>
      <c r="BK182">
        <v>20</v>
      </c>
      <c r="BL182">
        <v>182.73</v>
      </c>
      <c r="BM182">
        <v>27.41</v>
      </c>
      <c r="BN182">
        <v>210.14</v>
      </c>
      <c r="BO182">
        <v>210.14</v>
      </c>
      <c r="BQ182" t="s">
        <v>760</v>
      </c>
      <c r="BR182" t="s">
        <v>276</v>
      </c>
      <c r="BS182" s="3">
        <v>44869</v>
      </c>
      <c r="BT182" s="4">
        <v>0.42569444444444443</v>
      </c>
      <c r="BU182" t="s">
        <v>761</v>
      </c>
      <c r="BV182" t="s">
        <v>89</v>
      </c>
      <c r="BY182">
        <v>95401.26</v>
      </c>
      <c r="BZ182" t="s">
        <v>278</v>
      </c>
      <c r="CA182" t="s">
        <v>171</v>
      </c>
      <c r="CC182" t="s">
        <v>167</v>
      </c>
      <c r="CD182">
        <v>81</v>
      </c>
      <c r="CE182" t="s">
        <v>88</v>
      </c>
      <c r="CF182" s="3">
        <v>44869</v>
      </c>
      <c r="CI182">
        <v>2</v>
      </c>
      <c r="CJ182">
        <v>3</v>
      </c>
      <c r="CK182">
        <v>41</v>
      </c>
      <c r="CL182" t="s">
        <v>89</v>
      </c>
    </row>
    <row r="183" spans="1:90" ht="15" customHeight="1" x14ac:dyDescent="0.3">
      <c r="A183" t="s">
        <v>72</v>
      </c>
      <c r="B183" t="s">
        <v>73</v>
      </c>
      <c r="C183" t="s">
        <v>74</v>
      </c>
      <c r="E183" t="str">
        <f>"009942358078"</f>
        <v>009942358078</v>
      </c>
      <c r="F183" s="3">
        <v>44866</v>
      </c>
      <c r="G183">
        <v>202308</v>
      </c>
      <c r="H183" t="s">
        <v>75</v>
      </c>
      <c r="I183" t="s">
        <v>76</v>
      </c>
      <c r="J183" t="s">
        <v>273</v>
      </c>
      <c r="K183" t="s">
        <v>78</v>
      </c>
      <c r="L183" t="s">
        <v>762</v>
      </c>
      <c r="M183" t="s">
        <v>763</v>
      </c>
      <c r="N183" t="s">
        <v>764</v>
      </c>
      <c r="O183" t="s">
        <v>82</v>
      </c>
      <c r="P183" t="str">
        <f>"REF LANG JOB:11885            "</f>
        <v xml:space="preserve">REF LANG JOB:11885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15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90.08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7.6</v>
      </c>
      <c r="BJ183">
        <v>34</v>
      </c>
      <c r="BK183">
        <v>34</v>
      </c>
      <c r="BL183">
        <v>260.45999999999998</v>
      </c>
      <c r="BM183">
        <v>39.07</v>
      </c>
      <c r="BN183">
        <v>299.52999999999997</v>
      </c>
      <c r="BO183">
        <v>299.52999999999997</v>
      </c>
      <c r="BQ183" t="s">
        <v>765</v>
      </c>
      <c r="BR183" t="s">
        <v>276</v>
      </c>
      <c r="BS183" s="3">
        <v>44869</v>
      </c>
      <c r="BT183" s="4">
        <v>0.54166666666666663</v>
      </c>
      <c r="BU183" t="s">
        <v>766</v>
      </c>
      <c r="BV183" t="s">
        <v>85</v>
      </c>
      <c r="BY183">
        <v>169815.6</v>
      </c>
      <c r="BZ183" t="s">
        <v>278</v>
      </c>
      <c r="CC183" t="s">
        <v>763</v>
      </c>
      <c r="CD183">
        <v>3200</v>
      </c>
      <c r="CE183" t="s">
        <v>88</v>
      </c>
      <c r="CF183" s="3">
        <v>44873</v>
      </c>
      <c r="CI183">
        <v>3</v>
      </c>
      <c r="CJ183">
        <v>3</v>
      </c>
      <c r="CK183">
        <v>41</v>
      </c>
      <c r="CL183" t="s">
        <v>89</v>
      </c>
    </row>
    <row r="184" spans="1:90" ht="15" customHeight="1" x14ac:dyDescent="0.3">
      <c r="A184" t="s">
        <v>72</v>
      </c>
      <c r="B184" t="s">
        <v>73</v>
      </c>
      <c r="C184" t="s">
        <v>74</v>
      </c>
      <c r="E184" t="str">
        <f>"009942358077"</f>
        <v>009942358077</v>
      </c>
      <c r="F184" s="3">
        <v>44866</v>
      </c>
      <c r="G184">
        <v>202308</v>
      </c>
      <c r="H184" t="s">
        <v>75</v>
      </c>
      <c r="I184" t="s">
        <v>76</v>
      </c>
      <c r="J184" t="s">
        <v>273</v>
      </c>
      <c r="K184" t="s">
        <v>78</v>
      </c>
      <c r="L184" t="s">
        <v>424</v>
      </c>
      <c r="M184" t="s">
        <v>425</v>
      </c>
      <c r="N184" t="s">
        <v>767</v>
      </c>
      <c r="O184" t="s">
        <v>82</v>
      </c>
      <c r="P184" t="str">
        <f>"JOB:11881                     "</f>
        <v xml:space="preserve">JOB:11881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15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92.09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16.399999999999999</v>
      </c>
      <c r="BJ184">
        <v>39.9</v>
      </c>
      <c r="BK184">
        <v>40</v>
      </c>
      <c r="BL184">
        <v>265.83</v>
      </c>
      <c r="BM184">
        <v>39.869999999999997</v>
      </c>
      <c r="BN184">
        <v>305.7</v>
      </c>
      <c r="BO184">
        <v>305.7</v>
      </c>
      <c r="BQ184" t="s">
        <v>768</v>
      </c>
      <c r="BR184" t="s">
        <v>276</v>
      </c>
      <c r="BS184" s="3">
        <v>44867</v>
      </c>
      <c r="BT184" s="4">
        <v>0.67361111111111116</v>
      </c>
      <c r="BU184" t="s">
        <v>769</v>
      </c>
      <c r="BV184" t="s">
        <v>85</v>
      </c>
      <c r="BY184">
        <v>199300.5</v>
      </c>
      <c r="BZ184" t="s">
        <v>278</v>
      </c>
      <c r="CA184" t="s">
        <v>429</v>
      </c>
      <c r="CC184" t="s">
        <v>425</v>
      </c>
      <c r="CD184">
        <v>7200</v>
      </c>
      <c r="CE184" t="s">
        <v>88</v>
      </c>
      <c r="CF184" s="3">
        <v>44868</v>
      </c>
      <c r="CI184">
        <v>2</v>
      </c>
      <c r="CJ184">
        <v>1</v>
      </c>
      <c r="CK184">
        <v>44</v>
      </c>
      <c r="CL184" t="s">
        <v>89</v>
      </c>
    </row>
    <row r="185" spans="1:90" ht="15" customHeight="1" x14ac:dyDescent="0.3">
      <c r="A185" t="s">
        <v>72</v>
      </c>
      <c r="B185" t="s">
        <v>73</v>
      </c>
      <c r="C185" t="s">
        <v>74</v>
      </c>
      <c r="E185" t="str">
        <f>"009942358079"</f>
        <v>009942358079</v>
      </c>
      <c r="F185" s="3">
        <v>44866</v>
      </c>
      <c r="G185">
        <v>202308</v>
      </c>
      <c r="H185" t="s">
        <v>75</v>
      </c>
      <c r="I185" t="s">
        <v>76</v>
      </c>
      <c r="J185" t="s">
        <v>273</v>
      </c>
      <c r="K185" t="s">
        <v>78</v>
      </c>
      <c r="L185" t="s">
        <v>424</v>
      </c>
      <c r="M185" t="s">
        <v>425</v>
      </c>
      <c r="N185" t="s">
        <v>770</v>
      </c>
      <c r="O185" t="s">
        <v>82</v>
      </c>
      <c r="P185" t="str">
        <f>"JOB:11886                     "</f>
        <v xml:space="preserve">JOB:11886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81.93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25.7</v>
      </c>
      <c r="BJ185">
        <v>32.799999999999997</v>
      </c>
      <c r="BK185">
        <v>33</v>
      </c>
      <c r="BL185">
        <v>238.73</v>
      </c>
      <c r="BM185">
        <v>35.81</v>
      </c>
      <c r="BN185">
        <v>274.54000000000002</v>
      </c>
      <c r="BO185">
        <v>274.54000000000002</v>
      </c>
      <c r="BQ185" t="s">
        <v>771</v>
      </c>
      <c r="BR185" t="s">
        <v>276</v>
      </c>
      <c r="BS185" s="3">
        <v>44867</v>
      </c>
      <c r="BT185" s="4">
        <v>0.67361111111111116</v>
      </c>
      <c r="BU185" t="s">
        <v>769</v>
      </c>
      <c r="BV185" t="s">
        <v>85</v>
      </c>
      <c r="BY185">
        <v>164128.42000000001</v>
      </c>
      <c r="BZ185" t="s">
        <v>278</v>
      </c>
      <c r="CA185" t="s">
        <v>429</v>
      </c>
      <c r="CC185" t="s">
        <v>425</v>
      </c>
      <c r="CD185">
        <v>7200</v>
      </c>
      <c r="CE185" t="s">
        <v>88</v>
      </c>
      <c r="CF185" s="3">
        <v>44868</v>
      </c>
      <c r="CI185">
        <v>2</v>
      </c>
      <c r="CJ185">
        <v>1</v>
      </c>
      <c r="CK185">
        <v>44</v>
      </c>
      <c r="CL185" t="s">
        <v>89</v>
      </c>
    </row>
    <row r="186" spans="1:90" ht="15" customHeight="1" x14ac:dyDescent="0.3">
      <c r="A186" t="s">
        <v>72</v>
      </c>
      <c r="B186" t="s">
        <v>73</v>
      </c>
      <c r="C186" t="s">
        <v>74</v>
      </c>
      <c r="E186" t="str">
        <f>"009942899934"</f>
        <v>009942899934</v>
      </c>
      <c r="F186" s="3">
        <v>44866</v>
      </c>
      <c r="G186">
        <v>202308</v>
      </c>
      <c r="H186" t="s">
        <v>111</v>
      </c>
      <c r="I186" t="s">
        <v>112</v>
      </c>
      <c r="J186" t="s">
        <v>94</v>
      </c>
      <c r="K186" t="s">
        <v>78</v>
      </c>
      <c r="L186" t="s">
        <v>79</v>
      </c>
      <c r="M186" t="s">
        <v>80</v>
      </c>
      <c r="N186" t="s">
        <v>772</v>
      </c>
      <c r="O186" t="s">
        <v>96</v>
      </c>
      <c r="P186" t="str">
        <f>"J28731                        "</f>
        <v xml:space="preserve">J28731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35.090000000000003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10.8</v>
      </c>
      <c r="BK186">
        <v>11</v>
      </c>
      <c r="BL186">
        <v>93.58</v>
      </c>
      <c r="BM186">
        <v>14.04</v>
      </c>
      <c r="BN186">
        <v>107.62</v>
      </c>
      <c r="BO186">
        <v>107.62</v>
      </c>
      <c r="BQ186" t="s">
        <v>773</v>
      </c>
      <c r="BR186" t="s">
        <v>113</v>
      </c>
      <c r="BS186" s="3">
        <v>44867</v>
      </c>
      <c r="BT186" s="4">
        <v>0.3576388888888889</v>
      </c>
      <c r="BU186" t="s">
        <v>774</v>
      </c>
      <c r="BV186" t="s">
        <v>85</v>
      </c>
      <c r="BY186">
        <v>54000</v>
      </c>
      <c r="BZ186" t="s">
        <v>101</v>
      </c>
      <c r="CA186" t="s">
        <v>193</v>
      </c>
      <c r="CC186" t="s">
        <v>80</v>
      </c>
      <c r="CD186">
        <v>2094</v>
      </c>
      <c r="CE186" t="s">
        <v>88</v>
      </c>
      <c r="CF186" s="3">
        <v>44867</v>
      </c>
      <c r="CI186">
        <v>1</v>
      </c>
      <c r="CJ186">
        <v>1</v>
      </c>
      <c r="CK186">
        <v>22</v>
      </c>
      <c r="CL186" t="s">
        <v>89</v>
      </c>
    </row>
    <row r="187" spans="1:90" ht="15" customHeight="1" x14ac:dyDescent="0.3">
      <c r="A187" t="s">
        <v>72</v>
      </c>
      <c r="B187" t="s">
        <v>73</v>
      </c>
      <c r="C187" t="s">
        <v>74</v>
      </c>
      <c r="E187" t="str">
        <f>"009942899938"</f>
        <v>009942899938</v>
      </c>
      <c r="F187" s="3">
        <v>44866</v>
      </c>
      <c r="G187">
        <v>202308</v>
      </c>
      <c r="H187" t="s">
        <v>111</v>
      </c>
      <c r="I187" t="s">
        <v>112</v>
      </c>
      <c r="J187" t="s">
        <v>94</v>
      </c>
      <c r="K187" t="s">
        <v>78</v>
      </c>
      <c r="L187" t="s">
        <v>200</v>
      </c>
      <c r="M187" t="s">
        <v>201</v>
      </c>
      <c r="N187" t="s">
        <v>775</v>
      </c>
      <c r="O187" t="s">
        <v>96</v>
      </c>
      <c r="P187" t="str">
        <f>"J26821                        "</f>
        <v xml:space="preserve">J26821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20.41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4.0999999999999996</v>
      </c>
      <c r="BJ187">
        <v>6.9</v>
      </c>
      <c r="BK187">
        <v>7</v>
      </c>
      <c r="BL187">
        <v>54.42</v>
      </c>
      <c r="BM187">
        <v>8.16</v>
      </c>
      <c r="BN187">
        <v>62.58</v>
      </c>
      <c r="BO187">
        <v>62.58</v>
      </c>
      <c r="BQ187" t="s">
        <v>776</v>
      </c>
      <c r="BR187" t="s">
        <v>113</v>
      </c>
      <c r="BS187" s="3">
        <v>44867</v>
      </c>
      <c r="BT187" s="4">
        <v>0.37152777777777773</v>
      </c>
      <c r="BU187" t="s">
        <v>777</v>
      </c>
      <c r="BV187" t="s">
        <v>85</v>
      </c>
      <c r="BY187">
        <v>34607.480000000003</v>
      </c>
      <c r="BZ187" t="s">
        <v>101</v>
      </c>
      <c r="CA187" t="s">
        <v>778</v>
      </c>
      <c r="CC187" t="s">
        <v>201</v>
      </c>
      <c r="CD187">
        <v>1422</v>
      </c>
      <c r="CE187" t="s">
        <v>88</v>
      </c>
      <c r="CF187" s="3">
        <v>44868</v>
      </c>
      <c r="CI187">
        <v>1</v>
      </c>
      <c r="CJ187">
        <v>1</v>
      </c>
      <c r="CK187">
        <v>22</v>
      </c>
      <c r="CL187" t="s">
        <v>89</v>
      </c>
    </row>
    <row r="188" spans="1:90" ht="15" customHeight="1" x14ac:dyDescent="0.3">
      <c r="A188" t="s">
        <v>72</v>
      </c>
      <c r="B188" t="s">
        <v>73</v>
      </c>
      <c r="C188" t="s">
        <v>74</v>
      </c>
      <c r="E188" t="str">
        <f>"009942899936"</f>
        <v>009942899936</v>
      </c>
      <c r="F188" s="3">
        <v>44866</v>
      </c>
      <c r="G188">
        <v>202308</v>
      </c>
      <c r="H188" t="s">
        <v>111</v>
      </c>
      <c r="I188" t="s">
        <v>112</v>
      </c>
      <c r="J188" t="s">
        <v>94</v>
      </c>
      <c r="K188" t="s">
        <v>78</v>
      </c>
      <c r="L188" t="s">
        <v>200</v>
      </c>
      <c r="M188" t="s">
        <v>201</v>
      </c>
      <c r="N188" t="s">
        <v>779</v>
      </c>
      <c r="O188" t="s">
        <v>96</v>
      </c>
      <c r="P188" t="str">
        <f>"J28637                        "</f>
        <v xml:space="preserve">J28637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20.41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</v>
      </c>
      <c r="BJ188">
        <v>4.5999999999999996</v>
      </c>
      <c r="BK188">
        <v>5</v>
      </c>
      <c r="BL188">
        <v>54.42</v>
      </c>
      <c r="BM188">
        <v>8.16</v>
      </c>
      <c r="BN188">
        <v>62.58</v>
      </c>
      <c r="BO188">
        <v>62.58</v>
      </c>
      <c r="BQ188" t="s">
        <v>780</v>
      </c>
      <c r="BR188" t="s">
        <v>113</v>
      </c>
      <c r="BS188" s="3">
        <v>44867</v>
      </c>
      <c r="BT188" s="4">
        <v>0.4375</v>
      </c>
      <c r="BU188" t="s">
        <v>781</v>
      </c>
      <c r="BV188" t="s">
        <v>85</v>
      </c>
      <c r="BY188">
        <v>22774.75</v>
      </c>
      <c r="BZ188" t="s">
        <v>101</v>
      </c>
      <c r="CA188" t="s">
        <v>782</v>
      </c>
      <c r="CC188" t="s">
        <v>201</v>
      </c>
      <c r="CD188">
        <v>1400</v>
      </c>
      <c r="CE188" t="s">
        <v>88</v>
      </c>
      <c r="CF188" s="3">
        <v>44868</v>
      </c>
      <c r="CI188">
        <v>1</v>
      </c>
      <c r="CJ188">
        <v>1</v>
      </c>
      <c r="CK188">
        <v>22</v>
      </c>
      <c r="CL188" t="s">
        <v>89</v>
      </c>
    </row>
    <row r="189" spans="1:90" ht="15" customHeight="1" x14ac:dyDescent="0.3">
      <c r="A189" t="s">
        <v>72</v>
      </c>
      <c r="B189" t="s">
        <v>73</v>
      </c>
      <c r="C189" t="s">
        <v>74</v>
      </c>
      <c r="E189" t="str">
        <f>"009942701345"</f>
        <v>009942701345</v>
      </c>
      <c r="F189" s="3">
        <v>44867</v>
      </c>
      <c r="G189">
        <v>202308</v>
      </c>
      <c r="H189" t="s">
        <v>108</v>
      </c>
      <c r="I189" t="s">
        <v>109</v>
      </c>
      <c r="J189" t="s">
        <v>110</v>
      </c>
      <c r="K189" t="s">
        <v>78</v>
      </c>
      <c r="L189" t="s">
        <v>75</v>
      </c>
      <c r="M189" t="s">
        <v>76</v>
      </c>
      <c r="N189" t="s">
        <v>94</v>
      </c>
      <c r="O189" t="s">
        <v>96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56.59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</v>
      </c>
      <c r="BJ189">
        <v>1.7</v>
      </c>
      <c r="BK189">
        <v>4</v>
      </c>
      <c r="BL189">
        <v>143.65</v>
      </c>
      <c r="BM189">
        <v>21.55</v>
      </c>
      <c r="BN189">
        <v>165.2</v>
      </c>
      <c r="BO189">
        <v>165.2</v>
      </c>
      <c r="BQ189" t="s">
        <v>585</v>
      </c>
      <c r="BR189" t="s">
        <v>114</v>
      </c>
      <c r="BS189" s="3">
        <v>44869</v>
      </c>
      <c r="BT189" s="4">
        <v>0.44097222222222227</v>
      </c>
      <c r="BU189" t="s">
        <v>783</v>
      </c>
      <c r="BV189" t="s">
        <v>89</v>
      </c>
      <c r="BW189" t="s">
        <v>99</v>
      </c>
      <c r="BX189" t="s">
        <v>630</v>
      </c>
      <c r="BY189">
        <v>8464</v>
      </c>
      <c r="BZ189" t="s">
        <v>101</v>
      </c>
      <c r="CA189" t="s">
        <v>627</v>
      </c>
      <c r="CC189" t="s">
        <v>76</v>
      </c>
      <c r="CD189">
        <v>7530</v>
      </c>
      <c r="CE189" t="s">
        <v>88</v>
      </c>
      <c r="CF189" s="3">
        <v>44872</v>
      </c>
      <c r="CI189">
        <v>1</v>
      </c>
      <c r="CJ189">
        <v>2</v>
      </c>
      <c r="CK189">
        <v>21</v>
      </c>
      <c r="CL189" t="s">
        <v>89</v>
      </c>
    </row>
    <row r="190" spans="1:90" ht="15" customHeight="1" x14ac:dyDescent="0.3">
      <c r="A190" t="s">
        <v>72</v>
      </c>
      <c r="B190" t="s">
        <v>73</v>
      </c>
      <c r="C190" t="s">
        <v>74</v>
      </c>
      <c r="E190" t="str">
        <f>"009942701275"</f>
        <v>009942701275</v>
      </c>
      <c r="F190" s="3">
        <v>44867</v>
      </c>
      <c r="G190">
        <v>202308</v>
      </c>
      <c r="H190" t="s">
        <v>108</v>
      </c>
      <c r="I190" t="s">
        <v>109</v>
      </c>
      <c r="J190" t="s">
        <v>110</v>
      </c>
      <c r="K190" t="s">
        <v>78</v>
      </c>
      <c r="L190" t="s">
        <v>111</v>
      </c>
      <c r="M190" t="s">
        <v>112</v>
      </c>
      <c r="N190" t="s">
        <v>94</v>
      </c>
      <c r="O190" t="s">
        <v>96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28.3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</v>
      </c>
      <c r="BJ190">
        <v>1.4</v>
      </c>
      <c r="BK190">
        <v>2</v>
      </c>
      <c r="BL190">
        <v>71.84</v>
      </c>
      <c r="BM190">
        <v>10.78</v>
      </c>
      <c r="BN190">
        <v>82.62</v>
      </c>
      <c r="BO190">
        <v>82.62</v>
      </c>
      <c r="BQ190" t="s">
        <v>113</v>
      </c>
      <c r="BR190" t="s">
        <v>114</v>
      </c>
      <c r="BS190" s="3">
        <v>44869</v>
      </c>
      <c r="BT190" s="4">
        <v>0.4284722222222222</v>
      </c>
      <c r="BU190" t="s">
        <v>759</v>
      </c>
      <c r="BV190" t="s">
        <v>89</v>
      </c>
      <c r="BW190" t="s">
        <v>205</v>
      </c>
      <c r="BX190" t="s">
        <v>206</v>
      </c>
      <c r="BY190">
        <v>7020</v>
      </c>
      <c r="BZ190" t="s">
        <v>101</v>
      </c>
      <c r="CA190" t="s">
        <v>116</v>
      </c>
      <c r="CC190" t="s">
        <v>112</v>
      </c>
      <c r="CD190">
        <v>1620</v>
      </c>
      <c r="CE190" t="s">
        <v>88</v>
      </c>
      <c r="CF190" s="3">
        <v>44870</v>
      </c>
      <c r="CI190">
        <v>1</v>
      </c>
      <c r="CJ190">
        <v>2</v>
      </c>
      <c r="CK190">
        <v>21</v>
      </c>
      <c r="CL190" t="s">
        <v>89</v>
      </c>
    </row>
    <row r="191" spans="1:90" ht="15" customHeight="1" x14ac:dyDescent="0.3">
      <c r="A191" t="s">
        <v>72</v>
      </c>
      <c r="B191" t="s">
        <v>73</v>
      </c>
      <c r="C191" t="s">
        <v>74</v>
      </c>
      <c r="E191" t="str">
        <f>"009942899919"</f>
        <v>009942899919</v>
      </c>
      <c r="F191" s="3">
        <v>44867</v>
      </c>
      <c r="G191">
        <v>202308</v>
      </c>
      <c r="H191" t="s">
        <v>111</v>
      </c>
      <c r="I191" t="s">
        <v>112</v>
      </c>
      <c r="J191" t="s">
        <v>94</v>
      </c>
      <c r="K191" t="s">
        <v>78</v>
      </c>
      <c r="L191" t="s">
        <v>254</v>
      </c>
      <c r="M191" t="s">
        <v>255</v>
      </c>
      <c r="N191" t="s">
        <v>784</v>
      </c>
      <c r="O191" t="s">
        <v>96</v>
      </c>
      <c r="P191" t="str">
        <f>"J72362                        "</f>
        <v xml:space="preserve">J72362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134.38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5.0999999999999996</v>
      </c>
      <c r="BJ191">
        <v>9.3000000000000007</v>
      </c>
      <c r="BK191">
        <v>9.5</v>
      </c>
      <c r="BL191">
        <v>341.12</v>
      </c>
      <c r="BM191">
        <v>51.17</v>
      </c>
      <c r="BN191">
        <v>392.29</v>
      </c>
      <c r="BO191">
        <v>392.29</v>
      </c>
      <c r="BQ191" t="s">
        <v>785</v>
      </c>
      <c r="BR191" t="s">
        <v>113</v>
      </c>
      <c r="BS191" s="3">
        <v>44868</v>
      </c>
      <c r="BT191" s="4">
        <v>0.3430555555555555</v>
      </c>
      <c r="BU191" t="s">
        <v>786</v>
      </c>
      <c r="BV191" t="s">
        <v>85</v>
      </c>
      <c r="BY191">
        <v>46409.54</v>
      </c>
      <c r="BZ191" t="s">
        <v>101</v>
      </c>
      <c r="CA191" t="s">
        <v>787</v>
      </c>
      <c r="CC191" t="s">
        <v>255</v>
      </c>
      <c r="CD191">
        <v>46</v>
      </c>
      <c r="CE191" t="s">
        <v>88</v>
      </c>
      <c r="CF191" s="3">
        <v>44868</v>
      </c>
      <c r="CI191">
        <v>1</v>
      </c>
      <c r="CJ191">
        <v>1</v>
      </c>
      <c r="CK191">
        <v>21</v>
      </c>
      <c r="CL191" t="s">
        <v>89</v>
      </c>
    </row>
    <row r="192" spans="1:90" ht="15" customHeight="1" x14ac:dyDescent="0.3">
      <c r="A192" t="s">
        <v>72</v>
      </c>
      <c r="B192" t="s">
        <v>73</v>
      </c>
      <c r="C192" t="s">
        <v>74</v>
      </c>
      <c r="E192" t="str">
        <f>"009942899928"</f>
        <v>009942899928</v>
      </c>
      <c r="F192" s="3">
        <v>44867</v>
      </c>
      <c r="G192">
        <v>202308</v>
      </c>
      <c r="H192" t="s">
        <v>111</v>
      </c>
      <c r="I192" t="s">
        <v>112</v>
      </c>
      <c r="J192" t="s">
        <v>94</v>
      </c>
      <c r="K192" t="s">
        <v>78</v>
      </c>
      <c r="L192" t="s">
        <v>686</v>
      </c>
      <c r="M192" t="s">
        <v>687</v>
      </c>
      <c r="N192" t="s">
        <v>788</v>
      </c>
      <c r="O192" t="s">
        <v>96</v>
      </c>
      <c r="P192" t="str">
        <f>"J26261                        "</f>
        <v xml:space="preserve">J26261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39.81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1.8</v>
      </c>
      <c r="BJ192">
        <v>0.5</v>
      </c>
      <c r="BK192">
        <v>2</v>
      </c>
      <c r="BL192">
        <v>101.05</v>
      </c>
      <c r="BM192">
        <v>15.16</v>
      </c>
      <c r="BN192">
        <v>116.21</v>
      </c>
      <c r="BO192">
        <v>116.21</v>
      </c>
      <c r="BQ192" t="s">
        <v>789</v>
      </c>
      <c r="BR192" t="s">
        <v>113</v>
      </c>
      <c r="BS192" s="3">
        <v>44868</v>
      </c>
      <c r="BT192" s="4">
        <v>0.43055555555555558</v>
      </c>
      <c r="BU192" t="s">
        <v>790</v>
      </c>
      <c r="BV192" t="s">
        <v>85</v>
      </c>
      <c r="BY192">
        <v>2739.28</v>
      </c>
      <c r="BZ192" t="s">
        <v>101</v>
      </c>
      <c r="CA192" t="s">
        <v>791</v>
      </c>
      <c r="CC192" t="s">
        <v>687</v>
      </c>
      <c r="CD192">
        <v>1939</v>
      </c>
      <c r="CE192" t="s">
        <v>88</v>
      </c>
      <c r="CF192" s="3">
        <v>44869</v>
      </c>
      <c r="CI192">
        <v>1</v>
      </c>
      <c r="CJ192">
        <v>1</v>
      </c>
      <c r="CK192">
        <v>24</v>
      </c>
      <c r="CL192" t="s">
        <v>89</v>
      </c>
    </row>
    <row r="193" spans="1:90" ht="15" customHeight="1" x14ac:dyDescent="0.3">
      <c r="A193" t="s">
        <v>72</v>
      </c>
      <c r="B193" t="s">
        <v>73</v>
      </c>
      <c r="C193" t="s">
        <v>74</v>
      </c>
      <c r="E193" t="str">
        <f>"009942899926"</f>
        <v>009942899926</v>
      </c>
      <c r="F193" s="3">
        <v>44867</v>
      </c>
      <c r="G193">
        <v>202308</v>
      </c>
      <c r="H193" t="s">
        <v>111</v>
      </c>
      <c r="I193" t="s">
        <v>112</v>
      </c>
      <c r="J193" t="s">
        <v>94</v>
      </c>
      <c r="K193" t="s">
        <v>78</v>
      </c>
      <c r="L193" t="s">
        <v>651</v>
      </c>
      <c r="M193" t="s">
        <v>652</v>
      </c>
      <c r="N193" t="s">
        <v>653</v>
      </c>
      <c r="O193" t="s">
        <v>96</v>
      </c>
      <c r="P193" t="str">
        <f>"J27983                        "</f>
        <v xml:space="preserve">J27983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54.83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1.8</v>
      </c>
      <c r="BJ193">
        <v>1.1000000000000001</v>
      </c>
      <c r="BK193">
        <v>2</v>
      </c>
      <c r="BL193">
        <v>139.19</v>
      </c>
      <c r="BM193">
        <v>20.88</v>
      </c>
      <c r="BN193">
        <v>160.07</v>
      </c>
      <c r="BO193">
        <v>160.07</v>
      </c>
      <c r="BQ193" t="s">
        <v>792</v>
      </c>
      <c r="BR193" t="s">
        <v>113</v>
      </c>
      <c r="BS193" s="3">
        <v>44868</v>
      </c>
      <c r="BT193" s="4">
        <v>0.45833333333333331</v>
      </c>
      <c r="BU193" t="s">
        <v>793</v>
      </c>
      <c r="BV193" t="s">
        <v>85</v>
      </c>
      <c r="BY193">
        <v>5481.22</v>
      </c>
      <c r="BZ193" t="s">
        <v>101</v>
      </c>
      <c r="CA193" t="s">
        <v>656</v>
      </c>
      <c r="CC193" t="s">
        <v>652</v>
      </c>
      <c r="CD193">
        <v>1209</v>
      </c>
      <c r="CE193" t="s">
        <v>88</v>
      </c>
      <c r="CF193" s="3">
        <v>44868</v>
      </c>
      <c r="CI193">
        <v>1</v>
      </c>
      <c r="CJ193">
        <v>1</v>
      </c>
      <c r="CK193">
        <v>23</v>
      </c>
      <c r="CL193" t="s">
        <v>89</v>
      </c>
    </row>
    <row r="194" spans="1:90" ht="15" customHeight="1" x14ac:dyDescent="0.3">
      <c r="A194" t="s">
        <v>72</v>
      </c>
      <c r="B194" t="s">
        <v>73</v>
      </c>
      <c r="C194" t="s">
        <v>74</v>
      </c>
      <c r="E194" t="str">
        <f>"009942899927"</f>
        <v>009942899927</v>
      </c>
      <c r="F194" s="3">
        <v>44867</v>
      </c>
      <c r="G194">
        <v>202308</v>
      </c>
      <c r="H194" t="s">
        <v>111</v>
      </c>
      <c r="I194" t="s">
        <v>112</v>
      </c>
      <c r="J194" t="s">
        <v>94</v>
      </c>
      <c r="K194" t="s">
        <v>78</v>
      </c>
      <c r="L194" t="s">
        <v>160</v>
      </c>
      <c r="M194" t="s">
        <v>161</v>
      </c>
      <c r="N194" t="s">
        <v>794</v>
      </c>
      <c r="O194" t="s">
        <v>96</v>
      </c>
      <c r="P194" t="str">
        <f>"J28750                        "</f>
        <v xml:space="preserve">J28750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39.81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1.9</v>
      </c>
      <c r="BJ194">
        <v>1.2</v>
      </c>
      <c r="BK194">
        <v>2</v>
      </c>
      <c r="BL194">
        <v>101.05</v>
      </c>
      <c r="BM194">
        <v>15.16</v>
      </c>
      <c r="BN194">
        <v>116.21</v>
      </c>
      <c r="BO194">
        <v>116.21</v>
      </c>
      <c r="BQ194" t="s">
        <v>163</v>
      </c>
      <c r="BR194" t="s">
        <v>113</v>
      </c>
      <c r="BS194" s="3">
        <v>44869</v>
      </c>
      <c r="BT194" s="4">
        <v>0.46388888888888885</v>
      </c>
      <c r="BU194" t="s">
        <v>795</v>
      </c>
      <c r="BV194" t="s">
        <v>85</v>
      </c>
      <c r="BY194">
        <v>5852.16</v>
      </c>
      <c r="BZ194" t="s">
        <v>101</v>
      </c>
      <c r="CA194" t="s">
        <v>165</v>
      </c>
      <c r="CC194" t="s">
        <v>161</v>
      </c>
      <c r="CD194">
        <v>2333</v>
      </c>
      <c r="CE194" t="s">
        <v>88</v>
      </c>
      <c r="CF194" s="3">
        <v>44869</v>
      </c>
      <c r="CI194">
        <v>5</v>
      </c>
      <c r="CJ194">
        <v>2</v>
      </c>
      <c r="CK194">
        <v>24</v>
      </c>
      <c r="CL194" t="s">
        <v>89</v>
      </c>
    </row>
    <row r="195" spans="1:90" ht="15" customHeight="1" x14ac:dyDescent="0.3">
      <c r="A195" t="s">
        <v>72</v>
      </c>
      <c r="B195" t="s">
        <v>73</v>
      </c>
      <c r="C195" t="s">
        <v>74</v>
      </c>
      <c r="E195" t="str">
        <f>"009942899922"</f>
        <v>009942899922</v>
      </c>
      <c r="F195" s="3">
        <v>44867</v>
      </c>
      <c r="G195">
        <v>202308</v>
      </c>
      <c r="H195" t="s">
        <v>111</v>
      </c>
      <c r="I195" t="s">
        <v>112</v>
      </c>
      <c r="J195" t="s">
        <v>94</v>
      </c>
      <c r="K195" t="s">
        <v>78</v>
      </c>
      <c r="L195" t="s">
        <v>75</v>
      </c>
      <c r="M195" t="s">
        <v>76</v>
      </c>
      <c r="N195" t="s">
        <v>796</v>
      </c>
      <c r="O195" t="s">
        <v>96</v>
      </c>
      <c r="P195" t="str">
        <f>"C21709                        "</f>
        <v xml:space="preserve">C21709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28.3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71.84</v>
      </c>
      <c r="BM195">
        <v>10.78</v>
      </c>
      <c r="BN195">
        <v>82.62</v>
      </c>
      <c r="BO195">
        <v>82.62</v>
      </c>
      <c r="BQ195" t="s">
        <v>797</v>
      </c>
      <c r="BR195" t="s">
        <v>113</v>
      </c>
      <c r="BS195" s="3">
        <v>44869</v>
      </c>
      <c r="BT195" s="4">
        <v>0.40416666666666662</v>
      </c>
      <c r="BU195" t="s">
        <v>798</v>
      </c>
      <c r="BV195" t="s">
        <v>89</v>
      </c>
      <c r="BW195" t="s">
        <v>157</v>
      </c>
      <c r="BX195" t="s">
        <v>799</v>
      </c>
      <c r="BY195">
        <v>1200</v>
      </c>
      <c r="BZ195" t="s">
        <v>101</v>
      </c>
      <c r="CA195" t="s">
        <v>800</v>
      </c>
      <c r="CC195" t="s">
        <v>76</v>
      </c>
      <c r="CD195">
        <v>7945</v>
      </c>
      <c r="CE195" t="s">
        <v>88</v>
      </c>
      <c r="CF195" s="3">
        <v>44872</v>
      </c>
      <c r="CI195">
        <v>1</v>
      </c>
      <c r="CJ195">
        <v>2</v>
      </c>
      <c r="CK195">
        <v>21</v>
      </c>
      <c r="CL195" t="s">
        <v>89</v>
      </c>
    </row>
    <row r="196" spans="1:90" ht="15" customHeight="1" x14ac:dyDescent="0.3">
      <c r="A196" t="s">
        <v>72</v>
      </c>
      <c r="B196" t="s">
        <v>73</v>
      </c>
      <c r="C196" t="s">
        <v>74</v>
      </c>
      <c r="E196" t="str">
        <f>"009942899924"</f>
        <v>009942899924</v>
      </c>
      <c r="F196" s="3">
        <v>44867</v>
      </c>
      <c r="G196">
        <v>202308</v>
      </c>
      <c r="H196" t="s">
        <v>111</v>
      </c>
      <c r="I196" t="s">
        <v>112</v>
      </c>
      <c r="J196" t="s">
        <v>94</v>
      </c>
      <c r="K196" t="s">
        <v>78</v>
      </c>
      <c r="L196" t="s">
        <v>185</v>
      </c>
      <c r="M196" t="s">
        <v>186</v>
      </c>
      <c r="N196" t="s">
        <v>801</v>
      </c>
      <c r="O196" t="s">
        <v>96</v>
      </c>
      <c r="P196" t="str">
        <f>"J28144                        "</f>
        <v xml:space="preserve">J28144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67.22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0.8</v>
      </c>
      <c r="BJ196">
        <v>2.2999999999999998</v>
      </c>
      <c r="BK196">
        <v>2.5</v>
      </c>
      <c r="BL196">
        <v>170.63</v>
      </c>
      <c r="BM196">
        <v>25.59</v>
      </c>
      <c r="BN196">
        <v>196.22</v>
      </c>
      <c r="BO196">
        <v>196.22</v>
      </c>
      <c r="BQ196" t="s">
        <v>802</v>
      </c>
      <c r="BR196" t="s">
        <v>113</v>
      </c>
      <c r="BS196" s="3">
        <v>44868</v>
      </c>
      <c r="BT196" s="4">
        <v>0.5395833333333333</v>
      </c>
      <c r="BU196" t="s">
        <v>803</v>
      </c>
      <c r="BV196" t="s">
        <v>85</v>
      </c>
      <c r="BY196">
        <v>11478.88</v>
      </c>
      <c r="BZ196" t="s">
        <v>101</v>
      </c>
      <c r="CA196" t="s">
        <v>439</v>
      </c>
      <c r="CC196" t="s">
        <v>186</v>
      </c>
      <c r="CD196">
        <v>250</v>
      </c>
      <c r="CE196" t="s">
        <v>88</v>
      </c>
      <c r="CF196" s="3">
        <v>44869</v>
      </c>
      <c r="CI196">
        <v>1</v>
      </c>
      <c r="CJ196">
        <v>1</v>
      </c>
      <c r="CK196">
        <v>23</v>
      </c>
      <c r="CL196" t="s">
        <v>89</v>
      </c>
    </row>
    <row r="197" spans="1:90" ht="15" customHeight="1" x14ac:dyDescent="0.3">
      <c r="A197" t="s">
        <v>72</v>
      </c>
      <c r="B197" t="s">
        <v>73</v>
      </c>
      <c r="C197" t="s">
        <v>74</v>
      </c>
      <c r="E197" t="str">
        <f>"009942899920"</f>
        <v>009942899920</v>
      </c>
      <c r="F197" s="3">
        <v>44867</v>
      </c>
      <c r="G197">
        <v>202308</v>
      </c>
      <c r="H197" t="s">
        <v>111</v>
      </c>
      <c r="I197" t="s">
        <v>112</v>
      </c>
      <c r="J197" t="s">
        <v>94</v>
      </c>
      <c r="K197" t="s">
        <v>78</v>
      </c>
      <c r="L197" t="s">
        <v>200</v>
      </c>
      <c r="M197" t="s">
        <v>201</v>
      </c>
      <c r="N197" t="s">
        <v>103</v>
      </c>
      <c r="O197" t="s">
        <v>96</v>
      </c>
      <c r="P197" t="str">
        <f>"J28761                        "</f>
        <v xml:space="preserve">J28761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22.11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0.3</v>
      </c>
      <c r="BK197">
        <v>0.5</v>
      </c>
      <c r="BL197">
        <v>56.12</v>
      </c>
      <c r="BM197">
        <v>8.42</v>
      </c>
      <c r="BN197">
        <v>64.540000000000006</v>
      </c>
      <c r="BO197">
        <v>64.540000000000006</v>
      </c>
      <c r="BQ197" t="s">
        <v>804</v>
      </c>
      <c r="BR197" t="s">
        <v>113</v>
      </c>
      <c r="BS197" s="3">
        <v>44868</v>
      </c>
      <c r="BT197" s="4">
        <v>0.36805555555555558</v>
      </c>
      <c r="BU197" t="s">
        <v>805</v>
      </c>
      <c r="BV197" t="s">
        <v>85</v>
      </c>
      <c r="BY197">
        <v>1606.71</v>
      </c>
      <c r="BZ197" t="s">
        <v>101</v>
      </c>
      <c r="CA197" t="s">
        <v>207</v>
      </c>
      <c r="CC197" t="s">
        <v>201</v>
      </c>
      <c r="CD197">
        <v>1401</v>
      </c>
      <c r="CE197" t="s">
        <v>88</v>
      </c>
      <c r="CF197" s="3">
        <v>44869</v>
      </c>
      <c r="CI197">
        <v>1</v>
      </c>
      <c r="CJ197">
        <v>1</v>
      </c>
      <c r="CK197">
        <v>22</v>
      </c>
      <c r="CL197" t="s">
        <v>89</v>
      </c>
    </row>
    <row r="198" spans="1:90" ht="15" customHeight="1" x14ac:dyDescent="0.3">
      <c r="A198" t="s">
        <v>72</v>
      </c>
      <c r="B198" t="s">
        <v>73</v>
      </c>
      <c r="C198" t="s">
        <v>74</v>
      </c>
      <c r="E198" t="str">
        <f>"009942899925"</f>
        <v>009942899925</v>
      </c>
      <c r="F198" s="3">
        <v>44867</v>
      </c>
      <c r="G198">
        <v>202308</v>
      </c>
      <c r="H198" t="s">
        <v>111</v>
      </c>
      <c r="I198" t="s">
        <v>112</v>
      </c>
      <c r="J198" t="s">
        <v>94</v>
      </c>
      <c r="K198" t="s">
        <v>78</v>
      </c>
      <c r="L198" t="s">
        <v>200</v>
      </c>
      <c r="M198" t="s">
        <v>201</v>
      </c>
      <c r="N198" t="s">
        <v>806</v>
      </c>
      <c r="O198" t="s">
        <v>96</v>
      </c>
      <c r="P198" t="str">
        <f>"J28162                        "</f>
        <v xml:space="preserve">J28162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22.11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0.6</v>
      </c>
      <c r="BJ198">
        <v>0.3</v>
      </c>
      <c r="BK198">
        <v>1</v>
      </c>
      <c r="BL198">
        <v>56.12</v>
      </c>
      <c r="BM198">
        <v>8.42</v>
      </c>
      <c r="BN198">
        <v>64.540000000000006</v>
      </c>
      <c r="BO198">
        <v>64.540000000000006</v>
      </c>
      <c r="BQ198" t="s">
        <v>807</v>
      </c>
      <c r="BR198" t="s">
        <v>113</v>
      </c>
      <c r="BS198" s="3">
        <v>44868</v>
      </c>
      <c r="BT198" s="4">
        <v>0.42986111111111108</v>
      </c>
      <c r="BU198" t="s">
        <v>808</v>
      </c>
      <c r="BV198" t="s">
        <v>85</v>
      </c>
      <c r="BY198">
        <v>1677.41</v>
      </c>
      <c r="BZ198" t="s">
        <v>101</v>
      </c>
      <c r="CA198" t="s">
        <v>207</v>
      </c>
      <c r="CC198" t="s">
        <v>201</v>
      </c>
      <c r="CD198">
        <v>1422</v>
      </c>
      <c r="CE198" t="s">
        <v>88</v>
      </c>
      <c r="CF198" s="3">
        <v>44869</v>
      </c>
      <c r="CI198">
        <v>1</v>
      </c>
      <c r="CJ198">
        <v>1</v>
      </c>
      <c r="CK198">
        <v>22</v>
      </c>
      <c r="CL198" t="s">
        <v>89</v>
      </c>
    </row>
    <row r="199" spans="1:90" ht="15" customHeight="1" x14ac:dyDescent="0.3">
      <c r="A199" t="s">
        <v>72</v>
      </c>
      <c r="B199" t="s">
        <v>73</v>
      </c>
      <c r="C199" t="s">
        <v>74</v>
      </c>
      <c r="E199" t="str">
        <f>"009942899932"</f>
        <v>009942899932</v>
      </c>
      <c r="F199" s="3">
        <v>44867</v>
      </c>
      <c r="G199">
        <v>202308</v>
      </c>
      <c r="H199" t="s">
        <v>111</v>
      </c>
      <c r="I199" t="s">
        <v>112</v>
      </c>
      <c r="J199" t="s">
        <v>94</v>
      </c>
      <c r="K199" t="s">
        <v>78</v>
      </c>
      <c r="L199" t="s">
        <v>809</v>
      </c>
      <c r="M199" t="s">
        <v>810</v>
      </c>
      <c r="N199" t="s">
        <v>811</v>
      </c>
      <c r="O199" t="s">
        <v>96</v>
      </c>
      <c r="P199" t="str">
        <f>"NO19182                       "</f>
        <v xml:space="preserve">NO19182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70.73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1.1000000000000001</v>
      </c>
      <c r="BJ199">
        <v>4.5999999999999996</v>
      </c>
      <c r="BK199">
        <v>5</v>
      </c>
      <c r="BL199">
        <v>179.55</v>
      </c>
      <c r="BM199">
        <v>26.93</v>
      </c>
      <c r="BN199">
        <v>206.48</v>
      </c>
      <c r="BO199">
        <v>206.48</v>
      </c>
      <c r="BQ199" t="s">
        <v>812</v>
      </c>
      <c r="BR199" t="s">
        <v>113</v>
      </c>
      <c r="BS199" s="3">
        <v>44868</v>
      </c>
      <c r="BT199" s="4">
        <v>0.45277777777777778</v>
      </c>
      <c r="BU199" t="s">
        <v>344</v>
      </c>
      <c r="BV199" t="s">
        <v>89</v>
      </c>
      <c r="BW199" t="s">
        <v>205</v>
      </c>
      <c r="BX199" t="s">
        <v>813</v>
      </c>
      <c r="BY199">
        <v>22794.98</v>
      </c>
      <c r="BZ199" t="s">
        <v>101</v>
      </c>
      <c r="CC199" t="s">
        <v>810</v>
      </c>
      <c r="CD199">
        <v>9300</v>
      </c>
      <c r="CE199" t="s">
        <v>88</v>
      </c>
      <c r="CF199" s="3">
        <v>44869</v>
      </c>
      <c r="CI199">
        <v>1</v>
      </c>
      <c r="CJ199">
        <v>1</v>
      </c>
      <c r="CK199">
        <v>21</v>
      </c>
      <c r="CL199" t="s">
        <v>89</v>
      </c>
    </row>
    <row r="200" spans="1:90" ht="15" customHeight="1" x14ac:dyDescent="0.3">
      <c r="A200" t="s">
        <v>72</v>
      </c>
      <c r="B200" t="s">
        <v>73</v>
      </c>
      <c r="C200" t="s">
        <v>74</v>
      </c>
      <c r="E200" t="str">
        <f>"009942701230"</f>
        <v>009942701230</v>
      </c>
      <c r="F200" s="3">
        <v>44868</v>
      </c>
      <c r="G200">
        <v>202308</v>
      </c>
      <c r="H200" t="s">
        <v>108</v>
      </c>
      <c r="I200" t="s">
        <v>109</v>
      </c>
      <c r="J200" t="s">
        <v>110</v>
      </c>
      <c r="K200" t="s">
        <v>78</v>
      </c>
      <c r="L200" t="s">
        <v>111</v>
      </c>
      <c r="M200" t="s">
        <v>112</v>
      </c>
      <c r="N200" t="s">
        <v>94</v>
      </c>
      <c r="O200" t="s">
        <v>96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42.45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</v>
      </c>
      <c r="BJ200">
        <v>1.4</v>
      </c>
      <c r="BK200">
        <v>3</v>
      </c>
      <c r="BL200">
        <v>107.75</v>
      </c>
      <c r="BM200">
        <v>16.16</v>
      </c>
      <c r="BN200">
        <v>123.91</v>
      </c>
      <c r="BO200">
        <v>123.91</v>
      </c>
      <c r="BQ200" t="s">
        <v>113</v>
      </c>
      <c r="BR200" t="s">
        <v>114</v>
      </c>
      <c r="BS200" s="3">
        <v>44869</v>
      </c>
      <c r="BT200" s="4">
        <v>0.4291666666666667</v>
      </c>
      <c r="BU200" t="s">
        <v>759</v>
      </c>
      <c r="BV200" t="s">
        <v>85</v>
      </c>
      <c r="BY200">
        <v>6804</v>
      </c>
      <c r="BZ200" t="s">
        <v>101</v>
      </c>
      <c r="CA200" t="s">
        <v>116</v>
      </c>
      <c r="CC200" t="s">
        <v>112</v>
      </c>
      <c r="CD200">
        <v>1620</v>
      </c>
      <c r="CE200" t="s">
        <v>88</v>
      </c>
      <c r="CF200" s="3">
        <v>44870</v>
      </c>
      <c r="CI200">
        <v>1</v>
      </c>
      <c r="CJ200">
        <v>1</v>
      </c>
      <c r="CK200">
        <v>21</v>
      </c>
      <c r="CL200" t="s">
        <v>89</v>
      </c>
    </row>
    <row r="201" spans="1:90" ht="15" customHeight="1" x14ac:dyDescent="0.3">
      <c r="A201" t="s">
        <v>72</v>
      </c>
      <c r="B201" t="s">
        <v>73</v>
      </c>
      <c r="C201" t="s">
        <v>74</v>
      </c>
      <c r="E201" t="str">
        <f>"009942701318"</f>
        <v>009942701318</v>
      </c>
      <c r="F201" s="3">
        <v>44868</v>
      </c>
      <c r="G201">
        <v>202308</v>
      </c>
      <c r="H201" t="s">
        <v>108</v>
      </c>
      <c r="I201" t="s">
        <v>109</v>
      </c>
      <c r="J201" t="s">
        <v>110</v>
      </c>
      <c r="K201" t="s">
        <v>78</v>
      </c>
      <c r="L201" t="s">
        <v>75</v>
      </c>
      <c r="M201" t="s">
        <v>76</v>
      </c>
      <c r="N201" t="s">
        <v>94</v>
      </c>
      <c r="O201" t="s">
        <v>96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28.3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71.84</v>
      </c>
      <c r="BM201">
        <v>10.78</v>
      </c>
      <c r="BN201">
        <v>82.62</v>
      </c>
      <c r="BO201">
        <v>82.62</v>
      </c>
      <c r="BQ201" t="s">
        <v>585</v>
      </c>
      <c r="BR201" t="s">
        <v>114</v>
      </c>
      <c r="BS201" s="3">
        <v>44869</v>
      </c>
      <c r="BT201" s="4">
        <v>0.44097222222222227</v>
      </c>
      <c r="BU201" t="s">
        <v>344</v>
      </c>
      <c r="BV201" t="s">
        <v>85</v>
      </c>
      <c r="BY201">
        <v>1200</v>
      </c>
      <c r="BZ201" t="s">
        <v>101</v>
      </c>
      <c r="CC201" t="s">
        <v>76</v>
      </c>
      <c r="CD201">
        <v>7530</v>
      </c>
      <c r="CE201" t="s">
        <v>88</v>
      </c>
      <c r="CF201" s="3">
        <v>44872</v>
      </c>
      <c r="CI201">
        <v>1</v>
      </c>
      <c r="CJ201">
        <v>1</v>
      </c>
      <c r="CK201">
        <v>21</v>
      </c>
      <c r="CL201" t="s">
        <v>89</v>
      </c>
    </row>
    <row r="202" spans="1:90" ht="15" customHeight="1" x14ac:dyDescent="0.3">
      <c r="A202" t="s">
        <v>72</v>
      </c>
      <c r="B202" t="s">
        <v>73</v>
      </c>
      <c r="C202" t="s">
        <v>74</v>
      </c>
      <c r="E202" t="str">
        <f>"009942701274"</f>
        <v>009942701274</v>
      </c>
      <c r="F202" s="3">
        <v>44868</v>
      </c>
      <c r="G202">
        <v>202308</v>
      </c>
      <c r="H202" t="s">
        <v>108</v>
      </c>
      <c r="I202" t="s">
        <v>109</v>
      </c>
      <c r="J202" t="s">
        <v>110</v>
      </c>
      <c r="K202" t="s">
        <v>78</v>
      </c>
      <c r="L202" t="s">
        <v>111</v>
      </c>
      <c r="M202" t="s">
        <v>112</v>
      </c>
      <c r="N202" t="s">
        <v>94</v>
      </c>
      <c r="O202" t="s">
        <v>96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28.3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71.84</v>
      </c>
      <c r="BM202">
        <v>10.78</v>
      </c>
      <c r="BN202">
        <v>82.62</v>
      </c>
      <c r="BO202">
        <v>82.62</v>
      </c>
      <c r="BQ202" t="s">
        <v>113</v>
      </c>
      <c r="BR202" t="s">
        <v>114</v>
      </c>
      <c r="BS202" s="3">
        <v>44869</v>
      </c>
      <c r="BT202" s="4">
        <v>0.42986111111111108</v>
      </c>
      <c r="BU202" t="s">
        <v>759</v>
      </c>
      <c r="BV202" t="s">
        <v>85</v>
      </c>
      <c r="BY202">
        <v>1200</v>
      </c>
      <c r="BZ202" t="s">
        <v>101</v>
      </c>
      <c r="CA202" t="s">
        <v>116</v>
      </c>
      <c r="CC202" t="s">
        <v>112</v>
      </c>
      <c r="CD202">
        <v>1620</v>
      </c>
      <c r="CE202" t="s">
        <v>88</v>
      </c>
      <c r="CF202" s="3">
        <v>44870</v>
      </c>
      <c r="CI202">
        <v>1</v>
      </c>
      <c r="CJ202">
        <v>1</v>
      </c>
      <c r="CK202">
        <v>21</v>
      </c>
      <c r="CL202" t="s">
        <v>89</v>
      </c>
    </row>
    <row r="203" spans="1:90" ht="15" customHeight="1" x14ac:dyDescent="0.3">
      <c r="A203" t="s">
        <v>72</v>
      </c>
      <c r="B203" t="s">
        <v>73</v>
      </c>
      <c r="C203" t="s">
        <v>74</v>
      </c>
      <c r="E203" t="str">
        <f>"009942899918"</f>
        <v>009942899918</v>
      </c>
      <c r="F203" s="3">
        <v>44868</v>
      </c>
      <c r="G203">
        <v>202308</v>
      </c>
      <c r="H203" t="s">
        <v>111</v>
      </c>
      <c r="I203" t="s">
        <v>112</v>
      </c>
      <c r="J203" t="s">
        <v>94</v>
      </c>
      <c r="K203" t="s">
        <v>78</v>
      </c>
      <c r="L203" t="s">
        <v>364</v>
      </c>
      <c r="M203" t="s">
        <v>365</v>
      </c>
      <c r="N203" t="s">
        <v>814</v>
      </c>
      <c r="O203" t="s">
        <v>96</v>
      </c>
      <c r="P203" t="str">
        <f>"J72394                        "</f>
        <v xml:space="preserve">J72394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22.11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0.4</v>
      </c>
      <c r="BK203">
        <v>0.5</v>
      </c>
      <c r="BL203">
        <v>56.12</v>
      </c>
      <c r="BM203">
        <v>8.42</v>
      </c>
      <c r="BN203">
        <v>64.540000000000006</v>
      </c>
      <c r="BO203">
        <v>64.540000000000006</v>
      </c>
      <c r="BQ203" t="s">
        <v>815</v>
      </c>
      <c r="BR203" t="s">
        <v>113</v>
      </c>
      <c r="BS203" s="3">
        <v>44869</v>
      </c>
      <c r="BT203" s="4">
        <v>0.38055555555555554</v>
      </c>
      <c r="BU203" t="s">
        <v>816</v>
      </c>
      <c r="BV203" t="s">
        <v>85</v>
      </c>
      <c r="BY203">
        <v>2008.38</v>
      </c>
      <c r="BZ203" t="s">
        <v>101</v>
      </c>
      <c r="CA203" t="s">
        <v>817</v>
      </c>
      <c r="CC203" t="s">
        <v>365</v>
      </c>
      <c r="CD203">
        <v>1459</v>
      </c>
      <c r="CE203" t="s">
        <v>88</v>
      </c>
      <c r="CF203" s="3">
        <v>44870</v>
      </c>
      <c r="CI203">
        <v>1</v>
      </c>
      <c r="CJ203">
        <v>1</v>
      </c>
      <c r="CK203">
        <v>22</v>
      </c>
      <c r="CL203" t="s">
        <v>89</v>
      </c>
    </row>
    <row r="204" spans="1:90" ht="15" customHeight="1" x14ac:dyDescent="0.3">
      <c r="A204" t="s">
        <v>72</v>
      </c>
      <c r="B204" t="s">
        <v>73</v>
      </c>
      <c r="C204" t="s">
        <v>74</v>
      </c>
      <c r="E204" t="str">
        <f>"R009942899971"</f>
        <v>R009942899971</v>
      </c>
      <c r="F204" s="3">
        <v>44869</v>
      </c>
      <c r="G204">
        <v>202308</v>
      </c>
      <c r="H204" t="s">
        <v>166</v>
      </c>
      <c r="I204" t="s">
        <v>167</v>
      </c>
      <c r="J204" t="s">
        <v>818</v>
      </c>
      <c r="K204" t="s">
        <v>78</v>
      </c>
      <c r="L204" t="s">
        <v>111</v>
      </c>
      <c r="M204" t="s">
        <v>112</v>
      </c>
      <c r="N204" t="s">
        <v>819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54.73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7.2</v>
      </c>
      <c r="BK204">
        <v>8</v>
      </c>
      <c r="BL204">
        <v>144.18</v>
      </c>
      <c r="BM204">
        <v>21.63</v>
      </c>
      <c r="BN204">
        <v>165.81</v>
      </c>
      <c r="BO204">
        <v>165.81</v>
      </c>
      <c r="BQ204" t="s">
        <v>820</v>
      </c>
      <c r="BR204" t="s">
        <v>821</v>
      </c>
      <c r="BS204" s="3">
        <v>44873</v>
      </c>
      <c r="BT204" s="4">
        <v>0.43263888888888885</v>
      </c>
      <c r="BU204" t="s">
        <v>822</v>
      </c>
      <c r="BV204" t="s">
        <v>89</v>
      </c>
      <c r="BW204" t="s">
        <v>205</v>
      </c>
      <c r="BX204" t="s">
        <v>206</v>
      </c>
      <c r="BY204">
        <v>36000</v>
      </c>
      <c r="CA204" t="s">
        <v>823</v>
      </c>
      <c r="CC204" t="s">
        <v>112</v>
      </c>
      <c r="CD204">
        <v>1609</v>
      </c>
      <c r="CE204" t="s">
        <v>88</v>
      </c>
      <c r="CF204" s="3">
        <v>44879</v>
      </c>
      <c r="CI204">
        <v>1</v>
      </c>
      <c r="CJ204">
        <v>2</v>
      </c>
      <c r="CK204">
        <v>41</v>
      </c>
      <c r="CL204" t="s">
        <v>89</v>
      </c>
    </row>
    <row r="205" spans="1:90" ht="15" customHeight="1" x14ac:dyDescent="0.3">
      <c r="A205" t="s">
        <v>72</v>
      </c>
      <c r="B205" t="s">
        <v>73</v>
      </c>
      <c r="C205" t="s">
        <v>74</v>
      </c>
      <c r="E205" t="str">
        <f>"R009942899964"</f>
        <v>R009942899964</v>
      </c>
      <c r="F205" s="3">
        <v>44869</v>
      </c>
      <c r="G205">
        <v>202308</v>
      </c>
      <c r="H205" t="s">
        <v>79</v>
      </c>
      <c r="I205" t="s">
        <v>80</v>
      </c>
      <c r="J205" t="s">
        <v>818</v>
      </c>
      <c r="K205" t="s">
        <v>78</v>
      </c>
      <c r="L205" t="s">
        <v>111</v>
      </c>
      <c r="M205" t="s">
        <v>112</v>
      </c>
      <c r="N205" t="s">
        <v>819</v>
      </c>
      <c r="O205" t="s">
        <v>82</v>
      </c>
      <c r="P205" t="str">
        <f>"J2765                         "</f>
        <v xml:space="preserve">J2765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42.23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0.6</v>
      </c>
      <c r="BJ205">
        <v>0.5</v>
      </c>
      <c r="BK205">
        <v>1</v>
      </c>
      <c r="BL205">
        <v>112.45</v>
      </c>
      <c r="BM205">
        <v>16.87</v>
      </c>
      <c r="BN205">
        <v>129.32</v>
      </c>
      <c r="BO205">
        <v>129.32</v>
      </c>
      <c r="BQ205" t="s">
        <v>824</v>
      </c>
      <c r="BS205" s="3">
        <v>44873</v>
      </c>
      <c r="BT205" s="4">
        <v>0.43333333333333335</v>
      </c>
      <c r="BU205" t="s">
        <v>822</v>
      </c>
      <c r="BV205" t="s">
        <v>89</v>
      </c>
      <c r="BW205" t="s">
        <v>205</v>
      </c>
      <c r="BX205" t="s">
        <v>206</v>
      </c>
      <c r="BY205">
        <v>2452.7199999999998</v>
      </c>
      <c r="CA205" t="s">
        <v>823</v>
      </c>
      <c r="CC205" t="s">
        <v>112</v>
      </c>
      <c r="CD205">
        <v>1609</v>
      </c>
      <c r="CE205" t="s">
        <v>88</v>
      </c>
      <c r="CF205" s="3">
        <v>44879</v>
      </c>
      <c r="CI205">
        <v>1</v>
      </c>
      <c r="CJ205">
        <v>2</v>
      </c>
      <c r="CK205">
        <v>42</v>
      </c>
      <c r="CL205" t="s">
        <v>89</v>
      </c>
    </row>
    <row r="206" spans="1:90" ht="15" customHeight="1" x14ac:dyDescent="0.3">
      <c r="A206" t="s">
        <v>72</v>
      </c>
      <c r="B206" t="s">
        <v>73</v>
      </c>
      <c r="C206" t="s">
        <v>74</v>
      </c>
      <c r="E206" t="str">
        <f>"009942869964"</f>
        <v>009942869964</v>
      </c>
      <c r="F206" s="3">
        <v>44868</v>
      </c>
      <c r="G206">
        <v>202308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825</v>
      </c>
      <c r="O206" t="s">
        <v>82</v>
      </c>
      <c r="P206" t="str">
        <f>"187932                        "</f>
        <v xml:space="preserve">187932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42.23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2.1</v>
      </c>
      <c r="BJ206">
        <v>11.9</v>
      </c>
      <c r="BK206">
        <v>12</v>
      </c>
      <c r="BL206">
        <v>112.45</v>
      </c>
      <c r="BM206">
        <v>16.87</v>
      </c>
      <c r="BN206">
        <v>129.32</v>
      </c>
      <c r="BO206">
        <v>129.32</v>
      </c>
      <c r="BR206" t="s">
        <v>83</v>
      </c>
      <c r="BS206" s="3">
        <v>44872</v>
      </c>
      <c r="BT206" s="4">
        <v>0.41666666666666669</v>
      </c>
      <c r="BU206" t="s">
        <v>826</v>
      </c>
      <c r="BV206" t="s">
        <v>89</v>
      </c>
      <c r="BW206" t="s">
        <v>130</v>
      </c>
      <c r="BX206" t="s">
        <v>100</v>
      </c>
      <c r="BY206">
        <v>59438.9</v>
      </c>
      <c r="BZ206" t="s">
        <v>86</v>
      </c>
      <c r="CC206" t="s">
        <v>76</v>
      </c>
      <c r="CD206">
        <v>8005</v>
      </c>
      <c r="CE206" t="s">
        <v>88</v>
      </c>
      <c r="CF206" s="3">
        <v>44873</v>
      </c>
      <c r="CI206">
        <v>1</v>
      </c>
      <c r="CJ206">
        <v>2</v>
      </c>
      <c r="CK206">
        <v>42</v>
      </c>
      <c r="CL206" t="s">
        <v>89</v>
      </c>
    </row>
    <row r="207" spans="1:90" ht="15" customHeight="1" x14ac:dyDescent="0.3">
      <c r="A207" t="s">
        <v>72</v>
      </c>
      <c r="B207" t="s">
        <v>73</v>
      </c>
      <c r="C207" t="s">
        <v>74</v>
      </c>
      <c r="E207" t="str">
        <f>"009942869963"</f>
        <v>009942869963</v>
      </c>
      <c r="F207" s="3">
        <v>44868</v>
      </c>
      <c r="G207">
        <v>202308</v>
      </c>
      <c r="H207" t="s">
        <v>75</v>
      </c>
      <c r="I207" t="s">
        <v>76</v>
      </c>
      <c r="J207" t="s">
        <v>77</v>
      </c>
      <c r="K207" t="s">
        <v>78</v>
      </c>
      <c r="L207" t="s">
        <v>827</v>
      </c>
      <c r="M207" t="s">
        <v>827</v>
      </c>
      <c r="N207" t="s">
        <v>828</v>
      </c>
      <c r="O207" t="s">
        <v>82</v>
      </c>
      <c r="P207" t="str">
        <f>"22021                         "</f>
        <v xml:space="preserve">22021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77.19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0.4</v>
      </c>
      <c r="BK207">
        <v>1</v>
      </c>
      <c r="BL207">
        <v>201.19</v>
      </c>
      <c r="BM207">
        <v>30.18</v>
      </c>
      <c r="BN207">
        <v>231.37</v>
      </c>
      <c r="BO207">
        <v>231.37</v>
      </c>
      <c r="BR207" t="s">
        <v>83</v>
      </c>
      <c r="BS207" s="3">
        <v>44873</v>
      </c>
      <c r="BT207" s="4">
        <v>0.5</v>
      </c>
      <c r="BU207" t="s">
        <v>829</v>
      </c>
      <c r="BV207" t="s">
        <v>89</v>
      </c>
      <c r="BW207" t="s">
        <v>205</v>
      </c>
      <c r="BX207" t="s">
        <v>830</v>
      </c>
      <c r="BY207">
        <v>2196.81</v>
      </c>
      <c r="BZ207" t="s">
        <v>86</v>
      </c>
      <c r="CA207" t="s">
        <v>831</v>
      </c>
      <c r="CC207" t="s">
        <v>827</v>
      </c>
      <c r="CD207">
        <v>8450</v>
      </c>
      <c r="CE207" t="s">
        <v>88</v>
      </c>
      <c r="CF207" s="3">
        <v>44874</v>
      </c>
      <c r="CI207">
        <v>2</v>
      </c>
      <c r="CJ207">
        <v>3</v>
      </c>
      <c r="CK207">
        <v>43</v>
      </c>
      <c r="CL207" t="s">
        <v>89</v>
      </c>
    </row>
    <row r="208" spans="1:90" ht="15" customHeight="1" x14ac:dyDescent="0.3">
      <c r="A208" t="s">
        <v>72</v>
      </c>
      <c r="B208" t="s">
        <v>73</v>
      </c>
      <c r="C208" t="s">
        <v>74</v>
      </c>
      <c r="E208" t="str">
        <f>"009942869962"</f>
        <v>009942869962</v>
      </c>
      <c r="F208" s="3">
        <v>44868</v>
      </c>
      <c r="G208">
        <v>202308</v>
      </c>
      <c r="H208" t="s">
        <v>75</v>
      </c>
      <c r="I208" t="s">
        <v>76</v>
      </c>
      <c r="J208" t="s">
        <v>77</v>
      </c>
      <c r="K208" t="s">
        <v>78</v>
      </c>
      <c r="L208" t="s">
        <v>832</v>
      </c>
      <c r="M208" t="s">
        <v>833</v>
      </c>
      <c r="N208" t="s">
        <v>834</v>
      </c>
      <c r="O208" t="s">
        <v>82</v>
      </c>
      <c r="P208" t="str">
        <f>"187927                        "</f>
        <v xml:space="preserve">187927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77.19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0.1</v>
      </c>
      <c r="BJ208">
        <v>0.6</v>
      </c>
      <c r="BK208">
        <v>1</v>
      </c>
      <c r="BL208">
        <v>201.19</v>
      </c>
      <c r="BM208">
        <v>30.18</v>
      </c>
      <c r="BN208">
        <v>231.37</v>
      </c>
      <c r="BO208">
        <v>231.37</v>
      </c>
      <c r="BR208" t="s">
        <v>83</v>
      </c>
      <c r="BS208" s="3">
        <v>44872</v>
      </c>
      <c r="BT208" s="4">
        <v>0.47916666666666669</v>
      </c>
      <c r="BU208" t="s">
        <v>835</v>
      </c>
      <c r="BV208" t="s">
        <v>85</v>
      </c>
      <c r="BY208">
        <v>2913.75</v>
      </c>
      <c r="BZ208" t="s">
        <v>86</v>
      </c>
      <c r="CC208" t="s">
        <v>833</v>
      </c>
      <c r="CD208">
        <v>6400</v>
      </c>
      <c r="CE208" t="s">
        <v>88</v>
      </c>
      <c r="CF208" s="3">
        <v>44875</v>
      </c>
      <c r="CI208">
        <v>3</v>
      </c>
      <c r="CJ208">
        <v>2</v>
      </c>
      <c r="CK208">
        <v>43</v>
      </c>
      <c r="CL208" t="s">
        <v>89</v>
      </c>
    </row>
    <row r="209" spans="1:90" ht="15" customHeight="1" x14ac:dyDescent="0.3">
      <c r="A209" t="s">
        <v>72</v>
      </c>
      <c r="B209" t="s">
        <v>73</v>
      </c>
      <c r="C209" t="s">
        <v>74</v>
      </c>
      <c r="E209" t="str">
        <f>"009942869965"</f>
        <v>009942869965</v>
      </c>
      <c r="F209" s="3">
        <v>44868</v>
      </c>
      <c r="G209">
        <v>202308</v>
      </c>
      <c r="H209" t="s">
        <v>75</v>
      </c>
      <c r="I209" t="s">
        <v>76</v>
      </c>
      <c r="J209" t="s">
        <v>77</v>
      </c>
      <c r="K209" t="s">
        <v>78</v>
      </c>
      <c r="L209" t="s">
        <v>562</v>
      </c>
      <c r="M209" t="s">
        <v>563</v>
      </c>
      <c r="N209" t="s">
        <v>836</v>
      </c>
      <c r="O209" t="s">
        <v>82</v>
      </c>
      <c r="P209" t="str">
        <f>"22070                         "</f>
        <v xml:space="preserve">22070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54.73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2.1</v>
      </c>
      <c r="BK209">
        <v>3</v>
      </c>
      <c r="BL209">
        <v>144.18</v>
      </c>
      <c r="BM209">
        <v>21.63</v>
      </c>
      <c r="BN209">
        <v>165.81</v>
      </c>
      <c r="BO209">
        <v>165.81</v>
      </c>
      <c r="BR209" t="s">
        <v>83</v>
      </c>
      <c r="BS209" s="3">
        <v>44872</v>
      </c>
      <c r="BT209" s="4">
        <v>0.50208333333333333</v>
      </c>
      <c r="BU209" t="s">
        <v>837</v>
      </c>
      <c r="BV209" t="s">
        <v>85</v>
      </c>
      <c r="BY209">
        <v>10428</v>
      </c>
      <c r="BZ209" t="s">
        <v>86</v>
      </c>
      <c r="CA209" t="s">
        <v>838</v>
      </c>
      <c r="CC209" t="s">
        <v>563</v>
      </c>
      <c r="CD209">
        <v>699</v>
      </c>
      <c r="CE209" t="s">
        <v>88</v>
      </c>
      <c r="CF209" s="3">
        <v>44872</v>
      </c>
      <c r="CI209">
        <v>3</v>
      </c>
      <c r="CJ209">
        <v>2</v>
      </c>
      <c r="CK209">
        <v>41</v>
      </c>
      <c r="CL209" t="s">
        <v>89</v>
      </c>
    </row>
    <row r="210" spans="1:90" ht="15" customHeight="1" x14ac:dyDescent="0.3">
      <c r="A210" t="s">
        <v>72</v>
      </c>
      <c r="B210" t="s">
        <v>73</v>
      </c>
      <c r="C210" t="s">
        <v>74</v>
      </c>
      <c r="E210" t="str">
        <f>"009942869966"</f>
        <v>009942869966</v>
      </c>
      <c r="F210" s="3">
        <v>44868</v>
      </c>
      <c r="G210">
        <v>202308</v>
      </c>
      <c r="H210" t="s">
        <v>75</v>
      </c>
      <c r="I210" t="s">
        <v>76</v>
      </c>
      <c r="J210" t="s">
        <v>77</v>
      </c>
      <c r="K210" t="s">
        <v>78</v>
      </c>
      <c r="L210" t="s">
        <v>839</v>
      </c>
      <c r="M210" t="s">
        <v>840</v>
      </c>
      <c r="N210" t="s">
        <v>841</v>
      </c>
      <c r="O210" t="s">
        <v>82</v>
      </c>
      <c r="P210" t="str">
        <f>"22085                         "</f>
        <v xml:space="preserve">22085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77.19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1.8</v>
      </c>
      <c r="BK210">
        <v>2</v>
      </c>
      <c r="BL210">
        <v>201.19</v>
      </c>
      <c r="BM210">
        <v>30.18</v>
      </c>
      <c r="BN210">
        <v>231.37</v>
      </c>
      <c r="BO210">
        <v>231.37</v>
      </c>
      <c r="BR210" t="s">
        <v>83</v>
      </c>
      <c r="BS210" s="3">
        <v>44873</v>
      </c>
      <c r="BT210" s="4">
        <v>0.4597222222222222</v>
      </c>
      <c r="BU210" t="s">
        <v>842</v>
      </c>
      <c r="BV210" t="s">
        <v>85</v>
      </c>
      <c r="BY210">
        <v>8811</v>
      </c>
      <c r="BZ210" t="s">
        <v>86</v>
      </c>
      <c r="CA210" t="s">
        <v>843</v>
      </c>
      <c r="CC210" t="s">
        <v>840</v>
      </c>
      <c r="CD210">
        <v>2940</v>
      </c>
      <c r="CE210" t="s">
        <v>88</v>
      </c>
      <c r="CF210" s="3">
        <v>44873</v>
      </c>
      <c r="CI210">
        <v>3</v>
      </c>
      <c r="CJ210">
        <v>3</v>
      </c>
      <c r="CK210">
        <v>43</v>
      </c>
      <c r="CL210" t="s">
        <v>89</v>
      </c>
    </row>
    <row r="211" spans="1:90" ht="15" customHeight="1" x14ac:dyDescent="0.3">
      <c r="A211" t="s">
        <v>72</v>
      </c>
      <c r="B211" t="s">
        <v>73</v>
      </c>
      <c r="C211" t="s">
        <v>74</v>
      </c>
      <c r="E211" t="str">
        <f>"009942869967"</f>
        <v>009942869967</v>
      </c>
      <c r="F211" s="3">
        <v>44868</v>
      </c>
      <c r="G211">
        <v>202308</v>
      </c>
      <c r="H211" t="s">
        <v>75</v>
      </c>
      <c r="I211" t="s">
        <v>76</v>
      </c>
      <c r="J211" t="s">
        <v>77</v>
      </c>
      <c r="K211" t="s">
        <v>78</v>
      </c>
      <c r="L211" t="s">
        <v>519</v>
      </c>
      <c r="M211" t="s">
        <v>520</v>
      </c>
      <c r="N211" t="s">
        <v>844</v>
      </c>
      <c r="O211" t="s">
        <v>82</v>
      </c>
      <c r="P211" t="str">
        <f>"22156                         "</f>
        <v xml:space="preserve">22156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54.73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1.9</v>
      </c>
      <c r="BK211">
        <v>2</v>
      </c>
      <c r="BL211">
        <v>144.18</v>
      </c>
      <c r="BM211">
        <v>21.63</v>
      </c>
      <c r="BN211">
        <v>165.81</v>
      </c>
      <c r="BO211">
        <v>165.81</v>
      </c>
      <c r="BR211" t="s">
        <v>83</v>
      </c>
      <c r="BS211" s="3">
        <v>44872</v>
      </c>
      <c r="BT211" s="4">
        <v>0.63958333333333328</v>
      </c>
      <c r="BU211" t="s">
        <v>845</v>
      </c>
      <c r="BV211" t="s">
        <v>85</v>
      </c>
      <c r="BY211">
        <v>9585</v>
      </c>
      <c r="BZ211" t="s">
        <v>86</v>
      </c>
      <c r="CA211" t="s">
        <v>395</v>
      </c>
      <c r="CC211" t="s">
        <v>520</v>
      </c>
      <c r="CD211">
        <v>6024</v>
      </c>
      <c r="CE211" t="s">
        <v>88</v>
      </c>
      <c r="CF211" s="3">
        <v>44873</v>
      </c>
      <c r="CI211">
        <v>2</v>
      </c>
      <c r="CJ211">
        <v>2</v>
      </c>
      <c r="CK211">
        <v>41</v>
      </c>
      <c r="CL211" t="s">
        <v>89</v>
      </c>
    </row>
    <row r="212" spans="1:90" ht="15" customHeight="1" x14ac:dyDescent="0.3">
      <c r="A212" t="s">
        <v>72</v>
      </c>
      <c r="B212" t="s">
        <v>73</v>
      </c>
      <c r="C212" t="s">
        <v>74</v>
      </c>
      <c r="E212" t="str">
        <f>"009942841716"</f>
        <v>009942841716</v>
      </c>
      <c r="F212" s="3">
        <v>44869</v>
      </c>
      <c r="G212">
        <v>202308</v>
      </c>
      <c r="H212" t="s">
        <v>79</v>
      </c>
      <c r="I212" t="s">
        <v>80</v>
      </c>
      <c r="J212" t="s">
        <v>846</v>
      </c>
      <c r="K212" t="s">
        <v>78</v>
      </c>
      <c r="L212" t="s">
        <v>75</v>
      </c>
      <c r="M212" t="s">
        <v>76</v>
      </c>
      <c r="N212" t="s">
        <v>847</v>
      </c>
      <c r="O212" t="s">
        <v>82</v>
      </c>
      <c r="P212" t="str">
        <f>"NX2904738977                  "</f>
        <v xml:space="preserve">NX2904738977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54.73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1.1000000000000001</v>
      </c>
      <c r="BJ212">
        <v>4.5</v>
      </c>
      <c r="BK212">
        <v>5</v>
      </c>
      <c r="BL212">
        <v>144.18</v>
      </c>
      <c r="BM212">
        <v>21.63</v>
      </c>
      <c r="BN212">
        <v>165.81</v>
      </c>
      <c r="BO212">
        <v>165.81</v>
      </c>
      <c r="BQ212" t="s">
        <v>848</v>
      </c>
      <c r="BR212" t="s">
        <v>849</v>
      </c>
      <c r="BS212" s="3">
        <v>44872</v>
      </c>
      <c r="BT212" s="4">
        <v>0.50277777777777777</v>
      </c>
      <c r="BU212" t="s">
        <v>850</v>
      </c>
      <c r="BV212" t="s">
        <v>85</v>
      </c>
      <c r="BY212">
        <v>22291.49</v>
      </c>
      <c r="BZ212" t="s">
        <v>86</v>
      </c>
      <c r="CA212" t="s">
        <v>560</v>
      </c>
      <c r="CC212" t="s">
        <v>76</v>
      </c>
      <c r="CD212">
        <v>7945</v>
      </c>
      <c r="CE212" t="s">
        <v>88</v>
      </c>
      <c r="CF212" s="3">
        <v>44873</v>
      </c>
      <c r="CI212">
        <v>2</v>
      </c>
      <c r="CJ212">
        <v>1</v>
      </c>
      <c r="CK212">
        <v>41</v>
      </c>
      <c r="CL212" t="s">
        <v>89</v>
      </c>
    </row>
    <row r="213" spans="1:90" ht="15" customHeight="1" x14ac:dyDescent="0.3">
      <c r="A213" t="s">
        <v>72</v>
      </c>
      <c r="B213" t="s">
        <v>73</v>
      </c>
      <c r="C213" t="s">
        <v>74</v>
      </c>
      <c r="E213" t="str">
        <f>"009942358080"</f>
        <v>009942358080</v>
      </c>
      <c r="F213" s="3">
        <v>44868</v>
      </c>
      <c r="G213">
        <v>202308</v>
      </c>
      <c r="H213" t="s">
        <v>75</v>
      </c>
      <c r="I213" t="s">
        <v>76</v>
      </c>
      <c r="J213" t="s">
        <v>423</v>
      </c>
      <c r="K213" t="s">
        <v>78</v>
      </c>
      <c r="L213" t="s">
        <v>166</v>
      </c>
      <c r="M213" t="s">
        <v>167</v>
      </c>
      <c r="N213" t="s">
        <v>851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15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90.82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16.5</v>
      </c>
      <c r="BJ213">
        <v>30.2</v>
      </c>
      <c r="BK213">
        <v>31</v>
      </c>
      <c r="BL213">
        <v>250.79</v>
      </c>
      <c r="BM213">
        <v>37.619999999999997</v>
      </c>
      <c r="BN213">
        <v>288.41000000000003</v>
      </c>
      <c r="BO213">
        <v>288.41000000000003</v>
      </c>
      <c r="BR213" t="s">
        <v>276</v>
      </c>
      <c r="BS213" s="3">
        <v>44873</v>
      </c>
      <c r="BT213" s="4">
        <v>0.4055555555555555</v>
      </c>
      <c r="BU213" t="s">
        <v>852</v>
      </c>
      <c r="BV213" t="s">
        <v>89</v>
      </c>
      <c r="BY213">
        <v>151191.01999999999</v>
      </c>
      <c r="BZ213" t="s">
        <v>278</v>
      </c>
      <c r="CA213" t="s">
        <v>853</v>
      </c>
      <c r="CC213" t="s">
        <v>167</v>
      </c>
      <c r="CD213">
        <v>40</v>
      </c>
      <c r="CE213" t="s">
        <v>88</v>
      </c>
      <c r="CF213" s="3">
        <v>44873</v>
      </c>
      <c r="CI213">
        <v>2</v>
      </c>
      <c r="CJ213">
        <v>3</v>
      </c>
      <c r="CK213">
        <v>41</v>
      </c>
      <c r="CL213" t="s">
        <v>89</v>
      </c>
    </row>
    <row r="214" spans="1:90" ht="15" customHeight="1" x14ac:dyDescent="0.3">
      <c r="A214" t="s">
        <v>72</v>
      </c>
      <c r="B214" t="s">
        <v>73</v>
      </c>
      <c r="C214" t="s">
        <v>74</v>
      </c>
      <c r="E214" t="str">
        <f>"009943061624"</f>
        <v>009943061624</v>
      </c>
      <c r="F214" s="3">
        <v>44869</v>
      </c>
      <c r="G214">
        <v>202308</v>
      </c>
      <c r="H214" t="s">
        <v>75</v>
      </c>
      <c r="I214" t="s">
        <v>76</v>
      </c>
      <c r="J214" t="s">
        <v>77</v>
      </c>
      <c r="K214" t="s">
        <v>78</v>
      </c>
      <c r="L214" t="s">
        <v>180</v>
      </c>
      <c r="M214" t="s">
        <v>181</v>
      </c>
      <c r="N214" t="s">
        <v>854</v>
      </c>
      <c r="O214" t="s">
        <v>82</v>
      </c>
      <c r="P214" t="str">
        <f>"187947                        "</f>
        <v xml:space="preserve">187947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54.73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0.8</v>
      </c>
      <c r="BK214">
        <v>1</v>
      </c>
      <c r="BL214">
        <v>144.18</v>
      </c>
      <c r="BM214">
        <v>21.63</v>
      </c>
      <c r="BN214">
        <v>165.81</v>
      </c>
      <c r="BO214">
        <v>165.81</v>
      </c>
      <c r="BR214" t="s">
        <v>83</v>
      </c>
      <c r="BS214" s="3">
        <v>44872</v>
      </c>
      <c r="BT214" s="4">
        <v>0.57430555555555551</v>
      </c>
      <c r="BU214" t="s">
        <v>855</v>
      </c>
      <c r="BV214" t="s">
        <v>85</v>
      </c>
      <c r="BY214">
        <v>3944.85</v>
      </c>
      <c r="BZ214" t="s">
        <v>86</v>
      </c>
      <c r="CA214" t="s">
        <v>856</v>
      </c>
      <c r="CC214" t="s">
        <v>181</v>
      </c>
      <c r="CD214">
        <v>4000</v>
      </c>
      <c r="CE214" t="s">
        <v>88</v>
      </c>
      <c r="CF214" s="3">
        <v>44873</v>
      </c>
      <c r="CI214">
        <v>3</v>
      </c>
      <c r="CJ214">
        <v>1</v>
      </c>
      <c r="CK214">
        <v>41</v>
      </c>
      <c r="CL214" t="s">
        <v>89</v>
      </c>
    </row>
    <row r="215" spans="1:90" ht="15" customHeight="1" x14ac:dyDescent="0.3">
      <c r="A215" t="s">
        <v>72</v>
      </c>
      <c r="B215" t="s">
        <v>73</v>
      </c>
      <c r="C215" t="s">
        <v>74</v>
      </c>
      <c r="E215" t="str">
        <f>"009943061628"</f>
        <v>009943061628</v>
      </c>
      <c r="F215" s="3">
        <v>44869</v>
      </c>
      <c r="G215">
        <v>202308</v>
      </c>
      <c r="H215" t="s">
        <v>75</v>
      </c>
      <c r="I215" t="s">
        <v>76</v>
      </c>
      <c r="J215" t="s">
        <v>77</v>
      </c>
      <c r="K215" t="s">
        <v>78</v>
      </c>
      <c r="L215" t="s">
        <v>857</v>
      </c>
      <c r="M215" t="s">
        <v>858</v>
      </c>
      <c r="N215" t="s">
        <v>859</v>
      </c>
      <c r="O215" t="s">
        <v>82</v>
      </c>
      <c r="P215" t="str">
        <f>"187949.                       "</f>
        <v xml:space="preserve">187949.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60.44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0.4</v>
      </c>
      <c r="BK215">
        <v>1</v>
      </c>
      <c r="BL215">
        <v>158.68</v>
      </c>
      <c r="BM215">
        <v>23.8</v>
      </c>
      <c r="BN215">
        <v>182.48</v>
      </c>
      <c r="BO215">
        <v>182.48</v>
      </c>
      <c r="BP215">
        <v>9943061627</v>
      </c>
      <c r="BR215" t="s">
        <v>83</v>
      </c>
      <c r="BS215" s="3">
        <v>44872</v>
      </c>
      <c r="BT215" s="4">
        <v>0.80208333333333337</v>
      </c>
      <c r="BU215" t="s">
        <v>860</v>
      </c>
      <c r="BV215" t="s">
        <v>85</v>
      </c>
      <c r="BY215">
        <v>1765.92</v>
      </c>
      <c r="BZ215" t="s">
        <v>86</v>
      </c>
      <c r="CA215" t="s">
        <v>861</v>
      </c>
      <c r="CC215" t="s">
        <v>858</v>
      </c>
      <c r="CD215">
        <v>7365</v>
      </c>
      <c r="CE215" t="s">
        <v>88</v>
      </c>
      <c r="CF215" s="3">
        <v>44873</v>
      </c>
      <c r="CI215">
        <v>2</v>
      </c>
      <c r="CJ215">
        <v>1</v>
      </c>
      <c r="CK215">
        <v>44</v>
      </c>
      <c r="CL215" t="s">
        <v>89</v>
      </c>
    </row>
    <row r="216" spans="1:90" ht="15" customHeight="1" x14ac:dyDescent="0.3">
      <c r="A216" t="s">
        <v>72</v>
      </c>
      <c r="B216" t="s">
        <v>73</v>
      </c>
      <c r="C216" t="s">
        <v>74</v>
      </c>
      <c r="E216" t="str">
        <f>"009943061627"</f>
        <v>009943061627</v>
      </c>
      <c r="F216" s="3">
        <v>44869</v>
      </c>
      <c r="G216">
        <v>202308</v>
      </c>
      <c r="H216" t="s">
        <v>75</v>
      </c>
      <c r="I216" t="s">
        <v>76</v>
      </c>
      <c r="J216" t="s">
        <v>77</v>
      </c>
      <c r="K216" t="s">
        <v>78</v>
      </c>
      <c r="L216" t="s">
        <v>79</v>
      </c>
      <c r="M216" t="s">
        <v>80</v>
      </c>
      <c r="N216" t="s">
        <v>862</v>
      </c>
      <c r="O216" t="s">
        <v>82</v>
      </c>
      <c r="P216" t="str">
        <f>"187966                        "</f>
        <v xml:space="preserve">187966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54.73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1.7</v>
      </c>
      <c r="BJ216">
        <v>6.7</v>
      </c>
      <c r="BK216">
        <v>7</v>
      </c>
      <c r="BL216">
        <v>144.18</v>
      </c>
      <c r="BM216">
        <v>21.63</v>
      </c>
      <c r="BN216">
        <v>165.81</v>
      </c>
      <c r="BO216">
        <v>165.81</v>
      </c>
      <c r="BR216" t="s">
        <v>83</v>
      </c>
      <c r="BS216" s="3">
        <v>44872</v>
      </c>
      <c r="BT216" s="4">
        <v>0.42083333333333334</v>
      </c>
      <c r="BU216" t="s">
        <v>863</v>
      </c>
      <c r="BV216" t="s">
        <v>85</v>
      </c>
      <c r="BY216">
        <v>33600</v>
      </c>
      <c r="BZ216" t="s">
        <v>86</v>
      </c>
      <c r="CC216" t="s">
        <v>80</v>
      </c>
      <c r="CD216">
        <v>2092</v>
      </c>
      <c r="CE216" t="s">
        <v>88</v>
      </c>
      <c r="CF216" s="3">
        <v>44873</v>
      </c>
      <c r="CI216">
        <v>2</v>
      </c>
      <c r="CJ216">
        <v>1</v>
      </c>
      <c r="CK216">
        <v>41</v>
      </c>
      <c r="CL216" t="s">
        <v>89</v>
      </c>
    </row>
    <row r="217" spans="1:90" ht="15" customHeight="1" x14ac:dyDescent="0.3">
      <c r="A217" t="s">
        <v>72</v>
      </c>
      <c r="B217" t="s">
        <v>73</v>
      </c>
      <c r="C217" t="s">
        <v>74</v>
      </c>
      <c r="E217" t="str">
        <f>"009943061625"</f>
        <v>009943061625</v>
      </c>
      <c r="F217" s="3">
        <v>44869</v>
      </c>
      <c r="G217">
        <v>202308</v>
      </c>
      <c r="H217" t="s">
        <v>75</v>
      </c>
      <c r="I217" t="s">
        <v>76</v>
      </c>
      <c r="J217" t="s">
        <v>77</v>
      </c>
      <c r="K217" t="s">
        <v>78</v>
      </c>
      <c r="L217" t="s">
        <v>864</v>
      </c>
      <c r="M217" t="s">
        <v>865</v>
      </c>
      <c r="N217" t="s">
        <v>866</v>
      </c>
      <c r="O217" t="s">
        <v>82</v>
      </c>
      <c r="P217" t="str">
        <f>"187963                        "</f>
        <v xml:space="preserve">187963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77.19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1.3</v>
      </c>
      <c r="BJ217">
        <v>5</v>
      </c>
      <c r="BK217">
        <v>5</v>
      </c>
      <c r="BL217">
        <v>201.19</v>
      </c>
      <c r="BM217">
        <v>30.18</v>
      </c>
      <c r="BN217">
        <v>231.37</v>
      </c>
      <c r="BO217">
        <v>231.37</v>
      </c>
      <c r="BR217" t="s">
        <v>83</v>
      </c>
      <c r="BS217" s="3">
        <v>44872</v>
      </c>
      <c r="BT217" s="4">
        <v>0.40902777777777777</v>
      </c>
      <c r="BU217" t="s">
        <v>867</v>
      </c>
      <c r="BV217" t="s">
        <v>85</v>
      </c>
      <c r="BY217">
        <v>25156.58</v>
      </c>
      <c r="BZ217" t="s">
        <v>86</v>
      </c>
      <c r="CA217" t="s">
        <v>868</v>
      </c>
      <c r="CC217" t="s">
        <v>865</v>
      </c>
      <c r="CD217">
        <v>6573</v>
      </c>
      <c r="CE217" t="s">
        <v>88</v>
      </c>
      <c r="CF217" s="3">
        <v>44873</v>
      </c>
      <c r="CI217">
        <v>1</v>
      </c>
      <c r="CJ217">
        <v>1</v>
      </c>
      <c r="CK217">
        <v>43</v>
      </c>
      <c r="CL217" t="s">
        <v>89</v>
      </c>
    </row>
    <row r="218" spans="1:90" ht="15" customHeight="1" x14ac:dyDescent="0.3">
      <c r="A218" t="s">
        <v>72</v>
      </c>
      <c r="B218" t="s">
        <v>73</v>
      </c>
      <c r="C218" t="s">
        <v>74</v>
      </c>
      <c r="E218" t="str">
        <f>"009943061626"</f>
        <v>009943061626</v>
      </c>
      <c r="F218" s="3">
        <v>44869</v>
      </c>
      <c r="G218">
        <v>202308</v>
      </c>
      <c r="H218" t="s">
        <v>75</v>
      </c>
      <c r="I218" t="s">
        <v>76</v>
      </c>
      <c r="J218" t="s">
        <v>77</v>
      </c>
      <c r="K218" t="s">
        <v>78</v>
      </c>
      <c r="L218" t="s">
        <v>75</v>
      </c>
      <c r="M218" t="s">
        <v>76</v>
      </c>
      <c r="N218" t="s">
        <v>869</v>
      </c>
      <c r="O218" t="s">
        <v>82</v>
      </c>
      <c r="P218" t="str">
        <f>"187965                        "</f>
        <v xml:space="preserve">187965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42.23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0.8</v>
      </c>
      <c r="BK218">
        <v>1</v>
      </c>
      <c r="BL218">
        <v>112.45</v>
      </c>
      <c r="BM218">
        <v>16.87</v>
      </c>
      <c r="BN218">
        <v>129.32</v>
      </c>
      <c r="BO218">
        <v>129.32</v>
      </c>
      <c r="BR218" t="s">
        <v>83</v>
      </c>
      <c r="BS218" s="3">
        <v>44872</v>
      </c>
      <c r="BT218" s="4">
        <v>0.45624999999999999</v>
      </c>
      <c r="BU218" t="s">
        <v>870</v>
      </c>
      <c r="BV218" t="s">
        <v>85</v>
      </c>
      <c r="BY218">
        <v>3997.13</v>
      </c>
      <c r="BZ218" t="s">
        <v>86</v>
      </c>
      <c r="CA218" t="s">
        <v>871</v>
      </c>
      <c r="CC218" t="s">
        <v>76</v>
      </c>
      <c r="CD218">
        <v>7975</v>
      </c>
      <c r="CE218" t="s">
        <v>88</v>
      </c>
      <c r="CF218" s="3">
        <v>44873</v>
      </c>
      <c r="CI218">
        <v>1</v>
      </c>
      <c r="CJ218">
        <v>1</v>
      </c>
      <c r="CK218">
        <v>42</v>
      </c>
      <c r="CL218" t="s">
        <v>89</v>
      </c>
    </row>
    <row r="219" spans="1:90" ht="15" customHeight="1" x14ac:dyDescent="0.3">
      <c r="A219" t="s">
        <v>72</v>
      </c>
      <c r="B219" t="s">
        <v>73</v>
      </c>
      <c r="C219" t="s">
        <v>74</v>
      </c>
      <c r="E219" t="str">
        <f>"R009942899974"</f>
        <v>R009942899974</v>
      </c>
      <c r="F219" s="3">
        <v>44870</v>
      </c>
      <c r="G219">
        <v>202308</v>
      </c>
      <c r="H219" t="s">
        <v>872</v>
      </c>
      <c r="I219" t="s">
        <v>872</v>
      </c>
      <c r="J219" t="s">
        <v>873</v>
      </c>
      <c r="K219" t="s">
        <v>78</v>
      </c>
      <c r="L219" t="s">
        <v>111</v>
      </c>
      <c r="M219" t="s">
        <v>112</v>
      </c>
      <c r="N219" t="s">
        <v>94</v>
      </c>
      <c r="O219" t="s">
        <v>82</v>
      </c>
      <c r="P219" t="str">
        <f>"JNX0218450941                 "</f>
        <v xml:space="preserve">JNX0218450941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60.44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0.5</v>
      </c>
      <c r="BK219">
        <v>1</v>
      </c>
      <c r="BL219">
        <v>158.68</v>
      </c>
      <c r="BM219">
        <v>23.8</v>
      </c>
      <c r="BN219">
        <v>182.48</v>
      </c>
      <c r="BO219">
        <v>182.48</v>
      </c>
      <c r="BQ219" t="s">
        <v>221</v>
      </c>
      <c r="BR219" t="s">
        <v>359</v>
      </c>
      <c r="BS219" s="3">
        <v>44872</v>
      </c>
      <c r="BT219" s="4">
        <v>0.49305555555555558</v>
      </c>
      <c r="BU219" t="s">
        <v>874</v>
      </c>
      <c r="BV219" t="s">
        <v>85</v>
      </c>
      <c r="BY219">
        <v>2400</v>
      </c>
      <c r="CC219" t="s">
        <v>112</v>
      </c>
      <c r="CD219">
        <v>1619</v>
      </c>
      <c r="CE219" t="s">
        <v>88</v>
      </c>
      <c r="CF219" s="3">
        <v>44873</v>
      </c>
      <c r="CI219">
        <v>1</v>
      </c>
      <c r="CJ219">
        <v>0</v>
      </c>
      <c r="CK219">
        <v>44</v>
      </c>
      <c r="CL219" t="s">
        <v>89</v>
      </c>
    </row>
    <row r="220" spans="1:90" ht="15" customHeight="1" x14ac:dyDescent="0.3">
      <c r="A220" t="s">
        <v>72</v>
      </c>
      <c r="B220" t="s">
        <v>73</v>
      </c>
      <c r="C220" t="s">
        <v>74</v>
      </c>
      <c r="E220" t="str">
        <f>"R009942917292"</f>
        <v>R009942917292</v>
      </c>
      <c r="F220" s="3">
        <v>44870</v>
      </c>
      <c r="G220">
        <v>202308</v>
      </c>
      <c r="H220" t="s">
        <v>200</v>
      </c>
      <c r="I220" t="s">
        <v>201</v>
      </c>
      <c r="J220" t="s">
        <v>875</v>
      </c>
      <c r="K220" t="s">
        <v>78</v>
      </c>
      <c r="L220" t="s">
        <v>111</v>
      </c>
      <c r="M220" t="s">
        <v>112</v>
      </c>
      <c r="N220" t="s">
        <v>94</v>
      </c>
      <c r="O220" t="s">
        <v>82</v>
      </c>
      <c r="P220" t="str">
        <f>"J28118                        "</f>
        <v xml:space="preserve">J28118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42.23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6</v>
      </c>
      <c r="BK220">
        <v>6</v>
      </c>
      <c r="BL220">
        <v>112.45</v>
      </c>
      <c r="BM220">
        <v>16.87</v>
      </c>
      <c r="BN220">
        <v>129.32</v>
      </c>
      <c r="BO220">
        <v>129.32</v>
      </c>
      <c r="BQ220" t="s">
        <v>113</v>
      </c>
      <c r="BR220" t="s">
        <v>876</v>
      </c>
      <c r="BS220" s="3">
        <v>44872</v>
      </c>
      <c r="BT220" s="4">
        <v>0.53125</v>
      </c>
      <c r="BU220" t="s">
        <v>874</v>
      </c>
      <c r="BV220" t="s">
        <v>85</v>
      </c>
      <c r="BY220">
        <v>30000</v>
      </c>
      <c r="CC220" t="s">
        <v>112</v>
      </c>
      <c r="CD220">
        <v>1619</v>
      </c>
      <c r="CE220" t="s">
        <v>88</v>
      </c>
      <c r="CF220" s="3">
        <v>44873</v>
      </c>
      <c r="CI220">
        <v>1</v>
      </c>
      <c r="CJ220">
        <v>0</v>
      </c>
      <c r="CK220">
        <v>42</v>
      </c>
      <c r="CL220" t="s">
        <v>89</v>
      </c>
    </row>
    <row r="221" spans="1:90" ht="15" customHeight="1" x14ac:dyDescent="0.3">
      <c r="A221" t="s">
        <v>72</v>
      </c>
      <c r="B221" t="s">
        <v>73</v>
      </c>
      <c r="C221" t="s">
        <v>74</v>
      </c>
      <c r="E221" t="str">
        <f>"009942869958"</f>
        <v>009942869958</v>
      </c>
      <c r="F221" s="3">
        <v>44867</v>
      </c>
      <c r="G221">
        <v>202308</v>
      </c>
      <c r="H221" t="s">
        <v>75</v>
      </c>
      <c r="I221" t="s">
        <v>76</v>
      </c>
      <c r="J221" t="s">
        <v>77</v>
      </c>
      <c r="K221" t="s">
        <v>78</v>
      </c>
      <c r="L221" t="s">
        <v>79</v>
      </c>
      <c r="M221" t="s">
        <v>80</v>
      </c>
      <c r="N221" t="s">
        <v>877</v>
      </c>
      <c r="O221" t="s">
        <v>82</v>
      </c>
      <c r="P221" t="str">
        <f>"INV187856                     "</f>
        <v xml:space="preserve">INV187856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54.73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3.3</v>
      </c>
      <c r="BJ221">
        <v>14.8</v>
      </c>
      <c r="BK221">
        <v>15</v>
      </c>
      <c r="BL221">
        <v>144.18</v>
      </c>
      <c r="BM221">
        <v>21.63</v>
      </c>
      <c r="BN221">
        <v>165.81</v>
      </c>
      <c r="BO221">
        <v>165.81</v>
      </c>
      <c r="BQ221" t="s">
        <v>878</v>
      </c>
      <c r="BR221" t="s">
        <v>83</v>
      </c>
      <c r="BS221" s="3">
        <v>44869</v>
      </c>
      <c r="BT221" s="4">
        <v>0.49861111111111112</v>
      </c>
      <c r="BU221" t="s">
        <v>879</v>
      </c>
      <c r="BV221" t="s">
        <v>85</v>
      </c>
      <c r="BY221">
        <v>73867.5</v>
      </c>
      <c r="BZ221" t="s">
        <v>86</v>
      </c>
      <c r="CA221" t="s">
        <v>880</v>
      </c>
      <c r="CC221" t="s">
        <v>80</v>
      </c>
      <c r="CD221">
        <v>2000</v>
      </c>
      <c r="CE221" t="s">
        <v>88</v>
      </c>
      <c r="CF221" s="3">
        <v>44870</v>
      </c>
      <c r="CI221">
        <v>2</v>
      </c>
      <c r="CJ221">
        <v>2</v>
      </c>
      <c r="CK221">
        <v>41</v>
      </c>
      <c r="CL221" t="s">
        <v>89</v>
      </c>
    </row>
    <row r="222" spans="1:90" ht="15" customHeight="1" x14ac:dyDescent="0.3">
      <c r="A222" t="s">
        <v>72</v>
      </c>
      <c r="B222" t="s">
        <v>73</v>
      </c>
      <c r="C222" t="s">
        <v>74</v>
      </c>
      <c r="E222" t="str">
        <f>"009942899915"</f>
        <v>009942899915</v>
      </c>
      <c r="F222" s="3">
        <v>44869</v>
      </c>
      <c r="G222">
        <v>202308</v>
      </c>
      <c r="H222" t="s">
        <v>111</v>
      </c>
      <c r="I222" t="s">
        <v>112</v>
      </c>
      <c r="J222" t="s">
        <v>94</v>
      </c>
      <c r="K222" t="s">
        <v>78</v>
      </c>
      <c r="L222" t="s">
        <v>200</v>
      </c>
      <c r="M222" t="s">
        <v>201</v>
      </c>
      <c r="N222" t="s">
        <v>881</v>
      </c>
      <c r="O222" t="s">
        <v>96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22.11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4.8</v>
      </c>
      <c r="BK222">
        <v>5</v>
      </c>
      <c r="BL222">
        <v>56.12</v>
      </c>
      <c r="BM222">
        <v>8.42</v>
      </c>
      <c r="BN222">
        <v>64.540000000000006</v>
      </c>
      <c r="BO222">
        <v>64.540000000000006</v>
      </c>
      <c r="BQ222" t="s">
        <v>882</v>
      </c>
      <c r="BR222" t="s">
        <v>221</v>
      </c>
      <c r="BS222" s="3">
        <v>44872</v>
      </c>
      <c r="BT222" s="4">
        <v>0.43055555555555558</v>
      </c>
      <c r="BU222" t="s">
        <v>883</v>
      </c>
      <c r="BV222" t="s">
        <v>85</v>
      </c>
      <c r="BY222">
        <v>24000</v>
      </c>
      <c r="BZ222" t="s">
        <v>101</v>
      </c>
      <c r="CA222" t="s">
        <v>884</v>
      </c>
      <c r="CC222" t="s">
        <v>201</v>
      </c>
      <c r="CD222">
        <v>1428</v>
      </c>
      <c r="CE222" t="s">
        <v>88</v>
      </c>
      <c r="CF222" s="3">
        <v>44872</v>
      </c>
      <c r="CI222">
        <v>1</v>
      </c>
      <c r="CJ222">
        <v>1</v>
      </c>
      <c r="CK222">
        <v>22</v>
      </c>
      <c r="CL222" t="s">
        <v>89</v>
      </c>
    </row>
    <row r="223" spans="1:90" ht="15" customHeight="1" x14ac:dyDescent="0.3">
      <c r="A223" t="s">
        <v>72</v>
      </c>
      <c r="B223" t="s">
        <v>73</v>
      </c>
      <c r="C223" t="s">
        <v>74</v>
      </c>
      <c r="E223" t="str">
        <f>"009942869959"</f>
        <v>009942869959</v>
      </c>
      <c r="F223" s="3">
        <v>44867</v>
      </c>
      <c r="G223">
        <v>202308</v>
      </c>
      <c r="H223" t="s">
        <v>75</v>
      </c>
      <c r="I223" t="s">
        <v>76</v>
      </c>
      <c r="J223" t="s">
        <v>77</v>
      </c>
      <c r="K223" t="s">
        <v>78</v>
      </c>
      <c r="L223" t="s">
        <v>180</v>
      </c>
      <c r="M223" t="s">
        <v>181</v>
      </c>
      <c r="N223" t="s">
        <v>885</v>
      </c>
      <c r="O223" t="s">
        <v>82</v>
      </c>
      <c r="P223" t="str">
        <f>"INV187905                     "</f>
        <v xml:space="preserve">INV187905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54.73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1.7</v>
      </c>
      <c r="BJ223">
        <v>4.9000000000000004</v>
      </c>
      <c r="BK223">
        <v>5</v>
      </c>
      <c r="BL223">
        <v>144.18</v>
      </c>
      <c r="BM223">
        <v>21.63</v>
      </c>
      <c r="BN223">
        <v>165.81</v>
      </c>
      <c r="BO223">
        <v>165.81</v>
      </c>
      <c r="BQ223" t="s">
        <v>886</v>
      </c>
      <c r="BR223" t="s">
        <v>83</v>
      </c>
      <c r="BS223" s="3">
        <v>44872</v>
      </c>
      <c r="BT223" s="4">
        <v>0.4861111111111111</v>
      </c>
      <c r="BU223" t="s">
        <v>887</v>
      </c>
      <c r="BV223" t="s">
        <v>85</v>
      </c>
      <c r="BY223">
        <v>24713.040000000001</v>
      </c>
      <c r="BZ223" t="s">
        <v>86</v>
      </c>
      <c r="CA223" t="s">
        <v>888</v>
      </c>
      <c r="CC223" t="s">
        <v>181</v>
      </c>
      <c r="CD223">
        <v>4000</v>
      </c>
      <c r="CE223" t="s">
        <v>88</v>
      </c>
      <c r="CF223" s="3">
        <v>44873</v>
      </c>
      <c r="CI223">
        <v>3</v>
      </c>
      <c r="CJ223">
        <v>3</v>
      </c>
      <c r="CK223">
        <v>41</v>
      </c>
      <c r="CL223" t="s">
        <v>89</v>
      </c>
    </row>
    <row r="224" spans="1:90" ht="15" customHeight="1" x14ac:dyDescent="0.3">
      <c r="A224" t="s">
        <v>72</v>
      </c>
      <c r="B224" t="s">
        <v>73</v>
      </c>
      <c r="C224" t="s">
        <v>74</v>
      </c>
      <c r="E224" t="str">
        <f>"009942869957"</f>
        <v>009942869957</v>
      </c>
      <c r="F224" s="3">
        <v>44867</v>
      </c>
      <c r="G224">
        <v>202308</v>
      </c>
      <c r="H224" t="s">
        <v>75</v>
      </c>
      <c r="I224" t="s">
        <v>76</v>
      </c>
      <c r="J224" t="s">
        <v>889</v>
      </c>
      <c r="K224" t="s">
        <v>78</v>
      </c>
      <c r="L224" t="s">
        <v>578</v>
      </c>
      <c r="M224" t="s">
        <v>579</v>
      </c>
      <c r="N224" t="s">
        <v>890</v>
      </c>
      <c r="O224" t="s">
        <v>82</v>
      </c>
      <c r="P224" t="str">
        <f>"INV187873                     "</f>
        <v xml:space="preserve">INV187873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77.19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0.1</v>
      </c>
      <c r="BJ224">
        <v>0.6</v>
      </c>
      <c r="BK224">
        <v>1</v>
      </c>
      <c r="BL224">
        <v>201.19</v>
      </c>
      <c r="BM224">
        <v>30.18</v>
      </c>
      <c r="BN224">
        <v>231.37</v>
      </c>
      <c r="BO224">
        <v>231.37</v>
      </c>
      <c r="BQ224" t="s">
        <v>891</v>
      </c>
      <c r="BR224" t="s">
        <v>892</v>
      </c>
      <c r="BS224" s="3">
        <v>44872</v>
      </c>
      <c r="BT224" s="4">
        <v>0.67708333333333337</v>
      </c>
      <c r="BU224" t="s">
        <v>893</v>
      </c>
      <c r="BV224" t="s">
        <v>85</v>
      </c>
      <c r="BY224">
        <v>2913.57</v>
      </c>
      <c r="BZ224" t="s">
        <v>86</v>
      </c>
      <c r="CC224" t="s">
        <v>579</v>
      </c>
      <c r="CD224">
        <v>299</v>
      </c>
      <c r="CE224" t="s">
        <v>88</v>
      </c>
      <c r="CF224" s="3">
        <v>44873</v>
      </c>
      <c r="CI224">
        <v>3</v>
      </c>
      <c r="CJ224">
        <v>3</v>
      </c>
      <c r="CK224">
        <v>43</v>
      </c>
      <c r="CL224" t="s">
        <v>89</v>
      </c>
    </row>
    <row r="225" spans="1:90" ht="15" customHeight="1" x14ac:dyDescent="0.3">
      <c r="A225" t="s">
        <v>72</v>
      </c>
      <c r="B225" t="s">
        <v>73</v>
      </c>
      <c r="C225" t="s">
        <v>74</v>
      </c>
      <c r="E225" t="str">
        <f>"009942869960"</f>
        <v>009942869960</v>
      </c>
      <c r="F225" s="3">
        <v>44867</v>
      </c>
      <c r="G225">
        <v>202308</v>
      </c>
      <c r="H225" t="s">
        <v>75</v>
      </c>
      <c r="I225" t="s">
        <v>76</v>
      </c>
      <c r="J225" t="s">
        <v>77</v>
      </c>
      <c r="K225" t="s">
        <v>78</v>
      </c>
      <c r="L225" t="s">
        <v>166</v>
      </c>
      <c r="M225" t="s">
        <v>167</v>
      </c>
      <c r="N225" t="s">
        <v>894</v>
      </c>
      <c r="O225" t="s">
        <v>82</v>
      </c>
      <c r="P225" t="str">
        <f>"DOLF127569                    "</f>
        <v xml:space="preserve">DOLF127569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54.73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2.2999999999999998</v>
      </c>
      <c r="BJ225">
        <v>11</v>
      </c>
      <c r="BK225">
        <v>11</v>
      </c>
      <c r="BL225">
        <v>144.18</v>
      </c>
      <c r="BM225">
        <v>21.63</v>
      </c>
      <c r="BN225">
        <v>165.81</v>
      </c>
      <c r="BO225">
        <v>165.81</v>
      </c>
      <c r="BQ225" t="s">
        <v>895</v>
      </c>
      <c r="BR225" t="s">
        <v>83</v>
      </c>
      <c r="BS225" s="3">
        <v>44869</v>
      </c>
      <c r="BT225" s="4">
        <v>0.56319444444444444</v>
      </c>
      <c r="BU225" t="s">
        <v>896</v>
      </c>
      <c r="BV225" t="s">
        <v>85</v>
      </c>
      <c r="BY225">
        <v>55066.8</v>
      </c>
      <c r="BZ225" t="s">
        <v>86</v>
      </c>
      <c r="CA225" t="s">
        <v>591</v>
      </c>
      <c r="CC225" t="s">
        <v>167</v>
      </c>
      <c r="CD225">
        <v>62</v>
      </c>
      <c r="CE225" t="s">
        <v>88</v>
      </c>
      <c r="CF225" s="3">
        <v>44869</v>
      </c>
      <c r="CI225">
        <v>2</v>
      </c>
      <c r="CJ225">
        <v>2</v>
      </c>
      <c r="CK225">
        <v>41</v>
      </c>
      <c r="CL225" t="s">
        <v>89</v>
      </c>
    </row>
    <row r="226" spans="1:90" ht="15" customHeight="1" x14ac:dyDescent="0.3">
      <c r="A226" t="s">
        <v>72</v>
      </c>
      <c r="B226" t="s">
        <v>73</v>
      </c>
      <c r="C226" t="s">
        <v>74</v>
      </c>
      <c r="E226" t="str">
        <f>"009942869961"</f>
        <v>009942869961</v>
      </c>
      <c r="F226" s="3">
        <v>44867</v>
      </c>
      <c r="G226">
        <v>202308</v>
      </c>
      <c r="H226" t="s">
        <v>75</v>
      </c>
      <c r="I226" t="s">
        <v>76</v>
      </c>
      <c r="J226" t="s">
        <v>77</v>
      </c>
      <c r="K226" t="s">
        <v>78</v>
      </c>
      <c r="L226" t="s">
        <v>897</v>
      </c>
      <c r="M226" t="s">
        <v>898</v>
      </c>
      <c r="N226" t="s">
        <v>899</v>
      </c>
      <c r="O226" t="s">
        <v>82</v>
      </c>
      <c r="P226" t="str">
        <f>"INV187914                     "</f>
        <v xml:space="preserve">INV187914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77.19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0.4</v>
      </c>
      <c r="BJ226">
        <v>0.7</v>
      </c>
      <c r="BK226">
        <v>1</v>
      </c>
      <c r="BL226">
        <v>201.19</v>
      </c>
      <c r="BM226">
        <v>30.18</v>
      </c>
      <c r="BN226">
        <v>231.37</v>
      </c>
      <c r="BO226">
        <v>231.37</v>
      </c>
      <c r="BQ226" t="s">
        <v>900</v>
      </c>
      <c r="BR226" t="s">
        <v>83</v>
      </c>
      <c r="BS226" s="3">
        <v>44869</v>
      </c>
      <c r="BT226" s="4">
        <v>0.51250000000000007</v>
      </c>
      <c r="BU226" t="s">
        <v>901</v>
      </c>
      <c r="BV226" t="s">
        <v>85</v>
      </c>
      <c r="BY226">
        <v>3570.75</v>
      </c>
      <c r="BZ226" t="s">
        <v>86</v>
      </c>
      <c r="CA226" t="s">
        <v>902</v>
      </c>
      <c r="CC226" t="s">
        <v>898</v>
      </c>
      <c r="CD226">
        <v>1389</v>
      </c>
      <c r="CE226" t="s">
        <v>88</v>
      </c>
      <c r="CF226" s="3">
        <v>44872</v>
      </c>
      <c r="CI226">
        <v>3</v>
      </c>
      <c r="CJ226">
        <v>2</v>
      </c>
      <c r="CK226">
        <v>43</v>
      </c>
      <c r="CL226" t="s">
        <v>89</v>
      </c>
    </row>
    <row r="227" spans="1:90" ht="15" customHeight="1" x14ac:dyDescent="0.3">
      <c r="A227" t="s">
        <v>72</v>
      </c>
      <c r="B227" t="s">
        <v>73</v>
      </c>
      <c r="C227" t="s">
        <v>74</v>
      </c>
      <c r="E227" t="str">
        <f>"009942899916"</f>
        <v>009942899916</v>
      </c>
      <c r="F227" s="3">
        <v>44869</v>
      </c>
      <c r="G227">
        <v>202308</v>
      </c>
      <c r="H227" t="s">
        <v>111</v>
      </c>
      <c r="I227" t="s">
        <v>112</v>
      </c>
      <c r="J227" t="s">
        <v>94</v>
      </c>
      <c r="K227" t="s">
        <v>78</v>
      </c>
      <c r="L227" t="s">
        <v>246</v>
      </c>
      <c r="M227" t="s">
        <v>247</v>
      </c>
      <c r="N227" t="s">
        <v>266</v>
      </c>
      <c r="O227" t="s">
        <v>96</v>
      </c>
      <c r="P227" t="str">
        <f>"JNX0218450941                 "</f>
        <v xml:space="preserve">JNX0218450941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22.11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7</v>
      </c>
      <c r="BJ227">
        <v>1.3</v>
      </c>
      <c r="BK227">
        <v>7</v>
      </c>
      <c r="BL227">
        <v>56.12</v>
      </c>
      <c r="BM227">
        <v>8.42</v>
      </c>
      <c r="BN227">
        <v>64.540000000000006</v>
      </c>
      <c r="BO227">
        <v>64.540000000000006</v>
      </c>
      <c r="BQ227" t="s">
        <v>903</v>
      </c>
      <c r="BR227" t="s">
        <v>221</v>
      </c>
      <c r="BS227" s="3">
        <v>44872</v>
      </c>
      <c r="BT227" s="4">
        <v>0.49305555555555558</v>
      </c>
      <c r="BU227" t="s">
        <v>267</v>
      </c>
      <c r="BV227" t="s">
        <v>85</v>
      </c>
      <c r="BY227">
        <v>6718.29</v>
      </c>
      <c r="BZ227" t="s">
        <v>101</v>
      </c>
      <c r="CA227" t="s">
        <v>268</v>
      </c>
      <c r="CC227" t="s">
        <v>247</v>
      </c>
      <c r="CD227">
        <v>1559</v>
      </c>
      <c r="CE227" t="s">
        <v>88</v>
      </c>
      <c r="CF227" s="3">
        <v>44873</v>
      </c>
      <c r="CI227">
        <v>1</v>
      </c>
      <c r="CJ227">
        <v>1</v>
      </c>
      <c r="CK227">
        <v>22</v>
      </c>
      <c r="CL227" t="s">
        <v>89</v>
      </c>
    </row>
    <row r="228" spans="1:90" ht="15" customHeight="1" x14ac:dyDescent="0.3">
      <c r="A228" t="s">
        <v>72</v>
      </c>
      <c r="B228" t="s">
        <v>73</v>
      </c>
      <c r="C228" t="s">
        <v>74</v>
      </c>
      <c r="E228" t="str">
        <f>"009943061637"</f>
        <v>009943061637</v>
      </c>
      <c r="F228" s="3">
        <v>44872</v>
      </c>
      <c r="G228">
        <v>202308</v>
      </c>
      <c r="H228" t="s">
        <v>75</v>
      </c>
      <c r="I228" t="s">
        <v>76</v>
      </c>
      <c r="J228" t="s">
        <v>77</v>
      </c>
      <c r="K228" t="s">
        <v>78</v>
      </c>
      <c r="L228" t="s">
        <v>904</v>
      </c>
      <c r="M228" t="s">
        <v>905</v>
      </c>
      <c r="N228" t="s">
        <v>168</v>
      </c>
      <c r="O228" t="s">
        <v>82</v>
      </c>
      <c r="P228" t="str">
        <f>"INV188031                     "</f>
        <v xml:space="preserve">INV188031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54.73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3.8</v>
      </c>
      <c r="BK228">
        <v>4</v>
      </c>
      <c r="BL228">
        <v>144.18</v>
      </c>
      <c r="BM228">
        <v>21.63</v>
      </c>
      <c r="BN228">
        <v>165.81</v>
      </c>
      <c r="BO228">
        <v>165.81</v>
      </c>
      <c r="BQ228" t="s">
        <v>906</v>
      </c>
      <c r="BR228" t="s">
        <v>83</v>
      </c>
      <c r="BS228" s="3">
        <v>44874</v>
      </c>
      <c r="BT228" s="4">
        <v>0.52986111111111112</v>
      </c>
      <c r="BU228" t="s">
        <v>907</v>
      </c>
      <c r="BV228" t="s">
        <v>85</v>
      </c>
      <c r="BY228">
        <v>18996.12</v>
      </c>
      <c r="BZ228" t="s">
        <v>86</v>
      </c>
      <c r="CA228" t="s">
        <v>210</v>
      </c>
      <c r="CC228" t="s">
        <v>905</v>
      </c>
      <c r="CD228">
        <v>2146</v>
      </c>
      <c r="CE228" t="s">
        <v>88</v>
      </c>
      <c r="CF228" s="3">
        <v>44874</v>
      </c>
      <c r="CI228">
        <v>2</v>
      </c>
      <c r="CJ228">
        <v>2</v>
      </c>
      <c r="CK228">
        <v>41</v>
      </c>
      <c r="CL228" t="s">
        <v>89</v>
      </c>
    </row>
    <row r="229" spans="1:90" ht="15" customHeight="1" x14ac:dyDescent="0.3">
      <c r="A229" t="s">
        <v>72</v>
      </c>
      <c r="B229" t="s">
        <v>73</v>
      </c>
      <c r="C229" t="s">
        <v>74</v>
      </c>
      <c r="E229" t="str">
        <f>"009943061633"</f>
        <v>009943061633</v>
      </c>
      <c r="F229" s="3">
        <v>44872</v>
      </c>
      <c r="G229">
        <v>202308</v>
      </c>
      <c r="H229" t="s">
        <v>75</v>
      </c>
      <c r="I229" t="s">
        <v>76</v>
      </c>
      <c r="J229" t="s">
        <v>77</v>
      </c>
      <c r="K229" t="s">
        <v>78</v>
      </c>
      <c r="L229" t="s">
        <v>79</v>
      </c>
      <c r="M229" t="s">
        <v>80</v>
      </c>
      <c r="N229" t="s">
        <v>908</v>
      </c>
      <c r="O229" t="s">
        <v>82</v>
      </c>
      <c r="P229" t="str">
        <f>"INV188027                     "</f>
        <v xml:space="preserve">INV188027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54.73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0.5</v>
      </c>
      <c r="BK229">
        <v>1</v>
      </c>
      <c r="BL229">
        <v>144.18</v>
      </c>
      <c r="BM229">
        <v>21.63</v>
      </c>
      <c r="BN229">
        <v>165.81</v>
      </c>
      <c r="BO229">
        <v>165.81</v>
      </c>
      <c r="BQ229" t="s">
        <v>909</v>
      </c>
      <c r="BR229" t="s">
        <v>83</v>
      </c>
      <c r="BS229" s="3">
        <v>44874</v>
      </c>
      <c r="BT229" s="4">
        <v>0.64444444444444449</v>
      </c>
      <c r="BU229" t="s">
        <v>546</v>
      </c>
      <c r="BV229" t="s">
        <v>85</v>
      </c>
      <c r="BY229">
        <v>2505.6</v>
      </c>
      <c r="BZ229" t="s">
        <v>86</v>
      </c>
      <c r="CA229" t="s">
        <v>884</v>
      </c>
      <c r="CC229" t="s">
        <v>80</v>
      </c>
      <c r="CD229">
        <v>2000</v>
      </c>
      <c r="CE229" t="s">
        <v>88</v>
      </c>
      <c r="CF229" s="3">
        <v>44875</v>
      </c>
      <c r="CI229">
        <v>2</v>
      </c>
      <c r="CJ229">
        <v>2</v>
      </c>
      <c r="CK229">
        <v>41</v>
      </c>
      <c r="CL229" t="s">
        <v>89</v>
      </c>
    </row>
    <row r="230" spans="1:90" ht="15" customHeight="1" x14ac:dyDescent="0.3">
      <c r="A230" t="s">
        <v>72</v>
      </c>
      <c r="B230" t="s">
        <v>73</v>
      </c>
      <c r="C230" t="s">
        <v>74</v>
      </c>
      <c r="E230" t="str">
        <f>"009943061635"</f>
        <v>009943061635</v>
      </c>
      <c r="F230" s="3">
        <v>44872</v>
      </c>
      <c r="G230">
        <v>202308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168</v>
      </c>
      <c r="O230" t="s">
        <v>82</v>
      </c>
      <c r="P230" t="str">
        <f>"INV188029                     "</f>
        <v xml:space="preserve">INV188029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42.23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0.6</v>
      </c>
      <c r="BJ230">
        <v>2.9</v>
      </c>
      <c r="BK230">
        <v>3</v>
      </c>
      <c r="BL230">
        <v>112.45</v>
      </c>
      <c r="BM230">
        <v>16.87</v>
      </c>
      <c r="BN230">
        <v>129.32</v>
      </c>
      <c r="BO230">
        <v>129.32</v>
      </c>
      <c r="BQ230" t="s">
        <v>910</v>
      </c>
      <c r="BR230" t="s">
        <v>83</v>
      </c>
      <c r="BS230" s="3">
        <v>44873</v>
      </c>
      <c r="BT230" s="4">
        <v>0.3923611111111111</v>
      </c>
      <c r="BU230" t="s">
        <v>911</v>
      </c>
      <c r="BV230" t="s">
        <v>85</v>
      </c>
      <c r="BY230">
        <v>14327.04</v>
      </c>
      <c r="BZ230" t="s">
        <v>86</v>
      </c>
      <c r="CA230" t="s">
        <v>496</v>
      </c>
      <c r="CC230" t="s">
        <v>76</v>
      </c>
      <c r="CD230">
        <v>7441</v>
      </c>
      <c r="CE230" t="s">
        <v>88</v>
      </c>
      <c r="CF230" s="3">
        <v>44874</v>
      </c>
      <c r="CI230">
        <v>1</v>
      </c>
      <c r="CJ230">
        <v>1</v>
      </c>
      <c r="CK230">
        <v>42</v>
      </c>
      <c r="CL230" t="s">
        <v>89</v>
      </c>
    </row>
    <row r="231" spans="1:90" ht="15" customHeight="1" x14ac:dyDescent="0.3">
      <c r="A231" t="s">
        <v>72</v>
      </c>
      <c r="B231" t="s">
        <v>73</v>
      </c>
      <c r="C231" t="s">
        <v>74</v>
      </c>
      <c r="E231" t="str">
        <f>"009943061632"</f>
        <v>009943061632</v>
      </c>
      <c r="F231" s="3">
        <v>44872</v>
      </c>
      <c r="G231">
        <v>202308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912</v>
      </c>
      <c r="O231" t="s">
        <v>82</v>
      </c>
      <c r="P231" t="str">
        <f>"INV188024                     "</f>
        <v xml:space="preserve">INV188024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42.23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1.2</v>
      </c>
      <c r="BJ231">
        <v>3.1</v>
      </c>
      <c r="BK231">
        <v>4</v>
      </c>
      <c r="BL231">
        <v>112.45</v>
      </c>
      <c r="BM231">
        <v>16.87</v>
      </c>
      <c r="BN231">
        <v>129.32</v>
      </c>
      <c r="BO231">
        <v>129.32</v>
      </c>
      <c r="BQ231" t="s">
        <v>913</v>
      </c>
      <c r="BR231" t="s">
        <v>83</v>
      </c>
      <c r="BS231" s="3">
        <v>44882</v>
      </c>
      <c r="BT231" s="4">
        <v>0.41597222222222219</v>
      </c>
      <c r="BU231" t="s">
        <v>914</v>
      </c>
      <c r="BV231" t="s">
        <v>89</v>
      </c>
      <c r="BW231" t="s">
        <v>157</v>
      </c>
      <c r="BX231" t="s">
        <v>915</v>
      </c>
      <c r="BY231">
        <v>15309.35</v>
      </c>
      <c r="BZ231" t="s">
        <v>86</v>
      </c>
      <c r="CC231" t="s">
        <v>76</v>
      </c>
      <c r="CD231">
        <v>7701</v>
      </c>
      <c r="CE231" t="s">
        <v>88</v>
      </c>
      <c r="CF231" s="3">
        <v>44883</v>
      </c>
      <c r="CI231">
        <v>1</v>
      </c>
      <c r="CJ231">
        <v>8</v>
      </c>
      <c r="CK231">
        <v>42</v>
      </c>
      <c r="CL231" t="s">
        <v>89</v>
      </c>
    </row>
    <row r="232" spans="1:90" ht="15" customHeight="1" x14ac:dyDescent="0.3">
      <c r="A232" t="s">
        <v>72</v>
      </c>
      <c r="B232" t="s">
        <v>73</v>
      </c>
      <c r="C232" t="s">
        <v>74</v>
      </c>
      <c r="E232" t="str">
        <f>"009943061623"</f>
        <v>009943061623</v>
      </c>
      <c r="F232" s="3">
        <v>44872</v>
      </c>
      <c r="G232">
        <v>202308</v>
      </c>
      <c r="H232" t="s">
        <v>75</v>
      </c>
      <c r="I232" t="s">
        <v>76</v>
      </c>
      <c r="J232" t="s">
        <v>77</v>
      </c>
      <c r="K232" t="s">
        <v>78</v>
      </c>
      <c r="L232" t="s">
        <v>79</v>
      </c>
      <c r="M232" t="s">
        <v>80</v>
      </c>
      <c r="N232" t="s">
        <v>168</v>
      </c>
      <c r="O232" t="s">
        <v>82</v>
      </c>
      <c r="P232" t="str">
        <f>"INV187945                     "</f>
        <v xml:space="preserve">INV187945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54.73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3.2</v>
      </c>
      <c r="BJ232">
        <v>14.6</v>
      </c>
      <c r="BK232">
        <v>15</v>
      </c>
      <c r="BL232">
        <v>144.18</v>
      </c>
      <c r="BM232">
        <v>21.63</v>
      </c>
      <c r="BN232">
        <v>165.81</v>
      </c>
      <c r="BO232">
        <v>165.81</v>
      </c>
      <c r="BQ232" t="s">
        <v>916</v>
      </c>
      <c r="BR232" t="s">
        <v>83</v>
      </c>
      <c r="BS232" s="3">
        <v>44874</v>
      </c>
      <c r="BT232" s="4">
        <v>0.54375000000000007</v>
      </c>
      <c r="BU232" t="s">
        <v>917</v>
      </c>
      <c r="BV232" t="s">
        <v>85</v>
      </c>
      <c r="BY232">
        <v>72882.600000000006</v>
      </c>
      <c r="BZ232" t="s">
        <v>86</v>
      </c>
      <c r="CA232" t="s">
        <v>702</v>
      </c>
      <c r="CC232" t="s">
        <v>80</v>
      </c>
      <c r="CD232">
        <v>2052</v>
      </c>
      <c r="CE232" t="s">
        <v>88</v>
      </c>
      <c r="CF232" s="3">
        <v>44875</v>
      </c>
      <c r="CI232">
        <v>2</v>
      </c>
      <c r="CJ232">
        <v>2</v>
      </c>
      <c r="CK232">
        <v>41</v>
      </c>
      <c r="CL232" t="s">
        <v>89</v>
      </c>
    </row>
    <row r="233" spans="1:90" ht="15" customHeight="1" x14ac:dyDescent="0.3">
      <c r="A233" t="s">
        <v>72</v>
      </c>
      <c r="B233" t="s">
        <v>73</v>
      </c>
      <c r="C233" t="s">
        <v>74</v>
      </c>
      <c r="E233" t="str">
        <f>"009943061638"</f>
        <v>009943061638</v>
      </c>
      <c r="F233" s="3">
        <v>44872</v>
      </c>
      <c r="G233">
        <v>202308</v>
      </c>
      <c r="H233" t="s">
        <v>75</v>
      </c>
      <c r="I233" t="s">
        <v>76</v>
      </c>
      <c r="J233" t="s">
        <v>77</v>
      </c>
      <c r="K233" t="s">
        <v>78</v>
      </c>
      <c r="L233" t="s">
        <v>918</v>
      </c>
      <c r="M233" t="s">
        <v>919</v>
      </c>
      <c r="N233" t="s">
        <v>920</v>
      </c>
      <c r="O233" t="s">
        <v>82</v>
      </c>
      <c r="P233" t="str">
        <f>"INV188032                     "</f>
        <v xml:space="preserve">INV188032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77.19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1.3</v>
      </c>
      <c r="BJ233">
        <v>9.1</v>
      </c>
      <c r="BK233">
        <v>10</v>
      </c>
      <c r="BL233">
        <v>201.19</v>
      </c>
      <c r="BM233">
        <v>30.18</v>
      </c>
      <c r="BN233">
        <v>231.37</v>
      </c>
      <c r="BO233">
        <v>231.37</v>
      </c>
      <c r="BQ233" t="s">
        <v>921</v>
      </c>
      <c r="BR233" t="s">
        <v>83</v>
      </c>
      <c r="BS233" s="3">
        <v>44874</v>
      </c>
      <c r="BT233" s="4">
        <v>0.50972222222222219</v>
      </c>
      <c r="BU233" t="s">
        <v>922</v>
      </c>
      <c r="BV233" t="s">
        <v>85</v>
      </c>
      <c r="BY233">
        <v>45701.46</v>
      </c>
      <c r="BZ233" t="s">
        <v>86</v>
      </c>
      <c r="CA233" t="s">
        <v>923</v>
      </c>
      <c r="CC233" t="s">
        <v>919</v>
      </c>
      <c r="CD233">
        <v>1911</v>
      </c>
      <c r="CE233" t="s">
        <v>88</v>
      </c>
      <c r="CF233" s="3">
        <v>44875</v>
      </c>
      <c r="CI233">
        <v>2</v>
      </c>
      <c r="CJ233">
        <v>2</v>
      </c>
      <c r="CK233">
        <v>43</v>
      </c>
      <c r="CL233" t="s">
        <v>89</v>
      </c>
    </row>
    <row r="234" spans="1:90" ht="15" customHeight="1" x14ac:dyDescent="0.3">
      <c r="A234" t="s">
        <v>72</v>
      </c>
      <c r="B234" t="s">
        <v>73</v>
      </c>
      <c r="C234" t="s">
        <v>74</v>
      </c>
      <c r="E234" t="str">
        <f>"009943061639"</f>
        <v>009943061639</v>
      </c>
      <c r="F234" s="3">
        <v>44872</v>
      </c>
      <c r="G234">
        <v>202308</v>
      </c>
      <c r="H234" t="s">
        <v>75</v>
      </c>
      <c r="I234" t="s">
        <v>76</v>
      </c>
      <c r="J234" t="s">
        <v>77</v>
      </c>
      <c r="K234" t="s">
        <v>78</v>
      </c>
      <c r="L234" t="s">
        <v>462</v>
      </c>
      <c r="M234" t="s">
        <v>463</v>
      </c>
      <c r="N234" t="s">
        <v>924</v>
      </c>
      <c r="O234" t="s">
        <v>82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77.19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</v>
      </c>
      <c r="BJ234">
        <v>10</v>
      </c>
      <c r="BK234">
        <v>10</v>
      </c>
      <c r="BL234">
        <v>201.19</v>
      </c>
      <c r="BM234">
        <v>30.18</v>
      </c>
      <c r="BN234">
        <v>231.37</v>
      </c>
      <c r="BO234">
        <v>231.37</v>
      </c>
      <c r="BQ234" t="s">
        <v>925</v>
      </c>
      <c r="BR234" t="s">
        <v>83</v>
      </c>
      <c r="BS234" s="3">
        <v>44875</v>
      </c>
      <c r="BT234" s="4">
        <v>0.42986111111111108</v>
      </c>
      <c r="BU234" t="s">
        <v>926</v>
      </c>
      <c r="BV234" t="s">
        <v>85</v>
      </c>
      <c r="BY234">
        <v>50102.91</v>
      </c>
      <c r="BZ234" t="s">
        <v>86</v>
      </c>
      <c r="CA234" t="s">
        <v>927</v>
      </c>
      <c r="CC234" t="s">
        <v>463</v>
      </c>
      <c r="CD234">
        <v>8301</v>
      </c>
      <c r="CE234" t="s">
        <v>88</v>
      </c>
      <c r="CF234" s="3">
        <v>44875</v>
      </c>
      <c r="CI234">
        <v>3</v>
      </c>
      <c r="CJ234">
        <v>3</v>
      </c>
      <c r="CK234">
        <v>43</v>
      </c>
      <c r="CL234" t="s">
        <v>89</v>
      </c>
    </row>
    <row r="235" spans="1:90" ht="15" customHeight="1" x14ac:dyDescent="0.3">
      <c r="A235" t="s">
        <v>72</v>
      </c>
      <c r="B235" t="s">
        <v>73</v>
      </c>
      <c r="C235" t="s">
        <v>74</v>
      </c>
      <c r="E235" t="str">
        <f>"009943061634"</f>
        <v>009943061634</v>
      </c>
      <c r="F235" s="3">
        <v>44872</v>
      </c>
      <c r="G235">
        <v>202308</v>
      </c>
      <c r="H235" t="s">
        <v>75</v>
      </c>
      <c r="I235" t="s">
        <v>76</v>
      </c>
      <c r="J235" t="s">
        <v>77</v>
      </c>
      <c r="K235" t="s">
        <v>78</v>
      </c>
      <c r="L235" t="s">
        <v>324</v>
      </c>
      <c r="M235" t="s">
        <v>325</v>
      </c>
      <c r="N235" t="s">
        <v>168</v>
      </c>
      <c r="O235" t="s">
        <v>82</v>
      </c>
      <c r="P235" t="str">
        <f>"INV188028                     "</f>
        <v xml:space="preserve">INV188028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77.19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3.7</v>
      </c>
      <c r="BK235">
        <v>4</v>
      </c>
      <c r="BL235">
        <v>201.19</v>
      </c>
      <c r="BM235">
        <v>30.18</v>
      </c>
      <c r="BN235">
        <v>231.37</v>
      </c>
      <c r="BO235">
        <v>231.37</v>
      </c>
      <c r="BQ235" t="s">
        <v>928</v>
      </c>
      <c r="BR235" t="s">
        <v>83</v>
      </c>
      <c r="BS235" s="3">
        <v>44875</v>
      </c>
      <c r="BT235" s="4">
        <v>0.625</v>
      </c>
      <c r="BU235" t="s">
        <v>929</v>
      </c>
      <c r="BV235" t="s">
        <v>85</v>
      </c>
      <c r="BY235">
        <v>18608.37</v>
      </c>
      <c r="BZ235" t="s">
        <v>86</v>
      </c>
      <c r="CC235" t="s">
        <v>325</v>
      </c>
      <c r="CD235">
        <v>4399</v>
      </c>
      <c r="CE235" t="s">
        <v>88</v>
      </c>
      <c r="CF235" s="3">
        <v>44882</v>
      </c>
      <c r="CI235">
        <v>3</v>
      </c>
      <c r="CJ235">
        <v>3</v>
      </c>
      <c r="CK235">
        <v>43</v>
      </c>
      <c r="CL235" t="s">
        <v>89</v>
      </c>
    </row>
    <row r="236" spans="1:90" ht="15" customHeight="1" x14ac:dyDescent="0.3">
      <c r="A236" t="s">
        <v>72</v>
      </c>
      <c r="B236" t="s">
        <v>73</v>
      </c>
      <c r="C236" t="s">
        <v>74</v>
      </c>
      <c r="E236" t="str">
        <f>"009943061631"</f>
        <v>009943061631</v>
      </c>
      <c r="F236" s="3">
        <v>44872</v>
      </c>
      <c r="G236">
        <v>202308</v>
      </c>
      <c r="H236" t="s">
        <v>75</v>
      </c>
      <c r="I236" t="s">
        <v>76</v>
      </c>
      <c r="J236" t="s">
        <v>77</v>
      </c>
      <c r="K236" t="s">
        <v>78</v>
      </c>
      <c r="L236" t="s">
        <v>166</v>
      </c>
      <c r="M236" t="s">
        <v>167</v>
      </c>
      <c r="N236" t="s">
        <v>168</v>
      </c>
      <c r="O236" t="s">
        <v>82</v>
      </c>
      <c r="P236" t="str">
        <f>"INV188025                     "</f>
        <v xml:space="preserve">INV188025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54.73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0.9</v>
      </c>
      <c r="BJ236">
        <v>2.7</v>
      </c>
      <c r="BK236">
        <v>3</v>
      </c>
      <c r="BL236">
        <v>144.18</v>
      </c>
      <c r="BM236">
        <v>21.63</v>
      </c>
      <c r="BN236">
        <v>165.81</v>
      </c>
      <c r="BO236">
        <v>165.81</v>
      </c>
      <c r="BQ236" t="s">
        <v>930</v>
      </c>
      <c r="BR236" t="s">
        <v>83</v>
      </c>
      <c r="BS236" s="3">
        <v>44874</v>
      </c>
      <c r="BT236" s="4">
        <v>0.44513888888888892</v>
      </c>
      <c r="BU236" t="s">
        <v>931</v>
      </c>
      <c r="BV236" t="s">
        <v>85</v>
      </c>
      <c r="BY236">
        <v>13635.37</v>
      </c>
      <c r="BZ236" t="s">
        <v>86</v>
      </c>
      <c r="CA236" t="s">
        <v>475</v>
      </c>
      <c r="CC236" t="s">
        <v>167</v>
      </c>
      <c r="CD236">
        <v>181</v>
      </c>
      <c r="CE236" t="s">
        <v>88</v>
      </c>
      <c r="CF236" s="3">
        <v>44874</v>
      </c>
      <c r="CI236">
        <v>2</v>
      </c>
      <c r="CJ236">
        <v>2</v>
      </c>
      <c r="CK236">
        <v>41</v>
      </c>
      <c r="CL236" t="s">
        <v>89</v>
      </c>
    </row>
    <row r="237" spans="1:90" ht="15" customHeight="1" x14ac:dyDescent="0.3">
      <c r="A237" t="s">
        <v>72</v>
      </c>
      <c r="B237" t="s">
        <v>73</v>
      </c>
      <c r="C237" t="s">
        <v>74</v>
      </c>
      <c r="E237" t="str">
        <f>"009943061630"</f>
        <v>009943061630</v>
      </c>
      <c r="F237" s="3">
        <v>44872</v>
      </c>
      <c r="G237">
        <v>202308</v>
      </c>
      <c r="H237" t="s">
        <v>75</v>
      </c>
      <c r="I237" t="s">
        <v>76</v>
      </c>
      <c r="J237" t="s">
        <v>77</v>
      </c>
      <c r="K237" t="s">
        <v>78</v>
      </c>
      <c r="L237" t="s">
        <v>79</v>
      </c>
      <c r="M237" t="s">
        <v>80</v>
      </c>
      <c r="N237" t="s">
        <v>932</v>
      </c>
      <c r="O237" t="s">
        <v>82</v>
      </c>
      <c r="P237" t="str">
        <f>"AVO#22347                     "</f>
        <v xml:space="preserve">AVO#22347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54.73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0.6</v>
      </c>
      <c r="BJ237">
        <v>2.2000000000000002</v>
      </c>
      <c r="BK237">
        <v>3</v>
      </c>
      <c r="BL237">
        <v>144.18</v>
      </c>
      <c r="BM237">
        <v>21.63</v>
      </c>
      <c r="BN237">
        <v>165.81</v>
      </c>
      <c r="BO237">
        <v>165.81</v>
      </c>
      <c r="BP237" t="s">
        <v>933</v>
      </c>
      <c r="BQ237" t="s">
        <v>934</v>
      </c>
      <c r="BR237" t="s">
        <v>83</v>
      </c>
      <c r="BS237" s="3">
        <v>44874</v>
      </c>
      <c r="BT237" s="4">
        <v>0.70416666666666661</v>
      </c>
      <c r="BU237" t="s">
        <v>935</v>
      </c>
      <c r="BV237" t="s">
        <v>85</v>
      </c>
      <c r="BY237">
        <v>10968.75</v>
      </c>
      <c r="BZ237" t="s">
        <v>86</v>
      </c>
      <c r="CC237" t="s">
        <v>80</v>
      </c>
      <c r="CD237">
        <v>2065</v>
      </c>
      <c r="CE237" t="s">
        <v>88</v>
      </c>
      <c r="CF237" s="3">
        <v>44875</v>
      </c>
      <c r="CI237">
        <v>2</v>
      </c>
      <c r="CJ237">
        <v>2</v>
      </c>
      <c r="CK237">
        <v>41</v>
      </c>
      <c r="CL237" t="s">
        <v>89</v>
      </c>
    </row>
    <row r="238" spans="1:90" ht="15" customHeight="1" x14ac:dyDescent="0.3">
      <c r="A238" t="s">
        <v>72</v>
      </c>
      <c r="B238" t="s">
        <v>73</v>
      </c>
      <c r="C238" t="s">
        <v>74</v>
      </c>
      <c r="E238" t="str">
        <f>"009943061629"</f>
        <v>009943061629</v>
      </c>
      <c r="F238" s="3">
        <v>44872</v>
      </c>
      <c r="G238">
        <v>202308</v>
      </c>
      <c r="H238" t="s">
        <v>75</v>
      </c>
      <c r="I238" t="s">
        <v>76</v>
      </c>
      <c r="J238" t="s">
        <v>77</v>
      </c>
      <c r="K238" t="s">
        <v>78</v>
      </c>
      <c r="L238" t="s">
        <v>180</v>
      </c>
      <c r="M238" t="s">
        <v>181</v>
      </c>
      <c r="N238" t="s">
        <v>168</v>
      </c>
      <c r="O238" t="s">
        <v>82</v>
      </c>
      <c r="P238" t="str">
        <f>"INV188023                     "</f>
        <v xml:space="preserve">INV188023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54.73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0.5</v>
      </c>
      <c r="BJ238">
        <v>2.1</v>
      </c>
      <c r="BK238">
        <v>3</v>
      </c>
      <c r="BL238">
        <v>144.18</v>
      </c>
      <c r="BM238">
        <v>21.63</v>
      </c>
      <c r="BN238">
        <v>165.81</v>
      </c>
      <c r="BO238">
        <v>165.81</v>
      </c>
      <c r="BQ238" t="s">
        <v>936</v>
      </c>
      <c r="BR238" t="s">
        <v>83</v>
      </c>
      <c r="BS238" s="3">
        <v>44875</v>
      </c>
      <c r="BT238" s="4">
        <v>0.46527777777777773</v>
      </c>
      <c r="BU238" t="s">
        <v>937</v>
      </c>
      <c r="BV238" t="s">
        <v>85</v>
      </c>
      <c r="BY238">
        <v>10601.52</v>
      </c>
      <c r="BZ238" t="s">
        <v>86</v>
      </c>
      <c r="CA238" t="s">
        <v>888</v>
      </c>
      <c r="CC238" t="s">
        <v>181</v>
      </c>
      <c r="CD238">
        <v>4055</v>
      </c>
      <c r="CE238" t="s">
        <v>88</v>
      </c>
      <c r="CF238" s="3">
        <v>44882</v>
      </c>
      <c r="CI238">
        <v>3</v>
      </c>
      <c r="CJ238">
        <v>3</v>
      </c>
      <c r="CK238">
        <v>41</v>
      </c>
      <c r="CL238" t="s">
        <v>89</v>
      </c>
    </row>
    <row r="239" spans="1:90" ht="15" customHeight="1" x14ac:dyDescent="0.3">
      <c r="A239" t="s">
        <v>72</v>
      </c>
      <c r="B239" t="s">
        <v>73</v>
      </c>
      <c r="C239" t="s">
        <v>74</v>
      </c>
      <c r="E239" t="str">
        <f>"009942358082"</f>
        <v>009942358082</v>
      </c>
      <c r="F239" s="3">
        <v>44872</v>
      </c>
      <c r="G239">
        <v>202308</v>
      </c>
      <c r="H239" t="s">
        <v>75</v>
      </c>
      <c r="I239" t="s">
        <v>76</v>
      </c>
      <c r="J239" t="s">
        <v>273</v>
      </c>
      <c r="K239" t="s">
        <v>78</v>
      </c>
      <c r="L239" t="s">
        <v>373</v>
      </c>
      <c r="M239" t="s">
        <v>374</v>
      </c>
      <c r="N239" t="s">
        <v>168</v>
      </c>
      <c r="O239" t="s">
        <v>82</v>
      </c>
      <c r="P239" t="str">
        <f>"JOB:12894                     "</f>
        <v xml:space="preserve">JOB:12894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15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56.99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11.9</v>
      </c>
      <c r="BJ239">
        <v>15.5</v>
      </c>
      <c r="BK239">
        <v>16</v>
      </c>
      <c r="BL239">
        <v>164.91</v>
      </c>
      <c r="BM239">
        <v>24.74</v>
      </c>
      <c r="BN239">
        <v>189.65</v>
      </c>
      <c r="BO239">
        <v>189.65</v>
      </c>
      <c r="BQ239" t="s">
        <v>938</v>
      </c>
      <c r="BR239" t="s">
        <v>276</v>
      </c>
      <c r="BS239" s="3">
        <v>44873</v>
      </c>
      <c r="BT239" s="4">
        <v>0.47986111111111113</v>
      </c>
      <c r="BU239" t="s">
        <v>939</v>
      </c>
      <c r="BV239" t="s">
        <v>85</v>
      </c>
      <c r="BY239">
        <v>77490</v>
      </c>
      <c r="BZ239" t="s">
        <v>278</v>
      </c>
      <c r="CA239" t="s">
        <v>940</v>
      </c>
      <c r="CC239" t="s">
        <v>374</v>
      </c>
      <c r="CD239">
        <v>6529</v>
      </c>
      <c r="CE239" t="s">
        <v>88</v>
      </c>
      <c r="CF239" s="3">
        <v>44875</v>
      </c>
      <c r="CI239">
        <v>1</v>
      </c>
      <c r="CJ239">
        <v>1</v>
      </c>
      <c r="CK239">
        <v>41</v>
      </c>
      <c r="CL239" t="s">
        <v>89</v>
      </c>
    </row>
    <row r="240" spans="1:90" ht="15" customHeight="1" x14ac:dyDescent="0.3">
      <c r="A240" t="s">
        <v>72</v>
      </c>
      <c r="B240" t="s">
        <v>73</v>
      </c>
      <c r="C240" t="s">
        <v>74</v>
      </c>
      <c r="E240" t="str">
        <f>"009942358081"</f>
        <v>009942358081</v>
      </c>
      <c r="F240" s="3">
        <v>44872</v>
      </c>
      <c r="G240">
        <v>202308</v>
      </c>
      <c r="H240" t="s">
        <v>75</v>
      </c>
      <c r="I240" t="s">
        <v>76</v>
      </c>
      <c r="J240" t="s">
        <v>273</v>
      </c>
      <c r="K240" t="s">
        <v>78</v>
      </c>
      <c r="L240" t="s">
        <v>166</v>
      </c>
      <c r="M240" t="s">
        <v>167</v>
      </c>
      <c r="N240" t="s">
        <v>168</v>
      </c>
      <c r="O240" t="s">
        <v>82</v>
      </c>
      <c r="P240" t="str">
        <f>"JC12885-RE:GARDEN BLEU        "</f>
        <v xml:space="preserve">JC12885-RE:GARDEN BLEU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15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108.86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12.4</v>
      </c>
      <c r="BJ240">
        <v>38.5</v>
      </c>
      <c r="BK240">
        <v>39</v>
      </c>
      <c r="BL240">
        <v>296.58999999999997</v>
      </c>
      <c r="BM240">
        <v>44.49</v>
      </c>
      <c r="BN240">
        <v>341.08</v>
      </c>
      <c r="BO240">
        <v>341.08</v>
      </c>
      <c r="BQ240" t="s">
        <v>941</v>
      </c>
      <c r="BR240" t="s">
        <v>276</v>
      </c>
      <c r="BS240" s="3">
        <v>44875</v>
      </c>
      <c r="BT240" s="4">
        <v>0.3840277777777778</v>
      </c>
      <c r="BU240" t="s">
        <v>942</v>
      </c>
      <c r="BV240" t="s">
        <v>89</v>
      </c>
      <c r="BY240">
        <v>192277.8</v>
      </c>
      <c r="BZ240" t="s">
        <v>278</v>
      </c>
      <c r="CA240" t="s">
        <v>943</v>
      </c>
      <c r="CC240" t="s">
        <v>167</v>
      </c>
      <c r="CD240">
        <v>181</v>
      </c>
      <c r="CE240" t="s">
        <v>88</v>
      </c>
      <c r="CF240" s="3">
        <v>44875</v>
      </c>
      <c r="CI240">
        <v>2</v>
      </c>
      <c r="CJ240">
        <v>3</v>
      </c>
      <c r="CK240">
        <v>41</v>
      </c>
      <c r="CL240" t="s">
        <v>89</v>
      </c>
    </row>
    <row r="241" spans="1:90" ht="15" customHeight="1" x14ac:dyDescent="0.3">
      <c r="A241" t="s">
        <v>72</v>
      </c>
      <c r="B241" t="s">
        <v>73</v>
      </c>
      <c r="C241" t="s">
        <v>74</v>
      </c>
      <c r="E241" t="str">
        <f>"009942899913"</f>
        <v>009942899913</v>
      </c>
      <c r="F241" s="3">
        <v>44872</v>
      </c>
      <c r="G241">
        <v>202308</v>
      </c>
      <c r="H241" t="s">
        <v>111</v>
      </c>
      <c r="I241" t="s">
        <v>112</v>
      </c>
      <c r="J241" t="s">
        <v>94</v>
      </c>
      <c r="K241" t="s">
        <v>78</v>
      </c>
      <c r="L241" t="s">
        <v>240</v>
      </c>
      <c r="M241" t="s">
        <v>241</v>
      </c>
      <c r="N241" t="s">
        <v>944</v>
      </c>
      <c r="O241" t="s">
        <v>96</v>
      </c>
      <c r="P241" t="str">
        <f>"J28866                        "</f>
        <v xml:space="preserve">J28866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97.96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4.3</v>
      </c>
      <c r="BJ241">
        <v>5</v>
      </c>
      <c r="BK241">
        <v>5</v>
      </c>
      <c r="BL241">
        <v>248.66</v>
      </c>
      <c r="BM241">
        <v>37.299999999999997</v>
      </c>
      <c r="BN241">
        <v>285.95999999999998</v>
      </c>
      <c r="BO241">
        <v>285.95999999999998</v>
      </c>
      <c r="BQ241" t="s">
        <v>945</v>
      </c>
      <c r="BR241" t="s">
        <v>113</v>
      </c>
      <c r="BS241" s="3">
        <v>44873</v>
      </c>
      <c r="BT241" s="4">
        <v>0.66388888888888886</v>
      </c>
      <c r="BU241" t="s">
        <v>244</v>
      </c>
      <c r="BV241" t="s">
        <v>89</v>
      </c>
      <c r="BW241" t="s">
        <v>99</v>
      </c>
      <c r="BX241" t="s">
        <v>223</v>
      </c>
      <c r="BY241">
        <v>25107.49</v>
      </c>
      <c r="BZ241" t="s">
        <v>101</v>
      </c>
      <c r="CA241" t="s">
        <v>245</v>
      </c>
      <c r="CC241" t="s">
        <v>241</v>
      </c>
      <c r="CD241">
        <v>1739</v>
      </c>
      <c r="CE241" t="s">
        <v>88</v>
      </c>
      <c r="CF241" s="3">
        <v>44874</v>
      </c>
      <c r="CI241">
        <v>1</v>
      </c>
      <c r="CJ241">
        <v>1</v>
      </c>
      <c r="CK241">
        <v>24</v>
      </c>
      <c r="CL241" t="s">
        <v>89</v>
      </c>
    </row>
    <row r="242" spans="1:90" ht="15" customHeight="1" x14ac:dyDescent="0.3">
      <c r="A242" t="s">
        <v>72</v>
      </c>
      <c r="B242" t="s">
        <v>73</v>
      </c>
      <c r="C242" t="s">
        <v>74</v>
      </c>
      <c r="E242" t="str">
        <f>"009942899914"</f>
        <v>009942899914</v>
      </c>
      <c r="F242" s="3">
        <v>44869</v>
      </c>
      <c r="G242">
        <v>202308</v>
      </c>
      <c r="H242" t="s">
        <v>111</v>
      </c>
      <c r="I242" t="s">
        <v>112</v>
      </c>
      <c r="J242" t="s">
        <v>94</v>
      </c>
      <c r="K242" t="s">
        <v>78</v>
      </c>
      <c r="L242" t="s">
        <v>79</v>
      </c>
      <c r="M242" t="s">
        <v>80</v>
      </c>
      <c r="N242" t="s">
        <v>946</v>
      </c>
      <c r="O242" t="s">
        <v>96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22.11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7.2</v>
      </c>
      <c r="BK242">
        <v>7.5</v>
      </c>
      <c r="BL242">
        <v>56.12</v>
      </c>
      <c r="BM242">
        <v>8.42</v>
      </c>
      <c r="BN242">
        <v>64.540000000000006</v>
      </c>
      <c r="BO242">
        <v>64.540000000000006</v>
      </c>
      <c r="BQ242" t="s">
        <v>197</v>
      </c>
      <c r="BR242" t="s">
        <v>221</v>
      </c>
      <c r="BS242" s="3">
        <v>44874</v>
      </c>
      <c r="BT242" s="4">
        <v>0.3611111111111111</v>
      </c>
      <c r="BU242" t="s">
        <v>947</v>
      </c>
      <c r="BV242" t="s">
        <v>89</v>
      </c>
      <c r="BW242" t="s">
        <v>130</v>
      </c>
      <c r="BX242" t="s">
        <v>223</v>
      </c>
      <c r="BY242">
        <v>36000</v>
      </c>
      <c r="BZ242" t="s">
        <v>101</v>
      </c>
      <c r="CA242" t="s">
        <v>948</v>
      </c>
      <c r="CC242" t="s">
        <v>80</v>
      </c>
      <c r="CD242">
        <v>2040</v>
      </c>
      <c r="CE242" t="s">
        <v>88</v>
      </c>
      <c r="CF242" s="3">
        <v>44874</v>
      </c>
      <c r="CI242">
        <v>1</v>
      </c>
      <c r="CJ242">
        <v>3</v>
      </c>
      <c r="CK242">
        <v>22</v>
      </c>
      <c r="CL242" t="s">
        <v>89</v>
      </c>
    </row>
    <row r="243" spans="1:90" ht="15" customHeight="1" x14ac:dyDescent="0.3">
      <c r="A243" t="s">
        <v>72</v>
      </c>
      <c r="B243" t="s">
        <v>73</v>
      </c>
      <c r="C243" t="s">
        <v>74</v>
      </c>
      <c r="E243" t="str">
        <f>"009942701273"</f>
        <v>009942701273</v>
      </c>
      <c r="F243" s="3">
        <v>44872</v>
      </c>
      <c r="G243">
        <v>202308</v>
      </c>
      <c r="H243" t="s">
        <v>108</v>
      </c>
      <c r="I243" t="s">
        <v>109</v>
      </c>
      <c r="J243" t="s">
        <v>110</v>
      </c>
      <c r="K243" t="s">
        <v>78</v>
      </c>
      <c r="L243" t="s">
        <v>111</v>
      </c>
      <c r="M243" t="s">
        <v>112</v>
      </c>
      <c r="N243" t="s">
        <v>94</v>
      </c>
      <c r="O243" t="s">
        <v>96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212.17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3</v>
      </c>
      <c r="BI243">
        <v>15</v>
      </c>
      <c r="BJ243">
        <v>1.7</v>
      </c>
      <c r="BK243">
        <v>15</v>
      </c>
      <c r="BL243">
        <v>538.59</v>
      </c>
      <c r="BM243">
        <v>80.790000000000006</v>
      </c>
      <c r="BN243">
        <v>619.38</v>
      </c>
      <c r="BO243">
        <v>619.38</v>
      </c>
      <c r="BQ243" t="s">
        <v>113</v>
      </c>
      <c r="BR243" t="s">
        <v>114</v>
      </c>
      <c r="BS243" s="3">
        <v>44873</v>
      </c>
      <c r="BT243" s="4">
        <v>0.41666666666666669</v>
      </c>
      <c r="BU243" t="s">
        <v>759</v>
      </c>
      <c r="BV243" t="s">
        <v>85</v>
      </c>
      <c r="BY243">
        <v>4800</v>
      </c>
      <c r="BZ243" t="s">
        <v>101</v>
      </c>
      <c r="CA243" t="s">
        <v>116</v>
      </c>
      <c r="CC243" t="s">
        <v>112</v>
      </c>
      <c r="CD243">
        <v>1620</v>
      </c>
      <c r="CE243" t="s">
        <v>88</v>
      </c>
      <c r="CF243" s="3">
        <v>44874</v>
      </c>
      <c r="CI243">
        <v>1</v>
      </c>
      <c r="CJ243">
        <v>1</v>
      </c>
      <c r="CK243">
        <v>21</v>
      </c>
      <c r="CL243" t="s">
        <v>89</v>
      </c>
    </row>
    <row r="244" spans="1:90" ht="15" customHeight="1" x14ac:dyDescent="0.3">
      <c r="A244" t="s">
        <v>72</v>
      </c>
      <c r="B244" t="s">
        <v>73</v>
      </c>
      <c r="C244" t="s">
        <v>74</v>
      </c>
      <c r="E244" t="str">
        <f>"009942837119"</f>
        <v>009942837119</v>
      </c>
      <c r="F244" s="3">
        <v>44873</v>
      </c>
      <c r="G244">
        <v>202308</v>
      </c>
      <c r="H244" t="s">
        <v>117</v>
      </c>
      <c r="I244" t="s">
        <v>118</v>
      </c>
      <c r="J244" t="s">
        <v>94</v>
      </c>
      <c r="K244" t="s">
        <v>78</v>
      </c>
      <c r="L244" t="s">
        <v>108</v>
      </c>
      <c r="M244" t="s">
        <v>109</v>
      </c>
      <c r="N244" t="s">
        <v>949</v>
      </c>
      <c r="O244" t="s">
        <v>96</v>
      </c>
      <c r="P244" t="str">
        <f>"ZONDI M.B.                    "</f>
        <v xml:space="preserve">ZONDI M.B.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35.369999999999997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2.4</v>
      </c>
      <c r="BK244">
        <v>2.5</v>
      </c>
      <c r="BL244">
        <v>89.79</v>
      </c>
      <c r="BM244">
        <v>13.47</v>
      </c>
      <c r="BN244">
        <v>103.26</v>
      </c>
      <c r="BO244">
        <v>103.26</v>
      </c>
      <c r="BQ244" t="s">
        <v>114</v>
      </c>
      <c r="BR244" t="s">
        <v>622</v>
      </c>
      <c r="BS244" s="3">
        <v>44875</v>
      </c>
      <c r="BT244" s="4">
        <v>0.34236111111111112</v>
      </c>
      <c r="BU244" t="s">
        <v>362</v>
      </c>
      <c r="BV244" t="s">
        <v>89</v>
      </c>
      <c r="BW244" t="s">
        <v>157</v>
      </c>
      <c r="BX244" t="s">
        <v>357</v>
      </c>
      <c r="BY244">
        <v>12000</v>
      </c>
      <c r="BZ244" t="s">
        <v>101</v>
      </c>
      <c r="CA244" t="s">
        <v>363</v>
      </c>
      <c r="CC244" t="s">
        <v>109</v>
      </c>
      <c r="CD244">
        <v>6000</v>
      </c>
      <c r="CE244" t="s">
        <v>88</v>
      </c>
      <c r="CF244" s="3">
        <v>44876</v>
      </c>
      <c r="CI244">
        <v>1</v>
      </c>
      <c r="CJ244">
        <v>2</v>
      </c>
      <c r="CK244">
        <v>21</v>
      </c>
      <c r="CL244" t="s">
        <v>89</v>
      </c>
    </row>
    <row r="245" spans="1:90" ht="15" customHeight="1" x14ac:dyDescent="0.3">
      <c r="A245" t="s">
        <v>72</v>
      </c>
      <c r="B245" t="s">
        <v>73</v>
      </c>
      <c r="C245" t="s">
        <v>74</v>
      </c>
      <c r="E245" t="str">
        <f>"009942856075"</f>
        <v>009942856075</v>
      </c>
      <c r="F245" s="3">
        <v>44873</v>
      </c>
      <c r="G245">
        <v>202308</v>
      </c>
      <c r="H245" t="s">
        <v>217</v>
      </c>
      <c r="I245" t="s">
        <v>218</v>
      </c>
      <c r="J245" t="s">
        <v>950</v>
      </c>
      <c r="K245" t="s">
        <v>78</v>
      </c>
      <c r="L245" t="s">
        <v>951</v>
      </c>
      <c r="M245" t="s">
        <v>952</v>
      </c>
      <c r="N245" t="s">
        <v>953</v>
      </c>
      <c r="O245" t="s">
        <v>96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54.83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0.8</v>
      </c>
      <c r="BJ245">
        <v>0.5</v>
      </c>
      <c r="BK245">
        <v>1</v>
      </c>
      <c r="BL245">
        <v>139.19</v>
      </c>
      <c r="BM245">
        <v>20.88</v>
      </c>
      <c r="BN245">
        <v>160.07</v>
      </c>
      <c r="BO245">
        <v>160.07</v>
      </c>
      <c r="BQ245" t="s">
        <v>359</v>
      </c>
      <c r="BR245" t="s">
        <v>359</v>
      </c>
      <c r="BS245" s="3">
        <v>44874</v>
      </c>
      <c r="BT245" s="4">
        <v>0.69305555555555554</v>
      </c>
      <c r="BU245" t="s">
        <v>954</v>
      </c>
      <c r="BV245" t="s">
        <v>85</v>
      </c>
      <c r="BY245">
        <v>2402.4</v>
      </c>
      <c r="BZ245" t="s">
        <v>101</v>
      </c>
      <c r="CC245" t="s">
        <v>952</v>
      </c>
      <c r="CD245">
        <v>6570</v>
      </c>
      <c r="CE245" t="s">
        <v>88</v>
      </c>
      <c r="CF245" s="3">
        <v>44879</v>
      </c>
      <c r="CI245">
        <v>1</v>
      </c>
      <c r="CJ245">
        <v>1</v>
      </c>
      <c r="CK245">
        <v>23</v>
      </c>
      <c r="CL245" t="s">
        <v>89</v>
      </c>
    </row>
    <row r="246" spans="1:90" ht="15" customHeight="1" x14ac:dyDescent="0.3">
      <c r="A246" t="s">
        <v>72</v>
      </c>
      <c r="B246" t="s">
        <v>73</v>
      </c>
      <c r="C246" t="s">
        <v>74</v>
      </c>
      <c r="E246" t="str">
        <f>"009942873258"</f>
        <v>009942873258</v>
      </c>
      <c r="F246" s="3">
        <v>44873</v>
      </c>
      <c r="G246">
        <v>202308</v>
      </c>
      <c r="H246" t="s">
        <v>75</v>
      </c>
      <c r="I246" t="s">
        <v>76</v>
      </c>
      <c r="J246" t="s">
        <v>955</v>
      </c>
      <c r="K246" t="s">
        <v>78</v>
      </c>
      <c r="L246" t="s">
        <v>75</v>
      </c>
      <c r="M246" t="s">
        <v>76</v>
      </c>
      <c r="N246" t="s">
        <v>956</v>
      </c>
      <c r="O246" t="s">
        <v>96</v>
      </c>
      <c r="P246" t="str">
        <f>"C21703                        "</f>
        <v xml:space="preserve">C21703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22.11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0.9</v>
      </c>
      <c r="BK246">
        <v>1</v>
      </c>
      <c r="BL246">
        <v>56.12</v>
      </c>
      <c r="BM246">
        <v>8.42</v>
      </c>
      <c r="BN246">
        <v>64.540000000000006</v>
      </c>
      <c r="BO246">
        <v>64.540000000000006</v>
      </c>
      <c r="BQ246" t="s">
        <v>957</v>
      </c>
      <c r="BR246" t="s">
        <v>585</v>
      </c>
      <c r="BS246" s="3">
        <v>44874</v>
      </c>
      <c r="BT246" s="4">
        <v>0.6</v>
      </c>
      <c r="BU246" t="s">
        <v>958</v>
      </c>
      <c r="BV246" t="s">
        <v>89</v>
      </c>
      <c r="BW246" t="s">
        <v>99</v>
      </c>
      <c r="BX246" t="s">
        <v>630</v>
      </c>
      <c r="BY246">
        <v>4622.3100000000004</v>
      </c>
      <c r="BZ246" t="s">
        <v>101</v>
      </c>
      <c r="CA246" t="s">
        <v>959</v>
      </c>
      <c r="CC246" t="s">
        <v>76</v>
      </c>
      <c r="CD246">
        <v>7580</v>
      </c>
      <c r="CE246" t="s">
        <v>88</v>
      </c>
      <c r="CF246" s="3">
        <v>44875</v>
      </c>
      <c r="CI246">
        <v>1</v>
      </c>
      <c r="CJ246">
        <v>1</v>
      </c>
      <c r="CK246">
        <v>22</v>
      </c>
      <c r="CL246" t="s">
        <v>89</v>
      </c>
    </row>
    <row r="247" spans="1:90" ht="15" customHeight="1" x14ac:dyDescent="0.3">
      <c r="A247" t="s">
        <v>72</v>
      </c>
      <c r="B247" t="s">
        <v>73</v>
      </c>
      <c r="C247" t="s">
        <v>74</v>
      </c>
      <c r="E247" t="str">
        <f>"009942860121"</f>
        <v>009942860121</v>
      </c>
      <c r="F247" s="3">
        <v>44873</v>
      </c>
      <c r="G247">
        <v>202308</v>
      </c>
      <c r="H247" t="s">
        <v>200</v>
      </c>
      <c r="I247" t="s">
        <v>201</v>
      </c>
      <c r="J247" t="s">
        <v>960</v>
      </c>
      <c r="K247" t="s">
        <v>78</v>
      </c>
      <c r="L247" t="s">
        <v>75</v>
      </c>
      <c r="M247" t="s">
        <v>76</v>
      </c>
      <c r="N247" t="s">
        <v>961</v>
      </c>
      <c r="O247" t="s">
        <v>82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194.57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3</v>
      </c>
      <c r="BI247">
        <v>77</v>
      </c>
      <c r="BJ247">
        <v>46.7</v>
      </c>
      <c r="BK247">
        <v>77</v>
      </c>
      <c r="BL247">
        <v>499.16</v>
      </c>
      <c r="BM247">
        <v>74.87</v>
      </c>
      <c r="BN247">
        <v>574.03</v>
      </c>
      <c r="BO247">
        <v>574.03</v>
      </c>
      <c r="BQ247" t="s">
        <v>97</v>
      </c>
      <c r="BR247" t="s">
        <v>962</v>
      </c>
      <c r="BS247" s="3">
        <v>44875</v>
      </c>
      <c r="BT247" s="4">
        <v>0.48333333333333334</v>
      </c>
      <c r="BU247" t="s">
        <v>963</v>
      </c>
      <c r="BV247" t="s">
        <v>85</v>
      </c>
      <c r="BY247">
        <v>233699.16</v>
      </c>
      <c r="BZ247" t="s">
        <v>86</v>
      </c>
      <c r="CA247" t="s">
        <v>964</v>
      </c>
      <c r="CC247" t="s">
        <v>76</v>
      </c>
      <c r="CD247">
        <v>8000</v>
      </c>
      <c r="CE247" t="s">
        <v>88</v>
      </c>
      <c r="CF247" s="3">
        <v>44876</v>
      </c>
      <c r="CI247">
        <v>2</v>
      </c>
      <c r="CJ247">
        <v>2</v>
      </c>
      <c r="CK247">
        <v>41</v>
      </c>
      <c r="CL247" t="s">
        <v>89</v>
      </c>
    </row>
    <row r="248" spans="1:90" ht="15" customHeight="1" x14ac:dyDescent="0.3">
      <c r="A248" t="s">
        <v>72</v>
      </c>
      <c r="B248" t="s">
        <v>73</v>
      </c>
      <c r="C248" t="s">
        <v>74</v>
      </c>
      <c r="E248" t="str">
        <f>"009942775817"</f>
        <v>009942775817</v>
      </c>
      <c r="F248" s="3">
        <v>44873</v>
      </c>
      <c r="G248">
        <v>202308</v>
      </c>
      <c r="H248" t="s">
        <v>424</v>
      </c>
      <c r="I248" t="s">
        <v>425</v>
      </c>
      <c r="J248" t="s">
        <v>767</v>
      </c>
      <c r="K248" t="s">
        <v>78</v>
      </c>
      <c r="L248" t="s">
        <v>75</v>
      </c>
      <c r="M248" t="s">
        <v>76</v>
      </c>
      <c r="N248" t="s">
        <v>423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69.400000000000006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15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12.2</v>
      </c>
      <c r="BJ248">
        <v>36.700000000000003</v>
      </c>
      <c r="BK248">
        <v>37</v>
      </c>
      <c r="BL248">
        <v>196.42</v>
      </c>
      <c r="BM248">
        <v>29.46</v>
      </c>
      <c r="BN248">
        <v>225.88</v>
      </c>
      <c r="BO248">
        <v>225.88</v>
      </c>
      <c r="BR248" t="s">
        <v>771</v>
      </c>
      <c r="BS248" s="3">
        <v>44874</v>
      </c>
      <c r="BT248" s="4">
        <v>0.52847222222222223</v>
      </c>
      <c r="BU248" t="s">
        <v>965</v>
      </c>
      <c r="BV248" t="s">
        <v>85</v>
      </c>
      <c r="BY248">
        <v>183744</v>
      </c>
      <c r="BZ248" t="s">
        <v>451</v>
      </c>
      <c r="CC248" t="s">
        <v>76</v>
      </c>
      <c r="CD248">
        <v>7781</v>
      </c>
      <c r="CE248" t="s">
        <v>88</v>
      </c>
      <c r="CF248" s="3">
        <v>44875</v>
      </c>
      <c r="CI248">
        <v>1</v>
      </c>
      <c r="CJ248">
        <v>1</v>
      </c>
      <c r="CK248">
        <v>42</v>
      </c>
      <c r="CL248" t="s">
        <v>89</v>
      </c>
    </row>
    <row r="249" spans="1:90" ht="15" customHeight="1" x14ac:dyDescent="0.3">
      <c r="A249" t="s">
        <v>72</v>
      </c>
      <c r="B249" t="s">
        <v>73</v>
      </c>
      <c r="C249" t="s">
        <v>74</v>
      </c>
      <c r="E249" t="str">
        <f>"009942701272"</f>
        <v>009942701272</v>
      </c>
      <c r="F249" s="3">
        <v>44873</v>
      </c>
      <c r="G249">
        <v>202308</v>
      </c>
      <c r="H249" t="s">
        <v>108</v>
      </c>
      <c r="I249" t="s">
        <v>109</v>
      </c>
      <c r="J249" t="s">
        <v>110</v>
      </c>
      <c r="K249" t="s">
        <v>78</v>
      </c>
      <c r="L249" t="s">
        <v>111</v>
      </c>
      <c r="M249" t="s">
        <v>112</v>
      </c>
      <c r="N249" t="s">
        <v>94</v>
      </c>
      <c r="O249" t="s">
        <v>96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28.3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71.84</v>
      </c>
      <c r="BM249">
        <v>10.78</v>
      </c>
      <c r="BN249">
        <v>82.62</v>
      </c>
      <c r="BO249">
        <v>82.62</v>
      </c>
      <c r="BQ249" t="s">
        <v>113</v>
      </c>
      <c r="BR249" t="s">
        <v>114</v>
      </c>
      <c r="BS249" s="3">
        <v>44874</v>
      </c>
      <c r="BT249" s="4">
        <v>0.36041666666666666</v>
      </c>
      <c r="BU249" t="s">
        <v>115</v>
      </c>
      <c r="BV249" t="s">
        <v>85</v>
      </c>
      <c r="BY249">
        <v>1200</v>
      </c>
      <c r="BZ249" t="s">
        <v>101</v>
      </c>
      <c r="CA249" t="s">
        <v>116</v>
      </c>
      <c r="CC249" t="s">
        <v>112</v>
      </c>
      <c r="CD249">
        <v>1620</v>
      </c>
      <c r="CE249" t="s">
        <v>88</v>
      </c>
      <c r="CF249" s="3">
        <v>44875</v>
      </c>
      <c r="CI249">
        <v>1</v>
      </c>
      <c r="CJ249">
        <v>1</v>
      </c>
      <c r="CK249">
        <v>21</v>
      </c>
      <c r="CL249" t="s">
        <v>89</v>
      </c>
    </row>
    <row r="250" spans="1:90" ht="15" customHeight="1" x14ac:dyDescent="0.3">
      <c r="A250" t="s">
        <v>72</v>
      </c>
      <c r="B250" t="s">
        <v>73</v>
      </c>
      <c r="C250" t="s">
        <v>74</v>
      </c>
      <c r="E250" t="str">
        <f>"009943061653"</f>
        <v>009943061653</v>
      </c>
      <c r="F250" s="3">
        <v>44874</v>
      </c>
      <c r="G250">
        <v>202308</v>
      </c>
      <c r="H250" t="s">
        <v>75</v>
      </c>
      <c r="I250" t="s">
        <v>76</v>
      </c>
      <c r="J250" t="s">
        <v>77</v>
      </c>
      <c r="K250" t="s">
        <v>78</v>
      </c>
      <c r="L250" t="s">
        <v>79</v>
      </c>
      <c r="M250" t="s">
        <v>80</v>
      </c>
      <c r="N250" t="s">
        <v>966</v>
      </c>
      <c r="O250" t="s">
        <v>82</v>
      </c>
      <c r="P250" t="str">
        <f>"INV188091                     "</f>
        <v xml:space="preserve">INV188091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54.73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0.1</v>
      </c>
      <c r="BJ250">
        <v>0.7</v>
      </c>
      <c r="BK250">
        <v>1</v>
      </c>
      <c r="BL250">
        <v>144.18</v>
      </c>
      <c r="BM250">
        <v>21.63</v>
      </c>
      <c r="BN250">
        <v>165.81</v>
      </c>
      <c r="BO250">
        <v>165.81</v>
      </c>
      <c r="BQ250" t="s">
        <v>967</v>
      </c>
      <c r="BR250" t="s">
        <v>83</v>
      </c>
      <c r="BS250" s="3">
        <v>44876</v>
      </c>
      <c r="BT250" s="4">
        <v>0.42499999999999999</v>
      </c>
      <c r="BU250" t="s">
        <v>968</v>
      </c>
      <c r="BV250" t="s">
        <v>85</v>
      </c>
      <c r="BY250">
        <v>3528</v>
      </c>
      <c r="BZ250" t="s">
        <v>86</v>
      </c>
      <c r="CA250" t="s">
        <v>702</v>
      </c>
      <c r="CC250" t="s">
        <v>80</v>
      </c>
      <c r="CD250">
        <v>2057</v>
      </c>
      <c r="CE250" t="s">
        <v>88</v>
      </c>
      <c r="CF250" s="3">
        <v>44877</v>
      </c>
      <c r="CI250">
        <v>2</v>
      </c>
      <c r="CJ250">
        <v>2</v>
      </c>
      <c r="CK250">
        <v>41</v>
      </c>
      <c r="CL250" t="s">
        <v>89</v>
      </c>
    </row>
    <row r="251" spans="1:90" ht="15" customHeight="1" x14ac:dyDescent="0.3">
      <c r="A251" t="s">
        <v>72</v>
      </c>
      <c r="B251" t="s">
        <v>73</v>
      </c>
      <c r="C251" t="s">
        <v>74</v>
      </c>
      <c r="E251" t="str">
        <f>"009943061640"</f>
        <v>009943061640</v>
      </c>
      <c r="F251" s="3">
        <v>44874</v>
      </c>
      <c r="G251">
        <v>202308</v>
      </c>
      <c r="H251" t="s">
        <v>75</v>
      </c>
      <c r="I251" t="s">
        <v>76</v>
      </c>
      <c r="J251" t="s">
        <v>77</v>
      </c>
      <c r="K251" t="s">
        <v>78</v>
      </c>
      <c r="L251" t="s">
        <v>704</v>
      </c>
      <c r="M251" t="s">
        <v>705</v>
      </c>
      <c r="N251" t="s">
        <v>969</v>
      </c>
      <c r="O251" t="s">
        <v>82</v>
      </c>
      <c r="P251" t="str">
        <f>"INV188040                     "</f>
        <v xml:space="preserve">INV188040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54.73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0.6</v>
      </c>
      <c r="BK251">
        <v>1</v>
      </c>
      <c r="BL251">
        <v>144.18</v>
      </c>
      <c r="BM251">
        <v>21.63</v>
      </c>
      <c r="BN251">
        <v>165.81</v>
      </c>
      <c r="BO251">
        <v>165.81</v>
      </c>
      <c r="BQ251" t="s">
        <v>970</v>
      </c>
      <c r="BR251" t="s">
        <v>83</v>
      </c>
      <c r="BS251" s="3">
        <v>44876</v>
      </c>
      <c r="BT251" s="4">
        <v>0.42430555555555555</v>
      </c>
      <c r="BU251" t="s">
        <v>971</v>
      </c>
      <c r="BV251" t="s">
        <v>85</v>
      </c>
      <c r="BY251">
        <v>2826.15</v>
      </c>
      <c r="BZ251" t="s">
        <v>86</v>
      </c>
      <c r="CA251" t="s">
        <v>972</v>
      </c>
      <c r="CC251" t="s">
        <v>705</v>
      </c>
      <c r="CD251">
        <v>1201</v>
      </c>
      <c r="CE251" t="s">
        <v>88</v>
      </c>
      <c r="CF251" s="3">
        <v>44876</v>
      </c>
      <c r="CI251">
        <v>3</v>
      </c>
      <c r="CJ251">
        <v>2</v>
      </c>
      <c r="CK251">
        <v>41</v>
      </c>
      <c r="CL251" t="s">
        <v>89</v>
      </c>
    </row>
    <row r="252" spans="1:90" ht="15" customHeight="1" x14ac:dyDescent="0.3">
      <c r="A252" t="s">
        <v>72</v>
      </c>
      <c r="B252" t="s">
        <v>73</v>
      </c>
      <c r="C252" t="s">
        <v>74</v>
      </c>
      <c r="E252" t="str">
        <f>"009943061647"</f>
        <v>009943061647</v>
      </c>
      <c r="F252" s="3">
        <v>44874</v>
      </c>
      <c r="G252">
        <v>202308</v>
      </c>
      <c r="H252" t="s">
        <v>75</v>
      </c>
      <c r="I252" t="s">
        <v>76</v>
      </c>
      <c r="J252" t="s">
        <v>77</v>
      </c>
      <c r="K252" t="s">
        <v>78</v>
      </c>
      <c r="L252" t="s">
        <v>951</v>
      </c>
      <c r="M252" t="s">
        <v>952</v>
      </c>
      <c r="N252" t="s">
        <v>168</v>
      </c>
      <c r="O252" t="s">
        <v>82</v>
      </c>
      <c r="P252" t="str">
        <f>"INV188066                     "</f>
        <v xml:space="preserve">INV188066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77.19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2.2999999999999998</v>
      </c>
      <c r="BJ252">
        <v>10.5</v>
      </c>
      <c r="BK252">
        <v>11</v>
      </c>
      <c r="BL252">
        <v>201.19</v>
      </c>
      <c r="BM252">
        <v>30.18</v>
      </c>
      <c r="BN252">
        <v>231.37</v>
      </c>
      <c r="BO252">
        <v>231.37</v>
      </c>
      <c r="BQ252" t="s">
        <v>973</v>
      </c>
      <c r="BR252" t="s">
        <v>83</v>
      </c>
      <c r="BS252" s="3">
        <v>44876</v>
      </c>
      <c r="BT252" s="4">
        <v>0.59722222222222221</v>
      </c>
      <c r="BU252" t="s">
        <v>974</v>
      </c>
      <c r="BV252" t="s">
        <v>89</v>
      </c>
      <c r="BW252" t="s">
        <v>122</v>
      </c>
      <c r="BX252" t="s">
        <v>975</v>
      </c>
      <c r="BY252">
        <v>52488</v>
      </c>
      <c r="BZ252" t="s">
        <v>86</v>
      </c>
      <c r="CA252" t="s">
        <v>868</v>
      </c>
      <c r="CC252" t="s">
        <v>952</v>
      </c>
      <c r="CD252">
        <v>6571</v>
      </c>
      <c r="CE252" t="s">
        <v>88</v>
      </c>
      <c r="CF252" s="3">
        <v>44880</v>
      </c>
      <c r="CI252">
        <v>1</v>
      </c>
      <c r="CJ252">
        <v>2</v>
      </c>
      <c r="CK252">
        <v>43</v>
      </c>
      <c r="CL252" t="s">
        <v>89</v>
      </c>
    </row>
    <row r="253" spans="1:90" ht="15" customHeight="1" x14ac:dyDescent="0.3">
      <c r="A253" t="s">
        <v>72</v>
      </c>
      <c r="B253" t="s">
        <v>73</v>
      </c>
      <c r="C253" t="s">
        <v>74</v>
      </c>
      <c r="E253" t="str">
        <f>"009943061648"</f>
        <v>009943061648</v>
      </c>
      <c r="F253" s="3">
        <v>44874</v>
      </c>
      <c r="G253">
        <v>202308</v>
      </c>
      <c r="H253" t="s">
        <v>75</v>
      </c>
      <c r="I253" t="s">
        <v>76</v>
      </c>
      <c r="J253" t="s">
        <v>77</v>
      </c>
      <c r="K253" t="s">
        <v>78</v>
      </c>
      <c r="L253" t="s">
        <v>194</v>
      </c>
      <c r="M253" t="s">
        <v>195</v>
      </c>
      <c r="N253" t="s">
        <v>168</v>
      </c>
      <c r="O253" t="s">
        <v>82</v>
      </c>
      <c r="P253" t="str">
        <f>"INV188068                     "</f>
        <v xml:space="preserve">INV188068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54.73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0.8</v>
      </c>
      <c r="BJ253">
        <v>3.3</v>
      </c>
      <c r="BK253">
        <v>4</v>
      </c>
      <c r="BL253">
        <v>144.18</v>
      </c>
      <c r="BM253">
        <v>21.63</v>
      </c>
      <c r="BN253">
        <v>165.81</v>
      </c>
      <c r="BO253">
        <v>165.81</v>
      </c>
      <c r="BQ253" t="s">
        <v>976</v>
      </c>
      <c r="BR253" t="s">
        <v>83</v>
      </c>
      <c r="BS253" s="3">
        <v>44876</v>
      </c>
      <c r="BT253" s="4">
        <v>0.67708333333333337</v>
      </c>
      <c r="BU253" t="s">
        <v>977</v>
      </c>
      <c r="BV253" t="s">
        <v>85</v>
      </c>
      <c r="BY253">
        <v>16705.5</v>
      </c>
      <c r="BZ253" t="s">
        <v>86</v>
      </c>
      <c r="CA253" t="s">
        <v>285</v>
      </c>
      <c r="CC253" t="s">
        <v>195</v>
      </c>
      <c r="CD253">
        <v>1448</v>
      </c>
      <c r="CE253" t="s">
        <v>88</v>
      </c>
      <c r="CF253" s="3">
        <v>44877</v>
      </c>
      <c r="CI253">
        <v>2</v>
      </c>
      <c r="CJ253">
        <v>2</v>
      </c>
      <c r="CK253">
        <v>41</v>
      </c>
      <c r="CL253" t="s">
        <v>89</v>
      </c>
    </row>
    <row r="254" spans="1:90" ht="15" customHeight="1" x14ac:dyDescent="0.3">
      <c r="A254" t="s">
        <v>72</v>
      </c>
      <c r="B254" t="s">
        <v>73</v>
      </c>
      <c r="C254" t="s">
        <v>74</v>
      </c>
      <c r="E254" t="str">
        <f>"009943077478"</f>
        <v>009943077478</v>
      </c>
      <c r="F254" s="3">
        <v>44874</v>
      </c>
      <c r="G254">
        <v>202308</v>
      </c>
      <c r="H254" t="s">
        <v>75</v>
      </c>
      <c r="I254" t="s">
        <v>76</v>
      </c>
      <c r="J254" t="s">
        <v>286</v>
      </c>
      <c r="K254" t="s">
        <v>78</v>
      </c>
      <c r="L254" t="s">
        <v>79</v>
      </c>
      <c r="M254" t="s">
        <v>80</v>
      </c>
      <c r="N254" t="s">
        <v>978</v>
      </c>
      <c r="O254" t="s">
        <v>82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111.12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6</v>
      </c>
      <c r="BI254">
        <v>39.5</v>
      </c>
      <c r="BJ254">
        <v>15.1</v>
      </c>
      <c r="BK254">
        <v>40</v>
      </c>
      <c r="BL254">
        <v>287.32</v>
      </c>
      <c r="BM254">
        <v>43.1</v>
      </c>
      <c r="BN254">
        <v>330.42</v>
      </c>
      <c r="BO254">
        <v>330.42</v>
      </c>
      <c r="BR254" t="s">
        <v>979</v>
      </c>
      <c r="BS254" s="3">
        <v>44876</v>
      </c>
      <c r="BT254" s="4">
        <v>0.52083333333333337</v>
      </c>
      <c r="BU254" t="s">
        <v>980</v>
      </c>
      <c r="BV254" t="s">
        <v>85</v>
      </c>
      <c r="BY254">
        <v>75686.19</v>
      </c>
      <c r="BZ254" t="s">
        <v>86</v>
      </c>
      <c r="CC254" t="s">
        <v>80</v>
      </c>
      <c r="CD254">
        <v>2192</v>
      </c>
      <c r="CE254" t="s">
        <v>88</v>
      </c>
      <c r="CF254" s="3">
        <v>44877</v>
      </c>
      <c r="CI254">
        <v>2</v>
      </c>
      <c r="CJ254">
        <v>2</v>
      </c>
      <c r="CK254">
        <v>41</v>
      </c>
      <c r="CL254" t="s">
        <v>89</v>
      </c>
    </row>
    <row r="255" spans="1:90" ht="15" customHeight="1" x14ac:dyDescent="0.3">
      <c r="A255" t="s">
        <v>72</v>
      </c>
      <c r="B255" t="s">
        <v>73</v>
      </c>
      <c r="C255" t="s">
        <v>74</v>
      </c>
      <c r="E255" t="str">
        <f>"009943061643"</f>
        <v>009943061643</v>
      </c>
      <c r="F255" s="3">
        <v>44874</v>
      </c>
      <c r="G255">
        <v>202308</v>
      </c>
      <c r="H255" t="s">
        <v>75</v>
      </c>
      <c r="I255" t="s">
        <v>76</v>
      </c>
      <c r="J255" t="s">
        <v>77</v>
      </c>
      <c r="K255" t="s">
        <v>78</v>
      </c>
      <c r="L255" t="s">
        <v>79</v>
      </c>
      <c r="M255" t="s">
        <v>80</v>
      </c>
      <c r="N255" t="s">
        <v>981</v>
      </c>
      <c r="O255" t="s">
        <v>82</v>
      </c>
      <c r="P255" t="str">
        <f>"INV188056                     "</f>
        <v xml:space="preserve">INV188056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54.73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3</v>
      </c>
      <c r="BK255">
        <v>3</v>
      </c>
      <c r="BL255">
        <v>144.18</v>
      </c>
      <c r="BM255">
        <v>21.63</v>
      </c>
      <c r="BN255">
        <v>165.81</v>
      </c>
      <c r="BO255">
        <v>165.81</v>
      </c>
      <c r="BQ255" t="s">
        <v>982</v>
      </c>
      <c r="BR255" t="s">
        <v>83</v>
      </c>
      <c r="BS255" s="3">
        <v>44876</v>
      </c>
      <c r="BT255" s="4">
        <v>0.39930555555555558</v>
      </c>
      <c r="BU255" t="s">
        <v>983</v>
      </c>
      <c r="BV255" t="s">
        <v>85</v>
      </c>
      <c r="BY255">
        <v>15082.2</v>
      </c>
      <c r="BZ255" t="s">
        <v>86</v>
      </c>
      <c r="CA255" t="s">
        <v>348</v>
      </c>
      <c r="CC255" t="s">
        <v>80</v>
      </c>
      <c r="CD255">
        <v>2090</v>
      </c>
      <c r="CE255" t="s">
        <v>88</v>
      </c>
      <c r="CF255" s="3">
        <v>44876</v>
      </c>
      <c r="CI255">
        <v>2</v>
      </c>
      <c r="CJ255">
        <v>2</v>
      </c>
      <c r="CK255">
        <v>41</v>
      </c>
      <c r="CL255" t="s">
        <v>89</v>
      </c>
    </row>
    <row r="256" spans="1:90" ht="15" customHeight="1" x14ac:dyDescent="0.3">
      <c r="A256" t="s">
        <v>72</v>
      </c>
      <c r="B256" t="s">
        <v>73</v>
      </c>
      <c r="C256" t="s">
        <v>74</v>
      </c>
      <c r="E256" t="str">
        <f>"009943061646"</f>
        <v>009943061646</v>
      </c>
      <c r="F256" s="3">
        <v>44874</v>
      </c>
      <c r="G256">
        <v>202308</v>
      </c>
      <c r="H256" t="s">
        <v>75</v>
      </c>
      <c r="I256" t="s">
        <v>76</v>
      </c>
      <c r="J256" t="s">
        <v>77</v>
      </c>
      <c r="K256" t="s">
        <v>78</v>
      </c>
      <c r="L256" t="s">
        <v>217</v>
      </c>
      <c r="M256" t="s">
        <v>218</v>
      </c>
      <c r="N256" t="s">
        <v>168</v>
      </c>
      <c r="O256" t="s">
        <v>82</v>
      </c>
      <c r="P256" t="str">
        <f>"INV188065                     "</f>
        <v xml:space="preserve">INV188065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54.73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0.7</v>
      </c>
      <c r="BJ256">
        <v>2.1</v>
      </c>
      <c r="BK256">
        <v>3</v>
      </c>
      <c r="BL256">
        <v>144.18</v>
      </c>
      <c r="BM256">
        <v>21.63</v>
      </c>
      <c r="BN256">
        <v>165.81</v>
      </c>
      <c r="BO256">
        <v>165.81</v>
      </c>
      <c r="BQ256" t="s">
        <v>984</v>
      </c>
      <c r="BR256" t="s">
        <v>83</v>
      </c>
      <c r="BS256" s="3">
        <v>44876</v>
      </c>
      <c r="BT256" s="4">
        <v>0.50972222222222219</v>
      </c>
      <c r="BU256" t="s">
        <v>985</v>
      </c>
      <c r="BV256" t="s">
        <v>85</v>
      </c>
      <c r="BY256">
        <v>10644.48</v>
      </c>
      <c r="BZ256" t="s">
        <v>86</v>
      </c>
      <c r="CA256" t="s">
        <v>406</v>
      </c>
      <c r="CC256" t="s">
        <v>218</v>
      </c>
      <c r="CD256">
        <v>1682</v>
      </c>
      <c r="CE256" t="s">
        <v>88</v>
      </c>
      <c r="CF256" s="3">
        <v>44876</v>
      </c>
      <c r="CI256">
        <v>2</v>
      </c>
      <c r="CJ256">
        <v>2</v>
      </c>
      <c r="CK256">
        <v>41</v>
      </c>
      <c r="CL256" t="s">
        <v>89</v>
      </c>
    </row>
    <row r="257" spans="1:90" ht="15" customHeight="1" x14ac:dyDescent="0.3">
      <c r="A257" t="s">
        <v>72</v>
      </c>
      <c r="B257" t="s">
        <v>73</v>
      </c>
      <c r="C257" t="s">
        <v>74</v>
      </c>
      <c r="E257" t="str">
        <f>"009943061654"</f>
        <v>009943061654</v>
      </c>
      <c r="F257" s="3">
        <v>44874</v>
      </c>
      <c r="G257">
        <v>202308</v>
      </c>
      <c r="H257" t="s">
        <v>75</v>
      </c>
      <c r="I257" t="s">
        <v>76</v>
      </c>
      <c r="J257" t="s">
        <v>77</v>
      </c>
      <c r="K257" t="s">
        <v>78</v>
      </c>
      <c r="L257" t="s">
        <v>568</v>
      </c>
      <c r="M257" t="s">
        <v>569</v>
      </c>
      <c r="N257" t="s">
        <v>168</v>
      </c>
      <c r="O257" t="s">
        <v>82</v>
      </c>
      <c r="P257" t="str">
        <f>"INV188100                     "</f>
        <v xml:space="preserve">INV188100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54.73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0.5</v>
      </c>
      <c r="BJ257">
        <v>0.2</v>
      </c>
      <c r="BK257">
        <v>1</v>
      </c>
      <c r="BL257">
        <v>144.18</v>
      </c>
      <c r="BM257">
        <v>21.63</v>
      </c>
      <c r="BN257">
        <v>165.81</v>
      </c>
      <c r="BO257">
        <v>165.81</v>
      </c>
      <c r="BQ257" t="s">
        <v>986</v>
      </c>
      <c r="BR257" t="s">
        <v>83</v>
      </c>
      <c r="BS257" s="3">
        <v>44876</v>
      </c>
      <c r="BT257" s="4">
        <v>0.61041666666666672</v>
      </c>
      <c r="BU257" t="s">
        <v>987</v>
      </c>
      <c r="BV257" t="s">
        <v>85</v>
      </c>
      <c r="BY257">
        <v>1200</v>
      </c>
      <c r="BZ257" t="s">
        <v>86</v>
      </c>
      <c r="CA257" t="s">
        <v>988</v>
      </c>
      <c r="CC257" t="s">
        <v>569</v>
      </c>
      <c r="CD257">
        <v>1541</v>
      </c>
      <c r="CE257" t="s">
        <v>88</v>
      </c>
      <c r="CF257" s="3">
        <v>44877</v>
      </c>
      <c r="CI257">
        <v>2</v>
      </c>
      <c r="CJ257">
        <v>2</v>
      </c>
      <c r="CK257">
        <v>41</v>
      </c>
      <c r="CL257" t="s">
        <v>89</v>
      </c>
    </row>
    <row r="258" spans="1:90" ht="15" customHeight="1" x14ac:dyDescent="0.3">
      <c r="A258" t="s">
        <v>72</v>
      </c>
      <c r="B258" t="s">
        <v>73</v>
      </c>
      <c r="C258" t="s">
        <v>74</v>
      </c>
      <c r="E258" t="str">
        <f>"009943061652"</f>
        <v>009943061652</v>
      </c>
      <c r="F258" s="3">
        <v>44874</v>
      </c>
      <c r="G258">
        <v>202308</v>
      </c>
      <c r="H258" t="s">
        <v>75</v>
      </c>
      <c r="I258" t="s">
        <v>76</v>
      </c>
      <c r="J258" t="s">
        <v>77</v>
      </c>
      <c r="K258" t="s">
        <v>78</v>
      </c>
      <c r="L258" t="s">
        <v>79</v>
      </c>
      <c r="M258" t="s">
        <v>80</v>
      </c>
      <c r="N258" t="s">
        <v>168</v>
      </c>
      <c r="O258" t="s">
        <v>82</v>
      </c>
      <c r="P258" t="str">
        <f>"AVO#22507                     "</f>
        <v xml:space="preserve">AVO#22507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54.73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0.4</v>
      </c>
      <c r="BK258">
        <v>1</v>
      </c>
      <c r="BL258">
        <v>159.18</v>
      </c>
      <c r="BM258">
        <v>23.88</v>
      </c>
      <c r="BN258">
        <v>183.06</v>
      </c>
      <c r="BO258">
        <v>183.06</v>
      </c>
      <c r="BQ258" t="s">
        <v>989</v>
      </c>
      <c r="BR258" t="s">
        <v>83</v>
      </c>
      <c r="BS258" s="3">
        <v>44876</v>
      </c>
      <c r="BT258" s="4">
        <v>0.40833333333333338</v>
      </c>
      <c r="BU258" t="s">
        <v>990</v>
      </c>
      <c r="BV258" t="s">
        <v>85</v>
      </c>
      <c r="BY258">
        <v>2175</v>
      </c>
      <c r="BZ258" t="s">
        <v>451</v>
      </c>
      <c r="CA258" t="s">
        <v>431</v>
      </c>
      <c r="CC258" t="s">
        <v>80</v>
      </c>
      <c r="CD258">
        <v>1818</v>
      </c>
      <c r="CE258" t="s">
        <v>88</v>
      </c>
      <c r="CF258" s="3">
        <v>44876</v>
      </c>
      <c r="CI258">
        <v>2</v>
      </c>
      <c r="CJ258">
        <v>2</v>
      </c>
      <c r="CK258">
        <v>41</v>
      </c>
      <c r="CL258" t="s">
        <v>89</v>
      </c>
    </row>
    <row r="259" spans="1:90" ht="15" customHeight="1" x14ac:dyDescent="0.3">
      <c r="A259" t="s">
        <v>72</v>
      </c>
      <c r="B259" t="s">
        <v>73</v>
      </c>
      <c r="C259" t="s">
        <v>74</v>
      </c>
      <c r="E259" t="str">
        <f>"009943061655"</f>
        <v>009943061655</v>
      </c>
      <c r="F259" s="3">
        <v>44874</v>
      </c>
      <c r="G259">
        <v>202308</v>
      </c>
      <c r="H259" t="s">
        <v>75</v>
      </c>
      <c r="I259" t="s">
        <v>76</v>
      </c>
      <c r="J259" t="s">
        <v>77</v>
      </c>
      <c r="K259" t="s">
        <v>78</v>
      </c>
      <c r="L259" t="s">
        <v>79</v>
      </c>
      <c r="M259" t="s">
        <v>80</v>
      </c>
      <c r="N259" t="s">
        <v>168</v>
      </c>
      <c r="O259" t="s">
        <v>82</v>
      </c>
      <c r="P259" t="str">
        <f>"22607                         "</f>
        <v xml:space="preserve">22607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54.73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1.1000000000000001</v>
      </c>
      <c r="BK259">
        <v>2</v>
      </c>
      <c r="BL259">
        <v>144.18</v>
      </c>
      <c r="BM259">
        <v>21.63</v>
      </c>
      <c r="BN259">
        <v>165.81</v>
      </c>
      <c r="BO259">
        <v>165.81</v>
      </c>
      <c r="BQ259" t="s">
        <v>991</v>
      </c>
      <c r="BR259" t="s">
        <v>83</v>
      </c>
      <c r="BS259" s="3">
        <v>44876</v>
      </c>
      <c r="BT259" s="4">
        <v>0.61527777777777781</v>
      </c>
      <c r="BU259" t="s">
        <v>992</v>
      </c>
      <c r="BV259" t="s">
        <v>85</v>
      </c>
      <c r="BY259">
        <v>5684.8</v>
      </c>
      <c r="BZ259" t="s">
        <v>86</v>
      </c>
      <c r="CA259" t="s">
        <v>993</v>
      </c>
      <c r="CC259" t="s">
        <v>80</v>
      </c>
      <c r="CD259">
        <v>2092</v>
      </c>
      <c r="CE259" t="s">
        <v>88</v>
      </c>
      <c r="CF259" s="3">
        <v>44877</v>
      </c>
      <c r="CI259">
        <v>2</v>
      </c>
      <c r="CJ259">
        <v>2</v>
      </c>
      <c r="CK259">
        <v>41</v>
      </c>
      <c r="CL259" t="s">
        <v>89</v>
      </c>
    </row>
    <row r="260" spans="1:90" ht="15" customHeight="1" x14ac:dyDescent="0.3">
      <c r="A260" t="s">
        <v>72</v>
      </c>
      <c r="B260" t="s">
        <v>73</v>
      </c>
      <c r="C260" t="s">
        <v>74</v>
      </c>
      <c r="E260" t="str">
        <f>"009943061644"</f>
        <v>009943061644</v>
      </c>
      <c r="F260" s="3">
        <v>44874</v>
      </c>
      <c r="G260">
        <v>202308</v>
      </c>
      <c r="H260" t="s">
        <v>75</v>
      </c>
      <c r="I260" t="s">
        <v>76</v>
      </c>
      <c r="J260" t="s">
        <v>77</v>
      </c>
      <c r="K260" t="s">
        <v>78</v>
      </c>
      <c r="L260" t="s">
        <v>330</v>
      </c>
      <c r="M260" t="s">
        <v>331</v>
      </c>
      <c r="N260" t="s">
        <v>168</v>
      </c>
      <c r="O260" t="s">
        <v>82</v>
      </c>
      <c r="P260" t="str">
        <f>"INV188057                     "</f>
        <v xml:space="preserve">INV188057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77.19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1.1000000000000001</v>
      </c>
      <c r="BJ260">
        <v>6.9</v>
      </c>
      <c r="BK260">
        <v>7</v>
      </c>
      <c r="BL260">
        <v>201.19</v>
      </c>
      <c r="BM260">
        <v>30.18</v>
      </c>
      <c r="BN260">
        <v>231.37</v>
      </c>
      <c r="BO260">
        <v>231.37</v>
      </c>
      <c r="BQ260" t="s">
        <v>994</v>
      </c>
      <c r="BR260" t="s">
        <v>83</v>
      </c>
      <c r="BS260" s="3">
        <v>44876</v>
      </c>
      <c r="BT260" s="4">
        <v>0.58333333333333337</v>
      </c>
      <c r="BU260" t="s">
        <v>995</v>
      </c>
      <c r="BV260" t="s">
        <v>85</v>
      </c>
      <c r="BY260">
        <v>34373.99</v>
      </c>
      <c r="BZ260" t="s">
        <v>86</v>
      </c>
      <c r="CA260" t="s">
        <v>336</v>
      </c>
      <c r="CC260" t="s">
        <v>331</v>
      </c>
      <c r="CD260">
        <v>1947</v>
      </c>
      <c r="CE260" t="s">
        <v>88</v>
      </c>
      <c r="CF260" s="3">
        <v>44877</v>
      </c>
      <c r="CI260">
        <v>2</v>
      </c>
      <c r="CJ260">
        <v>2</v>
      </c>
      <c r="CK260">
        <v>43</v>
      </c>
      <c r="CL260" t="s">
        <v>89</v>
      </c>
    </row>
    <row r="261" spans="1:90" ht="15" customHeight="1" x14ac:dyDescent="0.3">
      <c r="A261" t="s">
        <v>72</v>
      </c>
      <c r="B261" t="s">
        <v>73</v>
      </c>
      <c r="C261" t="s">
        <v>74</v>
      </c>
      <c r="E261" t="str">
        <f>"009943061651"</f>
        <v>009943061651</v>
      </c>
      <c r="F261" s="3">
        <v>44874</v>
      </c>
      <c r="G261">
        <v>202308</v>
      </c>
      <c r="H261" t="s">
        <v>75</v>
      </c>
      <c r="I261" t="s">
        <v>76</v>
      </c>
      <c r="J261" t="s">
        <v>77</v>
      </c>
      <c r="K261" t="s">
        <v>78</v>
      </c>
      <c r="L261" t="s">
        <v>117</v>
      </c>
      <c r="M261" t="s">
        <v>118</v>
      </c>
      <c r="N261" t="s">
        <v>168</v>
      </c>
      <c r="O261" t="s">
        <v>82</v>
      </c>
      <c r="P261" t="str">
        <f>"INV188092                     "</f>
        <v xml:space="preserve">INV188092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54.73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2.8</v>
      </c>
      <c r="BJ261">
        <v>11.4</v>
      </c>
      <c r="BK261">
        <v>12</v>
      </c>
      <c r="BL261">
        <v>144.18</v>
      </c>
      <c r="BM261">
        <v>21.63</v>
      </c>
      <c r="BN261">
        <v>165.81</v>
      </c>
      <c r="BO261">
        <v>165.81</v>
      </c>
      <c r="BQ261" t="s">
        <v>996</v>
      </c>
      <c r="BR261" t="s">
        <v>83</v>
      </c>
      <c r="BS261" s="3">
        <v>44876</v>
      </c>
      <c r="BT261" s="4">
        <v>0.51736111111111105</v>
      </c>
      <c r="BU261" t="s">
        <v>997</v>
      </c>
      <c r="BV261" t="s">
        <v>85</v>
      </c>
      <c r="BY261">
        <v>57028.5</v>
      </c>
      <c r="BZ261" t="s">
        <v>86</v>
      </c>
      <c r="CA261" t="s">
        <v>998</v>
      </c>
      <c r="CC261" t="s">
        <v>118</v>
      </c>
      <c r="CD261">
        <v>3610</v>
      </c>
      <c r="CE261" t="s">
        <v>88</v>
      </c>
      <c r="CF261" s="3">
        <v>44881</v>
      </c>
      <c r="CI261">
        <v>3</v>
      </c>
      <c r="CJ261">
        <v>2</v>
      </c>
      <c r="CK261">
        <v>41</v>
      </c>
      <c r="CL261" t="s">
        <v>89</v>
      </c>
    </row>
    <row r="262" spans="1:90" ht="15" customHeight="1" x14ac:dyDescent="0.3">
      <c r="A262" t="s">
        <v>72</v>
      </c>
      <c r="B262" t="s">
        <v>73</v>
      </c>
      <c r="C262" t="s">
        <v>74</v>
      </c>
      <c r="E262" t="str">
        <f>"009943061649"</f>
        <v>009943061649</v>
      </c>
      <c r="F262" s="3">
        <v>44874</v>
      </c>
      <c r="G262">
        <v>202308</v>
      </c>
      <c r="H262" t="s">
        <v>75</v>
      </c>
      <c r="I262" t="s">
        <v>76</v>
      </c>
      <c r="J262" t="s">
        <v>77</v>
      </c>
      <c r="K262" t="s">
        <v>78</v>
      </c>
      <c r="L262" t="s">
        <v>951</v>
      </c>
      <c r="M262" t="s">
        <v>952</v>
      </c>
      <c r="N262" t="s">
        <v>168</v>
      </c>
      <c r="O262" t="s">
        <v>82</v>
      </c>
      <c r="P262" t="str">
        <f>"INV188073                     "</f>
        <v xml:space="preserve">INV188073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77.19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2</v>
      </c>
      <c r="BK262">
        <v>2</v>
      </c>
      <c r="BL262">
        <v>201.19</v>
      </c>
      <c r="BM262">
        <v>30.18</v>
      </c>
      <c r="BN262">
        <v>231.37</v>
      </c>
      <c r="BO262">
        <v>231.37</v>
      </c>
      <c r="BP262" t="s">
        <v>999</v>
      </c>
      <c r="BQ262" t="s">
        <v>1000</v>
      </c>
      <c r="BR262" t="s">
        <v>83</v>
      </c>
      <c r="BS262" s="3">
        <v>44875</v>
      </c>
      <c r="BT262" s="4">
        <v>0.63124999999999998</v>
      </c>
      <c r="BU262" t="s">
        <v>1001</v>
      </c>
      <c r="BV262" t="s">
        <v>85</v>
      </c>
      <c r="BY262">
        <v>10212</v>
      </c>
      <c r="BZ262" t="s">
        <v>86</v>
      </c>
      <c r="CA262" t="s">
        <v>868</v>
      </c>
      <c r="CC262" t="s">
        <v>952</v>
      </c>
      <c r="CD262">
        <v>6571</v>
      </c>
      <c r="CE262" t="s">
        <v>88</v>
      </c>
      <c r="CF262" s="3">
        <v>44879</v>
      </c>
      <c r="CI262">
        <v>1</v>
      </c>
      <c r="CJ262">
        <v>1</v>
      </c>
      <c r="CK262">
        <v>43</v>
      </c>
      <c r="CL262" t="s">
        <v>89</v>
      </c>
    </row>
    <row r="263" spans="1:90" ht="15" customHeight="1" x14ac:dyDescent="0.3">
      <c r="A263" t="s">
        <v>72</v>
      </c>
      <c r="B263" t="s">
        <v>73</v>
      </c>
      <c r="C263" t="s">
        <v>74</v>
      </c>
      <c r="E263" t="str">
        <f>"009943061645"</f>
        <v>009943061645</v>
      </c>
      <c r="F263" s="3">
        <v>44874</v>
      </c>
      <c r="G263">
        <v>202308</v>
      </c>
      <c r="H263" t="s">
        <v>75</v>
      </c>
      <c r="I263" t="s">
        <v>76</v>
      </c>
      <c r="J263" t="s">
        <v>77</v>
      </c>
      <c r="K263" t="s">
        <v>78</v>
      </c>
      <c r="L263" t="s">
        <v>364</v>
      </c>
      <c r="M263" t="s">
        <v>365</v>
      </c>
      <c r="N263" t="s">
        <v>1002</v>
      </c>
      <c r="O263" t="s">
        <v>82</v>
      </c>
      <c r="P263" t="str">
        <f>"INV188058                     "</f>
        <v xml:space="preserve">INV188058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54.73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1.5</v>
      </c>
      <c r="BJ263">
        <v>10.4</v>
      </c>
      <c r="BK263">
        <v>11</v>
      </c>
      <c r="BL263">
        <v>144.18</v>
      </c>
      <c r="BM263">
        <v>21.63</v>
      </c>
      <c r="BN263">
        <v>165.81</v>
      </c>
      <c r="BO263">
        <v>165.81</v>
      </c>
      <c r="BQ263" t="s">
        <v>1003</v>
      </c>
      <c r="BR263" t="s">
        <v>83</v>
      </c>
      <c r="BS263" s="3">
        <v>44876</v>
      </c>
      <c r="BT263" s="4">
        <v>0.38472222222222219</v>
      </c>
      <c r="BU263" t="s">
        <v>1004</v>
      </c>
      <c r="BV263" t="s">
        <v>85</v>
      </c>
      <c r="BY263">
        <v>51760.800000000003</v>
      </c>
      <c r="BZ263" t="s">
        <v>86</v>
      </c>
      <c r="CA263" t="s">
        <v>406</v>
      </c>
      <c r="CC263" t="s">
        <v>365</v>
      </c>
      <c r="CD263">
        <v>1685</v>
      </c>
      <c r="CE263" t="s">
        <v>88</v>
      </c>
      <c r="CF263" s="3">
        <v>44876</v>
      </c>
      <c r="CI263">
        <v>2</v>
      </c>
      <c r="CJ263">
        <v>2</v>
      </c>
      <c r="CK263">
        <v>41</v>
      </c>
      <c r="CL263" t="s">
        <v>89</v>
      </c>
    </row>
    <row r="264" spans="1:90" ht="15" customHeight="1" x14ac:dyDescent="0.3">
      <c r="A264" t="s">
        <v>72</v>
      </c>
      <c r="B264" t="s">
        <v>73</v>
      </c>
      <c r="C264" t="s">
        <v>74</v>
      </c>
      <c r="E264" t="str">
        <f>"009943061650"</f>
        <v>009943061650</v>
      </c>
      <c r="F264" s="3">
        <v>44874</v>
      </c>
      <c r="G264">
        <v>202308</v>
      </c>
      <c r="H264" t="s">
        <v>75</v>
      </c>
      <c r="I264" t="s">
        <v>76</v>
      </c>
      <c r="J264" t="s">
        <v>77</v>
      </c>
      <c r="K264" t="s">
        <v>78</v>
      </c>
      <c r="L264" t="s">
        <v>324</v>
      </c>
      <c r="M264" t="s">
        <v>325</v>
      </c>
      <c r="N264" t="s">
        <v>168</v>
      </c>
      <c r="O264" t="s">
        <v>82</v>
      </c>
      <c r="P264" t="str">
        <f>"INV188071                     "</f>
        <v xml:space="preserve">INV188071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77.19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1.6</v>
      </c>
      <c r="BJ264">
        <v>4.9000000000000004</v>
      </c>
      <c r="BK264">
        <v>5</v>
      </c>
      <c r="BL264">
        <v>201.19</v>
      </c>
      <c r="BM264">
        <v>30.18</v>
      </c>
      <c r="BN264">
        <v>231.37</v>
      </c>
      <c r="BO264">
        <v>231.37</v>
      </c>
      <c r="BQ264" t="s">
        <v>1005</v>
      </c>
      <c r="BR264" t="s">
        <v>83</v>
      </c>
      <c r="BS264" s="3">
        <v>44879</v>
      </c>
      <c r="BT264" s="4">
        <v>0.54166666666666663</v>
      </c>
      <c r="BU264" t="s">
        <v>1006</v>
      </c>
      <c r="BV264" t="s">
        <v>85</v>
      </c>
      <c r="BY264">
        <v>24715.11</v>
      </c>
      <c r="BZ264" t="s">
        <v>86</v>
      </c>
      <c r="CA264" t="s">
        <v>1007</v>
      </c>
      <c r="CC264" t="s">
        <v>325</v>
      </c>
      <c r="CD264">
        <v>4399</v>
      </c>
      <c r="CE264" t="s">
        <v>88</v>
      </c>
      <c r="CF264" s="3">
        <v>44882</v>
      </c>
      <c r="CI264">
        <v>3</v>
      </c>
      <c r="CJ264">
        <v>3</v>
      </c>
      <c r="CK264">
        <v>43</v>
      </c>
      <c r="CL264" t="s">
        <v>89</v>
      </c>
    </row>
    <row r="265" spans="1:90" ht="15" customHeight="1" x14ac:dyDescent="0.3">
      <c r="A265" t="s">
        <v>72</v>
      </c>
      <c r="B265" t="s">
        <v>73</v>
      </c>
      <c r="C265" t="s">
        <v>74</v>
      </c>
      <c r="E265" t="str">
        <f>"009943061642"</f>
        <v>009943061642</v>
      </c>
      <c r="F265" s="3">
        <v>44874</v>
      </c>
      <c r="G265">
        <v>202308</v>
      </c>
      <c r="H265" t="s">
        <v>75</v>
      </c>
      <c r="I265" t="s">
        <v>76</v>
      </c>
      <c r="J265" t="s">
        <v>77</v>
      </c>
      <c r="K265" t="s">
        <v>78</v>
      </c>
      <c r="L265" t="s">
        <v>79</v>
      </c>
      <c r="M265" t="s">
        <v>80</v>
      </c>
      <c r="N265" t="s">
        <v>168</v>
      </c>
      <c r="O265" t="s">
        <v>82</v>
      </c>
      <c r="P265" t="str">
        <f>"INV188046                     "</f>
        <v xml:space="preserve">INV188046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54.73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0.8</v>
      </c>
      <c r="BK265">
        <v>1</v>
      </c>
      <c r="BL265">
        <v>144.18</v>
      </c>
      <c r="BM265">
        <v>21.63</v>
      </c>
      <c r="BN265">
        <v>165.81</v>
      </c>
      <c r="BO265">
        <v>165.81</v>
      </c>
      <c r="BQ265" t="s">
        <v>1008</v>
      </c>
      <c r="BR265" t="s">
        <v>83</v>
      </c>
      <c r="BS265" s="3">
        <v>44876</v>
      </c>
      <c r="BT265" s="4">
        <v>0.45694444444444443</v>
      </c>
      <c r="BU265" t="s">
        <v>1009</v>
      </c>
      <c r="BV265" t="s">
        <v>85</v>
      </c>
      <c r="BY265">
        <v>3843</v>
      </c>
      <c r="BZ265" t="s">
        <v>86</v>
      </c>
      <c r="CA265" t="s">
        <v>87</v>
      </c>
      <c r="CC265" t="s">
        <v>80</v>
      </c>
      <c r="CD265">
        <v>2191</v>
      </c>
      <c r="CE265" t="s">
        <v>88</v>
      </c>
      <c r="CF265" s="3">
        <v>44877</v>
      </c>
      <c r="CI265">
        <v>2</v>
      </c>
      <c r="CJ265">
        <v>2</v>
      </c>
      <c r="CK265">
        <v>41</v>
      </c>
      <c r="CL265" t="s">
        <v>89</v>
      </c>
    </row>
    <row r="266" spans="1:90" ht="15" customHeight="1" x14ac:dyDescent="0.3">
      <c r="A266" t="s">
        <v>72</v>
      </c>
      <c r="B266" t="s">
        <v>73</v>
      </c>
      <c r="C266" t="s">
        <v>74</v>
      </c>
      <c r="E266" t="str">
        <f>"009943061641"</f>
        <v>009943061641</v>
      </c>
      <c r="F266" s="3">
        <v>44874</v>
      </c>
      <c r="G266">
        <v>202308</v>
      </c>
      <c r="H266" t="s">
        <v>75</v>
      </c>
      <c r="I266" t="s">
        <v>76</v>
      </c>
      <c r="J266" t="s">
        <v>77</v>
      </c>
      <c r="K266" t="s">
        <v>78</v>
      </c>
      <c r="L266" t="s">
        <v>1010</v>
      </c>
      <c r="M266" t="s">
        <v>1011</v>
      </c>
      <c r="N266" t="s">
        <v>168</v>
      </c>
      <c r="O266" t="s">
        <v>82</v>
      </c>
      <c r="P266" t="str">
        <f>"INV188043                     "</f>
        <v xml:space="preserve">INV188043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54.73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0.1</v>
      </c>
      <c r="BJ266">
        <v>0.6</v>
      </c>
      <c r="BK266">
        <v>1</v>
      </c>
      <c r="BL266">
        <v>159.18</v>
      </c>
      <c r="BM266">
        <v>23.88</v>
      </c>
      <c r="BN266">
        <v>183.06</v>
      </c>
      <c r="BO266">
        <v>183.06</v>
      </c>
      <c r="BQ266" t="s">
        <v>1012</v>
      </c>
      <c r="BR266" t="s">
        <v>83</v>
      </c>
      <c r="BS266" s="3">
        <v>44881</v>
      </c>
      <c r="BT266" s="4">
        <v>0.45208333333333334</v>
      </c>
      <c r="BU266" t="s">
        <v>1013</v>
      </c>
      <c r="BV266" t="s">
        <v>85</v>
      </c>
      <c r="BY266">
        <v>2898.7</v>
      </c>
      <c r="BZ266" t="s">
        <v>451</v>
      </c>
      <c r="CA266" t="s">
        <v>1014</v>
      </c>
      <c r="CC266" t="s">
        <v>1011</v>
      </c>
      <c r="CD266">
        <v>3780</v>
      </c>
      <c r="CE266" t="s">
        <v>88</v>
      </c>
      <c r="CF266" s="3">
        <v>44881</v>
      </c>
      <c r="CI266">
        <v>7</v>
      </c>
      <c r="CJ266">
        <v>5</v>
      </c>
      <c r="CK266">
        <v>41</v>
      </c>
      <c r="CL266" t="s">
        <v>89</v>
      </c>
    </row>
    <row r="267" spans="1:90" ht="15" customHeight="1" x14ac:dyDescent="0.3">
      <c r="A267" t="s">
        <v>72</v>
      </c>
      <c r="B267" t="s">
        <v>73</v>
      </c>
      <c r="C267" t="s">
        <v>74</v>
      </c>
      <c r="E267" t="str">
        <f>"009942701271"</f>
        <v>009942701271</v>
      </c>
      <c r="F267" s="3">
        <v>44874</v>
      </c>
      <c r="G267">
        <v>202308</v>
      </c>
      <c r="H267" t="s">
        <v>108</v>
      </c>
      <c r="I267" t="s">
        <v>109</v>
      </c>
      <c r="J267" t="s">
        <v>110</v>
      </c>
      <c r="K267" t="s">
        <v>78</v>
      </c>
      <c r="L267" t="s">
        <v>111</v>
      </c>
      <c r="M267" t="s">
        <v>112</v>
      </c>
      <c r="N267" t="s">
        <v>94</v>
      </c>
      <c r="O267" t="s">
        <v>96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42.45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</v>
      </c>
      <c r="BJ267">
        <v>0.2</v>
      </c>
      <c r="BK267">
        <v>3</v>
      </c>
      <c r="BL267">
        <v>107.75</v>
      </c>
      <c r="BM267">
        <v>16.16</v>
      </c>
      <c r="BN267">
        <v>123.91</v>
      </c>
      <c r="BO267">
        <v>123.91</v>
      </c>
      <c r="BQ267" t="s">
        <v>113</v>
      </c>
      <c r="BR267" t="s">
        <v>114</v>
      </c>
      <c r="BS267" s="3">
        <v>44875</v>
      </c>
      <c r="BT267" s="4">
        <v>0.43402777777777773</v>
      </c>
      <c r="BU267" t="s">
        <v>759</v>
      </c>
      <c r="BV267" t="s">
        <v>85</v>
      </c>
      <c r="BY267">
        <v>1200</v>
      </c>
      <c r="BZ267" t="s">
        <v>101</v>
      </c>
      <c r="CA267" t="s">
        <v>116</v>
      </c>
      <c r="CC267" t="s">
        <v>112</v>
      </c>
      <c r="CD267">
        <v>1619</v>
      </c>
      <c r="CE267" t="s">
        <v>88</v>
      </c>
      <c r="CF267" s="3">
        <v>44876</v>
      </c>
      <c r="CI267">
        <v>1</v>
      </c>
      <c r="CJ267">
        <v>1</v>
      </c>
      <c r="CK267">
        <v>21</v>
      </c>
      <c r="CL267" t="s">
        <v>89</v>
      </c>
    </row>
    <row r="268" spans="1:90" ht="15" customHeight="1" x14ac:dyDescent="0.3">
      <c r="A268" t="s">
        <v>72</v>
      </c>
      <c r="B268" t="s">
        <v>73</v>
      </c>
      <c r="C268" t="s">
        <v>74</v>
      </c>
      <c r="E268" t="str">
        <f>"009942701270"</f>
        <v>009942701270</v>
      </c>
      <c r="F268" s="3">
        <v>44874</v>
      </c>
      <c r="G268">
        <v>202308</v>
      </c>
      <c r="H268" t="s">
        <v>108</v>
      </c>
      <c r="I268" t="s">
        <v>109</v>
      </c>
      <c r="J268" t="s">
        <v>110</v>
      </c>
      <c r="K268" t="s">
        <v>78</v>
      </c>
      <c r="L268" t="s">
        <v>111</v>
      </c>
      <c r="M268" t="s">
        <v>112</v>
      </c>
      <c r="N268" t="s">
        <v>94</v>
      </c>
      <c r="O268" t="s">
        <v>96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28.3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0.5</v>
      </c>
      <c r="BK268">
        <v>1</v>
      </c>
      <c r="BL268">
        <v>71.84</v>
      </c>
      <c r="BM268">
        <v>10.78</v>
      </c>
      <c r="BN268">
        <v>82.62</v>
      </c>
      <c r="BO268">
        <v>82.62</v>
      </c>
      <c r="BQ268" t="s">
        <v>113</v>
      </c>
      <c r="BR268" t="s">
        <v>114</v>
      </c>
      <c r="BS268" s="3">
        <v>44875</v>
      </c>
      <c r="BT268" s="4">
        <v>0.43333333333333335</v>
      </c>
      <c r="BU268" t="s">
        <v>759</v>
      </c>
      <c r="BV268" t="s">
        <v>85</v>
      </c>
      <c r="BY268">
        <v>2550</v>
      </c>
      <c r="BZ268" t="s">
        <v>101</v>
      </c>
      <c r="CA268" t="s">
        <v>116</v>
      </c>
      <c r="CC268" t="s">
        <v>112</v>
      </c>
      <c r="CD268">
        <v>1620</v>
      </c>
      <c r="CE268" t="s">
        <v>88</v>
      </c>
      <c r="CF268" s="3">
        <v>44876</v>
      </c>
      <c r="CI268">
        <v>1</v>
      </c>
      <c r="CJ268">
        <v>1</v>
      </c>
      <c r="CK268">
        <v>21</v>
      </c>
      <c r="CL268" t="s">
        <v>89</v>
      </c>
    </row>
    <row r="269" spans="1:90" ht="15" customHeight="1" x14ac:dyDescent="0.3">
      <c r="A269" t="s">
        <v>72</v>
      </c>
      <c r="B269" t="s">
        <v>73</v>
      </c>
      <c r="C269" t="s">
        <v>74</v>
      </c>
      <c r="E269" t="str">
        <f>"009942358084"</f>
        <v>009942358084</v>
      </c>
      <c r="F269" s="3">
        <v>44874</v>
      </c>
      <c r="G269">
        <v>202308</v>
      </c>
      <c r="H269" t="s">
        <v>75</v>
      </c>
      <c r="I269" t="s">
        <v>76</v>
      </c>
      <c r="J269" t="s">
        <v>423</v>
      </c>
      <c r="K269" t="s">
        <v>78</v>
      </c>
      <c r="L269" t="s">
        <v>1015</v>
      </c>
      <c r="M269" t="s">
        <v>1016</v>
      </c>
      <c r="N269" t="s">
        <v>1017</v>
      </c>
      <c r="O269" t="s">
        <v>82</v>
      </c>
      <c r="P269" t="str">
        <f>"BWSAR00113996                 "</f>
        <v xml:space="preserve">BWSAR00113996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15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112.7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16</v>
      </c>
      <c r="BJ269">
        <v>24</v>
      </c>
      <c r="BK269">
        <v>24</v>
      </c>
      <c r="BL269">
        <v>306.33</v>
      </c>
      <c r="BM269">
        <v>45.95</v>
      </c>
      <c r="BN269">
        <v>352.28</v>
      </c>
      <c r="BO269">
        <v>352.28</v>
      </c>
      <c r="BR269" t="s">
        <v>276</v>
      </c>
      <c r="BS269" s="3">
        <v>44875</v>
      </c>
      <c r="BT269" s="4">
        <v>0.51736111111111105</v>
      </c>
      <c r="BU269" t="s">
        <v>1018</v>
      </c>
      <c r="BV269" t="s">
        <v>85</v>
      </c>
      <c r="BY269">
        <v>120000</v>
      </c>
      <c r="BZ269" t="s">
        <v>278</v>
      </c>
      <c r="CC269" t="s">
        <v>1016</v>
      </c>
      <c r="CD269">
        <v>7340</v>
      </c>
      <c r="CE269" t="s">
        <v>88</v>
      </c>
      <c r="CF269" s="3">
        <v>44883</v>
      </c>
      <c r="CI269">
        <v>2</v>
      </c>
      <c r="CJ269">
        <v>1</v>
      </c>
      <c r="CK269">
        <v>43</v>
      </c>
      <c r="CL269" t="s">
        <v>89</v>
      </c>
    </row>
    <row r="270" spans="1:90" ht="15" customHeight="1" x14ac:dyDescent="0.3">
      <c r="A270" t="s">
        <v>72</v>
      </c>
      <c r="B270" t="s">
        <v>73</v>
      </c>
      <c r="C270" t="s">
        <v>74</v>
      </c>
      <c r="E270" t="str">
        <f>"009942358083"</f>
        <v>009942358083</v>
      </c>
      <c r="F270" s="3">
        <v>44874</v>
      </c>
      <c r="G270">
        <v>202308</v>
      </c>
      <c r="H270" t="s">
        <v>75</v>
      </c>
      <c r="I270" t="s">
        <v>76</v>
      </c>
      <c r="J270" t="s">
        <v>423</v>
      </c>
      <c r="K270" t="s">
        <v>78</v>
      </c>
      <c r="L270" t="s">
        <v>1019</v>
      </c>
      <c r="M270" t="s">
        <v>1020</v>
      </c>
      <c r="N270" t="s">
        <v>1021</v>
      </c>
      <c r="O270" t="s">
        <v>82</v>
      </c>
      <c r="P270" t="str">
        <f>"BRSAR00159645                 "</f>
        <v xml:space="preserve">BRSAR00159645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15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88.76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33</v>
      </c>
      <c r="BJ270">
        <v>24</v>
      </c>
      <c r="BK270">
        <v>33</v>
      </c>
      <c r="BL270">
        <v>245.56</v>
      </c>
      <c r="BM270">
        <v>36.83</v>
      </c>
      <c r="BN270">
        <v>282.39</v>
      </c>
      <c r="BO270">
        <v>282.39</v>
      </c>
      <c r="BR270" t="s">
        <v>276</v>
      </c>
      <c r="BS270" s="3">
        <v>44880</v>
      </c>
      <c r="BT270" s="4">
        <v>0.41666666666666669</v>
      </c>
      <c r="BU270" t="s">
        <v>1022</v>
      </c>
      <c r="BV270" t="s">
        <v>89</v>
      </c>
      <c r="BW270" t="s">
        <v>122</v>
      </c>
      <c r="BX270" t="s">
        <v>799</v>
      </c>
      <c r="BY270">
        <v>120000</v>
      </c>
      <c r="BZ270" t="s">
        <v>278</v>
      </c>
      <c r="CC270" t="s">
        <v>1020</v>
      </c>
      <c r="CD270">
        <v>6849</v>
      </c>
      <c r="CE270" t="s">
        <v>88</v>
      </c>
      <c r="CF270" s="3">
        <v>44881</v>
      </c>
      <c r="CI270">
        <v>2</v>
      </c>
      <c r="CJ270">
        <v>4</v>
      </c>
      <c r="CK270">
        <v>44</v>
      </c>
      <c r="CL270" t="s">
        <v>89</v>
      </c>
    </row>
    <row r="271" spans="1:90" ht="15" customHeight="1" x14ac:dyDescent="0.3">
      <c r="A271" t="s">
        <v>72</v>
      </c>
      <c r="B271" t="s">
        <v>73</v>
      </c>
      <c r="C271" t="s">
        <v>74</v>
      </c>
      <c r="E271" t="str">
        <f>"009943054188"</f>
        <v>009943054188</v>
      </c>
      <c r="F271" s="3">
        <v>44874</v>
      </c>
      <c r="G271">
        <v>202308</v>
      </c>
      <c r="H271" t="s">
        <v>231</v>
      </c>
      <c r="I271" t="s">
        <v>232</v>
      </c>
      <c r="J271" t="s">
        <v>1023</v>
      </c>
      <c r="K271" t="s">
        <v>78</v>
      </c>
      <c r="L271" t="s">
        <v>762</v>
      </c>
      <c r="M271" t="s">
        <v>763</v>
      </c>
      <c r="N271" t="s">
        <v>1024</v>
      </c>
      <c r="O271" t="s">
        <v>82</v>
      </c>
      <c r="P271" t="str">
        <f>"JNX290479062                  "</f>
        <v xml:space="preserve">JNX290479062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54.73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2.6</v>
      </c>
      <c r="BK271">
        <v>3</v>
      </c>
      <c r="BL271">
        <v>144.18</v>
      </c>
      <c r="BM271">
        <v>21.63</v>
      </c>
      <c r="BN271">
        <v>165.81</v>
      </c>
      <c r="BO271">
        <v>165.81</v>
      </c>
      <c r="BQ271" t="s">
        <v>359</v>
      </c>
      <c r="BR271" t="s">
        <v>1025</v>
      </c>
      <c r="BS271" s="3">
        <v>44875</v>
      </c>
      <c r="BT271" s="4">
        <v>0.51527777777777783</v>
      </c>
      <c r="BU271" t="s">
        <v>1026</v>
      </c>
      <c r="BV271" t="s">
        <v>85</v>
      </c>
      <c r="BY271">
        <v>13153.14</v>
      </c>
      <c r="BZ271" t="s">
        <v>86</v>
      </c>
      <c r="CA271" t="s">
        <v>1027</v>
      </c>
      <c r="CC271" t="s">
        <v>763</v>
      </c>
      <c r="CD271">
        <v>3200</v>
      </c>
      <c r="CE271" t="s">
        <v>88</v>
      </c>
      <c r="CF271" s="3">
        <v>44876</v>
      </c>
      <c r="CI271">
        <v>1</v>
      </c>
      <c r="CJ271">
        <v>1</v>
      </c>
      <c r="CK271">
        <v>41</v>
      </c>
      <c r="CL271" t="s">
        <v>89</v>
      </c>
    </row>
    <row r="272" spans="1:90" ht="15" customHeight="1" x14ac:dyDescent="0.3">
      <c r="A272" t="s">
        <v>72</v>
      </c>
      <c r="B272" t="s">
        <v>73</v>
      </c>
      <c r="C272" t="s">
        <v>74</v>
      </c>
      <c r="E272" t="str">
        <f>"009943054189"</f>
        <v>009943054189</v>
      </c>
      <c r="F272" s="3">
        <v>44874</v>
      </c>
      <c r="G272">
        <v>202308</v>
      </c>
      <c r="H272" t="s">
        <v>231</v>
      </c>
      <c r="I272" t="s">
        <v>232</v>
      </c>
      <c r="J272" t="s">
        <v>1023</v>
      </c>
      <c r="K272" t="s">
        <v>78</v>
      </c>
      <c r="L272" t="s">
        <v>562</v>
      </c>
      <c r="M272" t="s">
        <v>563</v>
      </c>
      <c r="N272" t="s">
        <v>1028</v>
      </c>
      <c r="O272" t="s">
        <v>82</v>
      </c>
      <c r="P272" t="str">
        <f>"JNX29047*90356                "</f>
        <v xml:space="preserve">JNX29047*90356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54.73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1.5</v>
      </c>
      <c r="BK272">
        <v>2</v>
      </c>
      <c r="BL272">
        <v>144.18</v>
      </c>
      <c r="BM272">
        <v>21.63</v>
      </c>
      <c r="BN272">
        <v>165.81</v>
      </c>
      <c r="BO272">
        <v>165.81</v>
      </c>
      <c r="BQ272" t="s">
        <v>359</v>
      </c>
      <c r="BR272" t="s">
        <v>1025</v>
      </c>
      <c r="BS272" s="3">
        <v>44888</v>
      </c>
      <c r="BT272" s="4">
        <v>0.50624999999999998</v>
      </c>
      <c r="BU272" t="s">
        <v>1029</v>
      </c>
      <c r="BV272" t="s">
        <v>89</v>
      </c>
      <c r="BW272" t="s">
        <v>1030</v>
      </c>
      <c r="BX272" t="s">
        <v>1031</v>
      </c>
      <c r="BY272">
        <v>7313.26</v>
      </c>
      <c r="BZ272" t="s">
        <v>86</v>
      </c>
      <c r="CA272" t="s">
        <v>1032</v>
      </c>
      <c r="CC272" t="s">
        <v>563</v>
      </c>
      <c r="CD272">
        <v>701</v>
      </c>
      <c r="CE272" t="s">
        <v>88</v>
      </c>
      <c r="CF272" s="3">
        <v>44889</v>
      </c>
      <c r="CI272">
        <v>1</v>
      </c>
      <c r="CJ272">
        <v>10</v>
      </c>
      <c r="CK272">
        <v>41</v>
      </c>
      <c r="CL272" t="s">
        <v>89</v>
      </c>
    </row>
    <row r="273" spans="1:90" ht="15" customHeight="1" x14ac:dyDescent="0.3">
      <c r="A273" t="s">
        <v>72</v>
      </c>
      <c r="B273" t="s">
        <v>73</v>
      </c>
      <c r="C273" t="s">
        <v>74</v>
      </c>
      <c r="E273" t="str">
        <f>"009942701397"</f>
        <v>009942701397</v>
      </c>
      <c r="F273" s="3">
        <v>44875</v>
      </c>
      <c r="G273">
        <v>202308</v>
      </c>
      <c r="H273" t="s">
        <v>108</v>
      </c>
      <c r="I273" t="s">
        <v>109</v>
      </c>
      <c r="J273" t="s">
        <v>110</v>
      </c>
      <c r="K273" t="s">
        <v>78</v>
      </c>
      <c r="L273" t="s">
        <v>117</v>
      </c>
      <c r="M273" t="s">
        <v>118</v>
      </c>
      <c r="N273" t="s">
        <v>119</v>
      </c>
      <c r="O273" t="s">
        <v>96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28.3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71.84</v>
      </c>
      <c r="BM273">
        <v>10.78</v>
      </c>
      <c r="BN273">
        <v>82.62</v>
      </c>
      <c r="BO273">
        <v>82.62</v>
      </c>
      <c r="BQ273" t="s">
        <v>120</v>
      </c>
      <c r="BR273" t="s">
        <v>114</v>
      </c>
      <c r="BS273" s="3">
        <v>44879</v>
      </c>
      <c r="BT273" s="4">
        <v>0.36944444444444446</v>
      </c>
      <c r="BU273" t="s">
        <v>1033</v>
      </c>
      <c r="BV273" t="s">
        <v>85</v>
      </c>
      <c r="BY273">
        <v>1200</v>
      </c>
      <c r="BZ273" t="s">
        <v>101</v>
      </c>
      <c r="CA273" t="s">
        <v>725</v>
      </c>
      <c r="CC273" t="s">
        <v>118</v>
      </c>
      <c r="CD273">
        <v>3605</v>
      </c>
      <c r="CE273" t="s">
        <v>88</v>
      </c>
      <c r="CF273" s="3">
        <v>44882</v>
      </c>
      <c r="CI273">
        <v>2</v>
      </c>
      <c r="CJ273">
        <v>2</v>
      </c>
      <c r="CK273">
        <v>21</v>
      </c>
      <c r="CL273" t="s">
        <v>89</v>
      </c>
    </row>
    <row r="274" spans="1:90" ht="15" customHeight="1" x14ac:dyDescent="0.3">
      <c r="A274" t="s">
        <v>72</v>
      </c>
      <c r="B274" t="s">
        <v>73</v>
      </c>
      <c r="C274" t="s">
        <v>74</v>
      </c>
      <c r="E274" t="str">
        <f>"009943061677"</f>
        <v>009943061677</v>
      </c>
      <c r="F274" s="3">
        <v>44875</v>
      </c>
      <c r="G274">
        <v>202308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1034</v>
      </c>
      <c r="O274" t="s">
        <v>82</v>
      </c>
      <c r="P274" t="str">
        <f>"22756                         "</f>
        <v xml:space="preserve">22756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42.23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0.5</v>
      </c>
      <c r="BJ274">
        <v>1.8</v>
      </c>
      <c r="BK274">
        <v>2</v>
      </c>
      <c r="BL274">
        <v>112.45</v>
      </c>
      <c r="BM274">
        <v>16.87</v>
      </c>
      <c r="BN274">
        <v>129.32</v>
      </c>
      <c r="BO274">
        <v>129.32</v>
      </c>
      <c r="BR274" t="s">
        <v>83</v>
      </c>
      <c r="BS274" s="3">
        <v>44876</v>
      </c>
      <c r="BT274" s="4">
        <v>0.67013888888888884</v>
      </c>
      <c r="BU274" t="s">
        <v>1035</v>
      </c>
      <c r="BV274" t="s">
        <v>85</v>
      </c>
      <c r="BY274">
        <v>9149.2800000000007</v>
      </c>
      <c r="BZ274" t="s">
        <v>86</v>
      </c>
      <c r="CA274" t="s">
        <v>959</v>
      </c>
      <c r="CC274" t="s">
        <v>76</v>
      </c>
      <c r="CD274">
        <v>8000</v>
      </c>
      <c r="CE274" t="s">
        <v>88</v>
      </c>
      <c r="CF274" s="3">
        <v>44879</v>
      </c>
      <c r="CI274">
        <v>1</v>
      </c>
      <c r="CJ274">
        <v>1</v>
      </c>
      <c r="CK274">
        <v>42</v>
      </c>
      <c r="CL274" t="s">
        <v>89</v>
      </c>
    </row>
    <row r="275" spans="1:90" ht="15" customHeight="1" x14ac:dyDescent="0.3">
      <c r="A275" t="s">
        <v>72</v>
      </c>
      <c r="B275" t="s">
        <v>73</v>
      </c>
      <c r="C275" t="s">
        <v>74</v>
      </c>
      <c r="E275" t="str">
        <f>"009943061675"</f>
        <v>009943061675</v>
      </c>
      <c r="F275" s="3">
        <v>44875</v>
      </c>
      <c r="G275">
        <v>202308</v>
      </c>
      <c r="H275" t="s">
        <v>75</v>
      </c>
      <c r="I275" t="s">
        <v>76</v>
      </c>
      <c r="J275" t="s">
        <v>77</v>
      </c>
      <c r="K275" t="s">
        <v>78</v>
      </c>
      <c r="L275" t="s">
        <v>951</v>
      </c>
      <c r="M275" t="s">
        <v>952</v>
      </c>
      <c r="N275" t="s">
        <v>1036</v>
      </c>
      <c r="O275" t="s">
        <v>82</v>
      </c>
      <c r="P275" t="str">
        <f>"188120                        "</f>
        <v xml:space="preserve">188120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77.19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0.7</v>
      </c>
      <c r="BJ275">
        <v>2.2000000000000002</v>
      </c>
      <c r="BK275">
        <v>3</v>
      </c>
      <c r="BL275">
        <v>201.19</v>
      </c>
      <c r="BM275">
        <v>30.18</v>
      </c>
      <c r="BN275">
        <v>231.37</v>
      </c>
      <c r="BO275">
        <v>231.37</v>
      </c>
      <c r="BR275" t="s">
        <v>83</v>
      </c>
      <c r="BS275" s="3">
        <v>44876</v>
      </c>
      <c r="BT275" s="4">
        <v>0.59097222222222223</v>
      </c>
      <c r="BU275" t="s">
        <v>1037</v>
      </c>
      <c r="BV275" t="s">
        <v>85</v>
      </c>
      <c r="BY275">
        <v>10964.84</v>
      </c>
      <c r="BZ275" t="s">
        <v>86</v>
      </c>
      <c r="CA275" t="s">
        <v>868</v>
      </c>
      <c r="CC275" t="s">
        <v>952</v>
      </c>
      <c r="CD275">
        <v>6571</v>
      </c>
      <c r="CE275" t="s">
        <v>88</v>
      </c>
      <c r="CF275" s="3">
        <v>44880</v>
      </c>
      <c r="CI275">
        <v>1</v>
      </c>
      <c r="CJ275">
        <v>1</v>
      </c>
      <c r="CK275">
        <v>43</v>
      </c>
      <c r="CL275" t="s">
        <v>89</v>
      </c>
    </row>
    <row r="276" spans="1:90" ht="15" customHeight="1" x14ac:dyDescent="0.3">
      <c r="A276" t="s">
        <v>72</v>
      </c>
      <c r="B276" t="s">
        <v>73</v>
      </c>
      <c r="C276" t="s">
        <v>74</v>
      </c>
      <c r="E276" t="str">
        <f>"009943061674"</f>
        <v>009943061674</v>
      </c>
      <c r="F276" s="3">
        <v>44875</v>
      </c>
      <c r="G276">
        <v>202308</v>
      </c>
      <c r="H276" t="s">
        <v>75</v>
      </c>
      <c r="I276" t="s">
        <v>76</v>
      </c>
      <c r="J276" t="s">
        <v>77</v>
      </c>
      <c r="K276" t="s">
        <v>78</v>
      </c>
      <c r="L276" t="s">
        <v>166</v>
      </c>
      <c r="M276" t="s">
        <v>167</v>
      </c>
      <c r="N276" t="s">
        <v>1038</v>
      </c>
      <c r="O276" t="s">
        <v>82</v>
      </c>
      <c r="P276" t="str">
        <f>"188118                        "</f>
        <v xml:space="preserve">188118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54.73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0.6</v>
      </c>
      <c r="BK276">
        <v>1</v>
      </c>
      <c r="BL276">
        <v>144.18</v>
      </c>
      <c r="BM276">
        <v>21.63</v>
      </c>
      <c r="BN276">
        <v>165.81</v>
      </c>
      <c r="BO276">
        <v>165.81</v>
      </c>
      <c r="BR276" t="s">
        <v>83</v>
      </c>
      <c r="BS276" s="3">
        <v>44879</v>
      </c>
      <c r="BT276" s="4">
        <v>0.60416666666666663</v>
      </c>
      <c r="BU276" t="s">
        <v>344</v>
      </c>
      <c r="BV276" t="s">
        <v>85</v>
      </c>
      <c r="BY276">
        <v>2769.2</v>
      </c>
      <c r="BZ276" t="s">
        <v>86</v>
      </c>
      <c r="CC276" t="s">
        <v>167</v>
      </c>
      <c r="CD276">
        <v>54</v>
      </c>
      <c r="CE276" t="s">
        <v>88</v>
      </c>
      <c r="CF276" s="3">
        <v>44879</v>
      </c>
      <c r="CI276">
        <v>2</v>
      </c>
      <c r="CJ276">
        <v>2</v>
      </c>
      <c r="CK276">
        <v>41</v>
      </c>
      <c r="CL276" t="s">
        <v>89</v>
      </c>
    </row>
    <row r="277" spans="1:90" ht="15" customHeight="1" x14ac:dyDescent="0.3">
      <c r="A277" t="s">
        <v>72</v>
      </c>
      <c r="B277" t="s">
        <v>73</v>
      </c>
      <c r="C277" t="s">
        <v>74</v>
      </c>
      <c r="E277" t="str">
        <f>"009943061676"</f>
        <v>009943061676</v>
      </c>
      <c r="F277" s="3">
        <v>44875</v>
      </c>
      <c r="G277">
        <v>202308</v>
      </c>
      <c r="H277" t="s">
        <v>75</v>
      </c>
      <c r="I277" t="s">
        <v>76</v>
      </c>
      <c r="J277" t="s">
        <v>77</v>
      </c>
      <c r="K277" t="s">
        <v>78</v>
      </c>
      <c r="L277" t="s">
        <v>79</v>
      </c>
      <c r="M277" t="s">
        <v>80</v>
      </c>
      <c r="N277" t="s">
        <v>1039</v>
      </c>
      <c r="O277" t="s">
        <v>82</v>
      </c>
      <c r="P277" t="str">
        <f>"188119                        "</f>
        <v xml:space="preserve">188119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54.73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2.7</v>
      </c>
      <c r="BJ277">
        <v>12</v>
      </c>
      <c r="BK277">
        <v>12</v>
      </c>
      <c r="BL277">
        <v>144.18</v>
      </c>
      <c r="BM277">
        <v>21.63</v>
      </c>
      <c r="BN277">
        <v>165.81</v>
      </c>
      <c r="BO277">
        <v>165.81</v>
      </c>
      <c r="BR277" t="s">
        <v>83</v>
      </c>
      <c r="BS277" s="3">
        <v>44879</v>
      </c>
      <c r="BT277" s="4">
        <v>0.45208333333333334</v>
      </c>
      <c r="BU277" t="s">
        <v>1040</v>
      </c>
      <c r="BV277" t="s">
        <v>85</v>
      </c>
      <c r="BY277">
        <v>60207</v>
      </c>
      <c r="BZ277" t="s">
        <v>86</v>
      </c>
      <c r="CA277" t="s">
        <v>1041</v>
      </c>
      <c r="CC277" t="s">
        <v>80</v>
      </c>
      <c r="CD277">
        <v>2091</v>
      </c>
      <c r="CE277" t="s">
        <v>88</v>
      </c>
      <c r="CF277" s="3">
        <v>44879</v>
      </c>
      <c r="CI277">
        <v>2</v>
      </c>
      <c r="CJ277">
        <v>2</v>
      </c>
      <c r="CK277">
        <v>41</v>
      </c>
      <c r="CL277" t="s">
        <v>89</v>
      </c>
    </row>
    <row r="278" spans="1:90" ht="15" customHeight="1" x14ac:dyDescent="0.3">
      <c r="A278" t="s">
        <v>72</v>
      </c>
      <c r="B278" t="s">
        <v>73</v>
      </c>
      <c r="C278" t="s">
        <v>74</v>
      </c>
      <c r="E278" t="str">
        <f>"009943061672"</f>
        <v>009943061672</v>
      </c>
      <c r="F278" s="3">
        <v>44875</v>
      </c>
      <c r="G278">
        <v>202308</v>
      </c>
      <c r="H278" t="s">
        <v>75</v>
      </c>
      <c r="I278" t="s">
        <v>76</v>
      </c>
      <c r="J278" t="s">
        <v>77</v>
      </c>
      <c r="K278" t="s">
        <v>78</v>
      </c>
      <c r="L278" t="s">
        <v>225</v>
      </c>
      <c r="M278" t="s">
        <v>226</v>
      </c>
      <c r="N278" t="s">
        <v>1042</v>
      </c>
      <c r="O278" t="s">
        <v>82</v>
      </c>
      <c r="P278" t="str">
        <f>"188124                        "</f>
        <v xml:space="preserve">188124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77.19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1.7</v>
      </c>
      <c r="BJ278">
        <v>11.2</v>
      </c>
      <c r="BK278">
        <v>12</v>
      </c>
      <c r="BL278">
        <v>201.19</v>
      </c>
      <c r="BM278">
        <v>30.18</v>
      </c>
      <c r="BN278">
        <v>231.37</v>
      </c>
      <c r="BO278">
        <v>231.37</v>
      </c>
      <c r="BR278" t="s">
        <v>83</v>
      </c>
      <c r="BS278" s="3">
        <v>44879</v>
      </c>
      <c r="BT278" s="4">
        <v>0.56388888888888888</v>
      </c>
      <c r="BU278" t="s">
        <v>1043</v>
      </c>
      <c r="BV278" t="s">
        <v>85</v>
      </c>
      <c r="BY278">
        <v>55835.5</v>
      </c>
      <c r="BZ278" t="s">
        <v>86</v>
      </c>
      <c r="CA278" t="s">
        <v>1044</v>
      </c>
      <c r="CC278" t="s">
        <v>226</v>
      </c>
      <c r="CD278">
        <v>2531</v>
      </c>
      <c r="CE278" t="s">
        <v>88</v>
      </c>
      <c r="CF278" s="3">
        <v>44880</v>
      </c>
      <c r="CI278">
        <v>3</v>
      </c>
      <c r="CJ278">
        <v>2</v>
      </c>
      <c r="CK278">
        <v>43</v>
      </c>
      <c r="CL278" t="s">
        <v>89</v>
      </c>
    </row>
    <row r="279" spans="1:90" ht="15" customHeight="1" x14ac:dyDescent="0.3">
      <c r="A279" t="s">
        <v>72</v>
      </c>
      <c r="B279" t="s">
        <v>73</v>
      </c>
      <c r="C279" t="s">
        <v>74</v>
      </c>
      <c r="E279" t="str">
        <f>"009943061656"</f>
        <v>009943061656</v>
      </c>
      <c r="F279" s="3">
        <v>44875</v>
      </c>
      <c r="G279">
        <v>202308</v>
      </c>
      <c r="H279" t="s">
        <v>75</v>
      </c>
      <c r="I279" t="s">
        <v>76</v>
      </c>
      <c r="J279" t="s">
        <v>77</v>
      </c>
      <c r="K279" t="s">
        <v>78</v>
      </c>
      <c r="L279" t="s">
        <v>548</v>
      </c>
      <c r="M279" t="s">
        <v>549</v>
      </c>
      <c r="N279" t="s">
        <v>1045</v>
      </c>
      <c r="O279" t="s">
        <v>82</v>
      </c>
      <c r="P279" t="str">
        <f>"188123                        "</f>
        <v xml:space="preserve">188123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77.19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0.5</v>
      </c>
      <c r="BK279">
        <v>1</v>
      </c>
      <c r="BL279">
        <v>201.19</v>
      </c>
      <c r="BM279">
        <v>30.18</v>
      </c>
      <c r="BN279">
        <v>231.37</v>
      </c>
      <c r="BO279">
        <v>231.37</v>
      </c>
      <c r="BR279" t="s">
        <v>83</v>
      </c>
      <c r="BS279" s="3">
        <v>44880</v>
      </c>
      <c r="BT279" s="4">
        <v>0.56111111111111112</v>
      </c>
      <c r="BU279" t="s">
        <v>1046</v>
      </c>
      <c r="BV279" t="s">
        <v>85</v>
      </c>
      <c r="BY279">
        <v>2549.8000000000002</v>
      </c>
      <c r="BZ279" t="s">
        <v>86</v>
      </c>
      <c r="CC279" t="s">
        <v>549</v>
      </c>
      <c r="CD279">
        <v>3100</v>
      </c>
      <c r="CE279" t="s">
        <v>88</v>
      </c>
      <c r="CF279" s="3">
        <v>44880</v>
      </c>
      <c r="CI279">
        <v>3</v>
      </c>
      <c r="CJ279">
        <v>3</v>
      </c>
      <c r="CK279">
        <v>43</v>
      </c>
      <c r="CL279" t="s">
        <v>89</v>
      </c>
    </row>
    <row r="280" spans="1:90" ht="15" customHeight="1" x14ac:dyDescent="0.3">
      <c r="A280" t="s">
        <v>72</v>
      </c>
      <c r="B280" t="s">
        <v>73</v>
      </c>
      <c r="C280" t="s">
        <v>74</v>
      </c>
      <c r="E280" t="str">
        <f>"009943061673"</f>
        <v>009943061673</v>
      </c>
      <c r="F280" s="3">
        <v>44875</v>
      </c>
      <c r="G280">
        <v>202308</v>
      </c>
      <c r="H280" t="s">
        <v>75</v>
      </c>
      <c r="I280" t="s">
        <v>76</v>
      </c>
      <c r="J280" t="s">
        <v>77</v>
      </c>
      <c r="K280" t="s">
        <v>78</v>
      </c>
      <c r="L280" t="s">
        <v>166</v>
      </c>
      <c r="M280" t="s">
        <v>167</v>
      </c>
      <c r="N280" t="s">
        <v>1047</v>
      </c>
      <c r="O280" t="s">
        <v>82</v>
      </c>
      <c r="P280" t="str">
        <f>"188122                        "</f>
        <v xml:space="preserve">188122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54.73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0.3</v>
      </c>
      <c r="BJ280">
        <v>0.9</v>
      </c>
      <c r="BK280">
        <v>1</v>
      </c>
      <c r="BL280">
        <v>144.18</v>
      </c>
      <c r="BM280">
        <v>21.63</v>
      </c>
      <c r="BN280">
        <v>165.81</v>
      </c>
      <c r="BO280">
        <v>165.81</v>
      </c>
      <c r="BR280" t="s">
        <v>83</v>
      </c>
      <c r="BS280" s="3">
        <v>44879</v>
      </c>
      <c r="BT280" s="4">
        <v>0.34375</v>
      </c>
      <c r="BU280" t="s">
        <v>1048</v>
      </c>
      <c r="BV280" t="s">
        <v>85</v>
      </c>
      <c r="BY280">
        <v>4354.2</v>
      </c>
      <c r="BZ280" t="s">
        <v>86</v>
      </c>
      <c r="CA280" t="s">
        <v>1049</v>
      </c>
      <c r="CC280" t="s">
        <v>167</v>
      </c>
      <c r="CD280">
        <v>1</v>
      </c>
      <c r="CE280" t="s">
        <v>88</v>
      </c>
      <c r="CF280" s="3">
        <v>44879</v>
      </c>
      <c r="CI280">
        <v>2</v>
      </c>
      <c r="CJ280">
        <v>2</v>
      </c>
      <c r="CK280">
        <v>41</v>
      </c>
      <c r="CL280" t="s">
        <v>89</v>
      </c>
    </row>
    <row r="281" spans="1:90" ht="15" customHeight="1" x14ac:dyDescent="0.3">
      <c r="A281" t="s">
        <v>72</v>
      </c>
      <c r="B281" t="s">
        <v>73</v>
      </c>
      <c r="C281" t="s">
        <v>74</v>
      </c>
      <c r="E281" t="str">
        <f>"009943055422"</f>
        <v>009943055422</v>
      </c>
      <c r="F281" s="3">
        <v>44875</v>
      </c>
      <c r="G281">
        <v>202308</v>
      </c>
      <c r="H281" t="s">
        <v>231</v>
      </c>
      <c r="I281" t="s">
        <v>232</v>
      </c>
      <c r="J281" t="s">
        <v>1050</v>
      </c>
      <c r="K281" t="s">
        <v>78</v>
      </c>
      <c r="L281" t="s">
        <v>75</v>
      </c>
      <c r="M281" t="s">
        <v>76</v>
      </c>
      <c r="N281" t="s">
        <v>1051</v>
      </c>
      <c r="O281" t="s">
        <v>96</v>
      </c>
      <c r="P281" t="str">
        <f>"NA                            "</f>
        <v xml:space="preserve">NA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155.6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10.9</v>
      </c>
      <c r="BJ281">
        <v>4.5999999999999996</v>
      </c>
      <c r="BK281">
        <v>11</v>
      </c>
      <c r="BL281">
        <v>394.98</v>
      </c>
      <c r="BM281">
        <v>59.25</v>
      </c>
      <c r="BN281">
        <v>454.23</v>
      </c>
      <c r="BO281">
        <v>454.23</v>
      </c>
      <c r="BQ281" t="s">
        <v>359</v>
      </c>
      <c r="BR281" t="s">
        <v>1025</v>
      </c>
      <c r="BS281" s="3">
        <v>44877</v>
      </c>
      <c r="BT281" s="4">
        <v>0.48333333333333334</v>
      </c>
      <c r="BU281" t="s">
        <v>1052</v>
      </c>
      <c r="BV281" t="s">
        <v>89</v>
      </c>
      <c r="BW281" t="s">
        <v>130</v>
      </c>
      <c r="BX281" t="s">
        <v>1053</v>
      </c>
      <c r="BY281">
        <v>23111.040000000001</v>
      </c>
      <c r="BZ281" t="s">
        <v>101</v>
      </c>
      <c r="CC281" t="s">
        <v>76</v>
      </c>
      <c r="CD281">
        <v>8000</v>
      </c>
      <c r="CE281" t="s">
        <v>88</v>
      </c>
      <c r="CF281" s="3">
        <v>44879</v>
      </c>
      <c r="CI281">
        <v>1</v>
      </c>
      <c r="CJ281">
        <v>1</v>
      </c>
      <c r="CK281">
        <v>21</v>
      </c>
      <c r="CL281" t="s">
        <v>89</v>
      </c>
    </row>
    <row r="282" spans="1:90" ht="15" customHeight="1" x14ac:dyDescent="0.3">
      <c r="A282" t="s">
        <v>72</v>
      </c>
      <c r="B282" t="s">
        <v>73</v>
      </c>
      <c r="C282" t="s">
        <v>74</v>
      </c>
      <c r="E282" t="str">
        <f>"009943061789"</f>
        <v>009943061789</v>
      </c>
      <c r="F282" s="3">
        <v>44893</v>
      </c>
      <c r="G282">
        <v>202308</v>
      </c>
      <c r="H282" t="s">
        <v>75</v>
      </c>
      <c r="I282" t="s">
        <v>76</v>
      </c>
      <c r="J282" t="s">
        <v>77</v>
      </c>
      <c r="K282" t="s">
        <v>78</v>
      </c>
      <c r="L282" t="s">
        <v>1019</v>
      </c>
      <c r="M282" t="s">
        <v>1020</v>
      </c>
      <c r="N282" t="s">
        <v>1054</v>
      </c>
      <c r="O282" t="s">
        <v>82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69.88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3</v>
      </c>
      <c r="BI282">
        <v>9.3000000000000007</v>
      </c>
      <c r="BJ282">
        <v>20.5</v>
      </c>
      <c r="BK282">
        <v>21</v>
      </c>
      <c r="BL282">
        <v>182.64</v>
      </c>
      <c r="BM282">
        <v>27.4</v>
      </c>
      <c r="BN282">
        <v>210.04</v>
      </c>
      <c r="BO282">
        <v>210.04</v>
      </c>
      <c r="BQ282" t="s">
        <v>1055</v>
      </c>
      <c r="BR282" t="s">
        <v>1056</v>
      </c>
      <c r="BS282" s="3">
        <v>44894</v>
      </c>
      <c r="BT282" s="4">
        <v>0.61805555555555558</v>
      </c>
      <c r="BU282" t="s">
        <v>1057</v>
      </c>
      <c r="BV282" t="s">
        <v>85</v>
      </c>
      <c r="BY282">
        <v>102280.58</v>
      </c>
      <c r="BZ282" t="s">
        <v>86</v>
      </c>
      <c r="CA282" t="s">
        <v>1058</v>
      </c>
      <c r="CC282" t="s">
        <v>1020</v>
      </c>
      <c r="CD282">
        <v>6850</v>
      </c>
      <c r="CE282" t="s">
        <v>88</v>
      </c>
      <c r="CI282">
        <v>2</v>
      </c>
      <c r="CJ282">
        <v>1</v>
      </c>
      <c r="CK282">
        <v>44</v>
      </c>
      <c r="CL282" t="s">
        <v>89</v>
      </c>
    </row>
    <row r="283" spans="1:90" ht="15" customHeight="1" x14ac:dyDescent="0.3">
      <c r="A283" t="s">
        <v>72</v>
      </c>
      <c r="B283" t="s">
        <v>73</v>
      </c>
      <c r="C283" t="s">
        <v>74</v>
      </c>
      <c r="E283" t="str">
        <f>"009943077399"</f>
        <v>009943077399</v>
      </c>
      <c r="F283" s="3">
        <v>44893</v>
      </c>
      <c r="G283">
        <v>202308</v>
      </c>
      <c r="H283" t="s">
        <v>75</v>
      </c>
      <c r="I283" t="s">
        <v>76</v>
      </c>
      <c r="J283" t="s">
        <v>286</v>
      </c>
      <c r="K283" t="s">
        <v>78</v>
      </c>
      <c r="L283" t="s">
        <v>864</v>
      </c>
      <c r="M283" t="s">
        <v>865</v>
      </c>
      <c r="N283" t="s">
        <v>168</v>
      </c>
      <c r="O283" t="s">
        <v>82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77.19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12.7</v>
      </c>
      <c r="BJ283">
        <v>5.6</v>
      </c>
      <c r="BK283">
        <v>13</v>
      </c>
      <c r="BL283">
        <v>201.19</v>
      </c>
      <c r="BM283">
        <v>30.18</v>
      </c>
      <c r="BN283">
        <v>231.37</v>
      </c>
      <c r="BO283">
        <v>231.37</v>
      </c>
      <c r="BQ283" t="s">
        <v>1059</v>
      </c>
      <c r="BR283" t="s">
        <v>1060</v>
      </c>
      <c r="BS283" s="3">
        <v>44894</v>
      </c>
      <c r="BT283" s="4">
        <v>0.6166666666666667</v>
      </c>
      <c r="BU283" t="s">
        <v>1061</v>
      </c>
      <c r="BV283" t="s">
        <v>85</v>
      </c>
      <c r="BY283">
        <v>27956.25</v>
      </c>
      <c r="BZ283" t="s">
        <v>86</v>
      </c>
      <c r="CA283" t="s">
        <v>1062</v>
      </c>
      <c r="CC283" t="s">
        <v>865</v>
      </c>
      <c r="CD283">
        <v>6600</v>
      </c>
      <c r="CE283" t="s">
        <v>88</v>
      </c>
      <c r="CI283">
        <v>2</v>
      </c>
      <c r="CJ283">
        <v>1</v>
      </c>
      <c r="CK283">
        <v>43</v>
      </c>
      <c r="CL283" t="s">
        <v>89</v>
      </c>
    </row>
    <row r="284" spans="1:90" ht="15" customHeight="1" x14ac:dyDescent="0.3">
      <c r="A284" t="s">
        <v>72</v>
      </c>
      <c r="B284" t="s">
        <v>73</v>
      </c>
      <c r="C284" t="s">
        <v>74</v>
      </c>
      <c r="E284" t="str">
        <f>"009942701279"</f>
        <v>009942701279</v>
      </c>
      <c r="F284" s="3">
        <v>44893</v>
      </c>
      <c r="G284">
        <v>202308</v>
      </c>
      <c r="H284" t="s">
        <v>108</v>
      </c>
      <c r="I284" t="s">
        <v>109</v>
      </c>
      <c r="J284" t="s">
        <v>110</v>
      </c>
      <c r="K284" t="s">
        <v>78</v>
      </c>
      <c r="L284" t="s">
        <v>125</v>
      </c>
      <c r="M284" t="s">
        <v>126</v>
      </c>
      <c r="N284" t="s">
        <v>1063</v>
      </c>
      <c r="O284" t="s">
        <v>96</v>
      </c>
      <c r="P284" t="str">
        <f>"PLZ 2110105052                "</f>
        <v xml:space="preserve">PLZ 2110105052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28.3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71.84</v>
      </c>
      <c r="BM284">
        <v>10.78</v>
      </c>
      <c r="BN284">
        <v>82.62</v>
      </c>
      <c r="BO284">
        <v>82.62</v>
      </c>
      <c r="BQ284" t="s">
        <v>1064</v>
      </c>
      <c r="BR284" t="s">
        <v>114</v>
      </c>
      <c r="BS284" s="3">
        <v>44894</v>
      </c>
      <c r="BT284" s="4">
        <v>0.52777777777777779</v>
      </c>
      <c r="BU284" t="s">
        <v>1065</v>
      </c>
      <c r="BV284" t="s">
        <v>89</v>
      </c>
      <c r="BW284" t="s">
        <v>130</v>
      </c>
      <c r="BX284" t="s">
        <v>131</v>
      </c>
      <c r="BY284">
        <v>1200</v>
      </c>
      <c r="BZ284" t="s">
        <v>101</v>
      </c>
      <c r="CA284" t="s">
        <v>132</v>
      </c>
      <c r="CC284" t="s">
        <v>126</v>
      </c>
      <c r="CD284">
        <v>5200</v>
      </c>
      <c r="CE284" t="s">
        <v>88</v>
      </c>
      <c r="CF284" s="3">
        <v>44894</v>
      </c>
      <c r="CI284">
        <v>1</v>
      </c>
      <c r="CJ284">
        <v>1</v>
      </c>
      <c r="CK284">
        <v>21</v>
      </c>
      <c r="CL284" t="s">
        <v>89</v>
      </c>
    </row>
    <row r="285" spans="1:90" ht="15" customHeight="1" x14ac:dyDescent="0.3">
      <c r="A285" t="s">
        <v>72</v>
      </c>
      <c r="B285" t="s">
        <v>73</v>
      </c>
      <c r="C285" t="s">
        <v>74</v>
      </c>
      <c r="E285" t="str">
        <f>"009942885541"</f>
        <v>009942885541</v>
      </c>
      <c r="F285" s="3">
        <v>44893</v>
      </c>
      <c r="G285">
        <v>202308</v>
      </c>
      <c r="H285" t="s">
        <v>111</v>
      </c>
      <c r="I285" t="s">
        <v>112</v>
      </c>
      <c r="J285" t="s">
        <v>94</v>
      </c>
      <c r="K285" t="s">
        <v>78</v>
      </c>
      <c r="L285" t="s">
        <v>108</v>
      </c>
      <c r="M285" t="s">
        <v>109</v>
      </c>
      <c r="N285" t="s">
        <v>110</v>
      </c>
      <c r="O285" t="s">
        <v>96</v>
      </c>
      <c r="P285" t="str">
        <f>"J31560                        "</f>
        <v xml:space="preserve">J31560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28.3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71.84</v>
      </c>
      <c r="BM285">
        <v>10.78</v>
      </c>
      <c r="BN285">
        <v>82.62</v>
      </c>
      <c r="BO285">
        <v>82.62</v>
      </c>
      <c r="BQ285" t="s">
        <v>114</v>
      </c>
      <c r="BR285" t="s">
        <v>113</v>
      </c>
      <c r="BS285" t="s">
        <v>93</v>
      </c>
      <c r="BY285">
        <v>1000</v>
      </c>
      <c r="BZ285" t="s">
        <v>101</v>
      </c>
      <c r="CC285" t="s">
        <v>109</v>
      </c>
      <c r="CD285">
        <v>6000</v>
      </c>
      <c r="CE285" t="s">
        <v>88</v>
      </c>
      <c r="CI285">
        <v>1</v>
      </c>
      <c r="CJ285" t="s">
        <v>93</v>
      </c>
      <c r="CK285">
        <v>21</v>
      </c>
      <c r="CL285" t="s">
        <v>89</v>
      </c>
    </row>
    <row r="286" spans="1:90" ht="15" customHeight="1" x14ac:dyDescent="0.3">
      <c r="A286" t="s">
        <v>72</v>
      </c>
      <c r="B286" t="s">
        <v>73</v>
      </c>
      <c r="C286" t="s">
        <v>74</v>
      </c>
      <c r="E286" t="str">
        <f>"009942899850"</f>
        <v>009942899850</v>
      </c>
      <c r="F286" s="3">
        <v>44893</v>
      </c>
      <c r="G286">
        <v>202308</v>
      </c>
      <c r="H286" t="s">
        <v>111</v>
      </c>
      <c r="I286" t="s">
        <v>112</v>
      </c>
      <c r="J286" t="s">
        <v>94</v>
      </c>
      <c r="K286" t="s">
        <v>78</v>
      </c>
      <c r="L286" t="s">
        <v>166</v>
      </c>
      <c r="M286" t="s">
        <v>167</v>
      </c>
      <c r="N286" t="s">
        <v>1066</v>
      </c>
      <c r="O286" t="s">
        <v>96</v>
      </c>
      <c r="P286" t="str">
        <f>"J29391                        "</f>
        <v xml:space="preserve">J29391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42.45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2.8</v>
      </c>
      <c r="BJ286">
        <v>0.7</v>
      </c>
      <c r="BK286">
        <v>3</v>
      </c>
      <c r="BL286">
        <v>107.75</v>
      </c>
      <c r="BM286">
        <v>16.16</v>
      </c>
      <c r="BN286">
        <v>123.91</v>
      </c>
      <c r="BO286">
        <v>123.91</v>
      </c>
      <c r="BQ286" t="s">
        <v>1067</v>
      </c>
      <c r="BR286" t="s">
        <v>221</v>
      </c>
      <c r="BS286" s="3">
        <v>44894</v>
      </c>
      <c r="BT286" s="4">
        <v>0.36388888888888887</v>
      </c>
      <c r="BU286" t="s">
        <v>1068</v>
      </c>
      <c r="BV286" t="s">
        <v>85</v>
      </c>
      <c r="BY286">
        <v>3490.11</v>
      </c>
      <c r="BZ286" t="s">
        <v>101</v>
      </c>
      <c r="CA286" t="s">
        <v>1069</v>
      </c>
      <c r="CC286" t="s">
        <v>167</v>
      </c>
      <c r="CD286">
        <v>127</v>
      </c>
      <c r="CE286" t="s">
        <v>88</v>
      </c>
      <c r="CF286" s="3">
        <v>44894</v>
      </c>
      <c r="CI286">
        <v>1</v>
      </c>
      <c r="CJ286">
        <v>1</v>
      </c>
      <c r="CK286">
        <v>21</v>
      </c>
      <c r="CL286" t="s">
        <v>89</v>
      </c>
    </row>
    <row r="287" spans="1:90" ht="15" customHeight="1" x14ac:dyDescent="0.3">
      <c r="A287" t="s">
        <v>72</v>
      </c>
      <c r="B287" t="s">
        <v>73</v>
      </c>
      <c r="C287" t="s">
        <v>74</v>
      </c>
      <c r="E287" t="str">
        <f>"009942899851"</f>
        <v>009942899851</v>
      </c>
      <c r="F287" s="3">
        <v>44893</v>
      </c>
      <c r="G287">
        <v>202308</v>
      </c>
      <c r="H287" t="s">
        <v>111</v>
      </c>
      <c r="I287" t="s">
        <v>112</v>
      </c>
      <c r="J287" t="s">
        <v>94</v>
      </c>
      <c r="K287" t="s">
        <v>78</v>
      </c>
      <c r="L287" t="s">
        <v>111</v>
      </c>
      <c r="M287" t="s">
        <v>112</v>
      </c>
      <c r="N287" t="s">
        <v>1070</v>
      </c>
      <c r="O287" t="s">
        <v>96</v>
      </c>
      <c r="P287" t="str">
        <f>"J29375                        "</f>
        <v xml:space="preserve">J29375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22.11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1.3</v>
      </c>
      <c r="BK287">
        <v>1.5</v>
      </c>
      <c r="BL287">
        <v>56.12</v>
      </c>
      <c r="BM287">
        <v>8.42</v>
      </c>
      <c r="BN287">
        <v>64.540000000000006</v>
      </c>
      <c r="BO287">
        <v>64.540000000000006</v>
      </c>
      <c r="BQ287" t="s">
        <v>1071</v>
      </c>
      <c r="BR287" t="s">
        <v>221</v>
      </c>
      <c r="BS287" s="3">
        <v>44894</v>
      </c>
      <c r="BT287" s="4">
        <v>0.36527777777777781</v>
      </c>
      <c r="BU287" t="s">
        <v>1072</v>
      </c>
      <c r="BV287" t="s">
        <v>85</v>
      </c>
      <c r="BY287">
        <v>6448.21</v>
      </c>
      <c r="BZ287" t="s">
        <v>101</v>
      </c>
      <c r="CA287" t="s">
        <v>372</v>
      </c>
      <c r="CC287" t="s">
        <v>112</v>
      </c>
      <c r="CD287">
        <v>1609</v>
      </c>
      <c r="CE287" t="s">
        <v>88</v>
      </c>
      <c r="CF287" s="3">
        <v>44894</v>
      </c>
      <c r="CI287">
        <v>1</v>
      </c>
      <c r="CJ287">
        <v>1</v>
      </c>
      <c r="CK287">
        <v>22</v>
      </c>
      <c r="CL287" t="s">
        <v>89</v>
      </c>
    </row>
    <row r="288" spans="1:90" ht="15" customHeight="1" x14ac:dyDescent="0.3">
      <c r="A288" t="s">
        <v>72</v>
      </c>
      <c r="B288" t="s">
        <v>73</v>
      </c>
      <c r="C288" t="s">
        <v>74</v>
      </c>
      <c r="E288" t="str">
        <f>"009942899855"</f>
        <v>009942899855</v>
      </c>
      <c r="F288" s="3">
        <v>44893</v>
      </c>
      <c r="G288">
        <v>202308</v>
      </c>
      <c r="H288" t="s">
        <v>111</v>
      </c>
      <c r="I288" t="s">
        <v>112</v>
      </c>
      <c r="J288" t="s">
        <v>94</v>
      </c>
      <c r="K288" t="s">
        <v>78</v>
      </c>
      <c r="L288" t="s">
        <v>200</v>
      </c>
      <c r="M288" t="s">
        <v>201</v>
      </c>
      <c r="N288" t="s">
        <v>1073</v>
      </c>
      <c r="O288" t="s">
        <v>96</v>
      </c>
      <c r="P288" t="str">
        <f>"J29218                        "</f>
        <v xml:space="preserve">J29218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22.11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1.3</v>
      </c>
      <c r="BJ288">
        <v>1.3</v>
      </c>
      <c r="BK288">
        <v>1.5</v>
      </c>
      <c r="BL288">
        <v>56.12</v>
      </c>
      <c r="BM288">
        <v>8.42</v>
      </c>
      <c r="BN288">
        <v>64.540000000000006</v>
      </c>
      <c r="BO288">
        <v>64.540000000000006</v>
      </c>
      <c r="BQ288" t="s">
        <v>1074</v>
      </c>
      <c r="BR288" t="s">
        <v>221</v>
      </c>
      <c r="BS288" t="s">
        <v>93</v>
      </c>
      <c r="BW288" t="s">
        <v>99</v>
      </c>
      <c r="BX288" t="s">
        <v>555</v>
      </c>
      <c r="BY288">
        <v>6563.97</v>
      </c>
      <c r="BZ288" t="s">
        <v>101</v>
      </c>
      <c r="CC288" t="s">
        <v>201</v>
      </c>
      <c r="CD288">
        <v>1422</v>
      </c>
      <c r="CE288" t="s">
        <v>88</v>
      </c>
      <c r="CI288">
        <v>1</v>
      </c>
      <c r="CJ288" t="s">
        <v>93</v>
      </c>
      <c r="CK288">
        <v>22</v>
      </c>
      <c r="CL288" t="s">
        <v>89</v>
      </c>
    </row>
    <row r="289" spans="1:90" ht="15" customHeight="1" x14ac:dyDescent="0.3">
      <c r="A289" t="s">
        <v>72</v>
      </c>
      <c r="B289" t="s">
        <v>73</v>
      </c>
      <c r="C289" t="s">
        <v>74</v>
      </c>
      <c r="E289" t="str">
        <f>"009942899854"</f>
        <v>009942899854</v>
      </c>
      <c r="F289" s="3">
        <v>44893</v>
      </c>
      <c r="G289">
        <v>202308</v>
      </c>
      <c r="H289" t="s">
        <v>111</v>
      </c>
      <c r="I289" t="s">
        <v>112</v>
      </c>
      <c r="J289" t="s">
        <v>94</v>
      </c>
      <c r="K289" t="s">
        <v>78</v>
      </c>
      <c r="L289" t="s">
        <v>79</v>
      </c>
      <c r="M289" t="s">
        <v>80</v>
      </c>
      <c r="N289" t="s">
        <v>614</v>
      </c>
      <c r="O289" t="s">
        <v>96</v>
      </c>
      <c r="P289" t="str">
        <f>"J29149                        "</f>
        <v xml:space="preserve">J29149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32.71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9.6</v>
      </c>
      <c r="BK289">
        <v>10</v>
      </c>
      <c r="BL289">
        <v>83.04</v>
      </c>
      <c r="BM289">
        <v>12.46</v>
      </c>
      <c r="BN289">
        <v>95.5</v>
      </c>
      <c r="BO289">
        <v>95.5</v>
      </c>
      <c r="BQ289" t="s">
        <v>615</v>
      </c>
      <c r="BR289" t="s">
        <v>221</v>
      </c>
      <c r="BS289" s="3">
        <v>44894</v>
      </c>
      <c r="BT289" s="4">
        <v>0.42430555555555555</v>
      </c>
      <c r="BU289" t="s">
        <v>1075</v>
      </c>
      <c r="BV289" t="s">
        <v>85</v>
      </c>
      <c r="BY289">
        <v>48000</v>
      </c>
      <c r="BZ289" t="s">
        <v>101</v>
      </c>
      <c r="CA289" t="s">
        <v>296</v>
      </c>
      <c r="CC289" t="s">
        <v>80</v>
      </c>
      <c r="CD289">
        <v>2091</v>
      </c>
      <c r="CE289" t="s">
        <v>88</v>
      </c>
      <c r="CF289" s="3">
        <v>44894</v>
      </c>
      <c r="CI289">
        <v>1</v>
      </c>
      <c r="CJ289">
        <v>1</v>
      </c>
      <c r="CK289">
        <v>22</v>
      </c>
      <c r="CL289" t="s">
        <v>89</v>
      </c>
    </row>
    <row r="290" spans="1:90" ht="15" customHeight="1" x14ac:dyDescent="0.3">
      <c r="A290" t="s">
        <v>72</v>
      </c>
      <c r="B290" t="s">
        <v>73</v>
      </c>
      <c r="C290" t="s">
        <v>74</v>
      </c>
      <c r="E290" t="str">
        <f>"009942899852"</f>
        <v>009942899852</v>
      </c>
      <c r="F290" s="3">
        <v>44893</v>
      </c>
      <c r="G290">
        <v>202308</v>
      </c>
      <c r="H290" t="s">
        <v>111</v>
      </c>
      <c r="I290" t="s">
        <v>112</v>
      </c>
      <c r="J290" t="s">
        <v>94</v>
      </c>
      <c r="K290" t="s">
        <v>78</v>
      </c>
      <c r="L290" t="s">
        <v>111</v>
      </c>
      <c r="M290" t="s">
        <v>112</v>
      </c>
      <c r="N290" t="s">
        <v>1076</v>
      </c>
      <c r="O290" t="s">
        <v>96</v>
      </c>
      <c r="P290" t="str">
        <f>"J28407 J29267                 "</f>
        <v xml:space="preserve">J28407 J29267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22.11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3</v>
      </c>
      <c r="BJ290">
        <v>4.8</v>
      </c>
      <c r="BK290">
        <v>5</v>
      </c>
      <c r="BL290">
        <v>56.12</v>
      </c>
      <c r="BM290">
        <v>8.42</v>
      </c>
      <c r="BN290">
        <v>64.540000000000006</v>
      </c>
      <c r="BO290">
        <v>64.540000000000006</v>
      </c>
      <c r="BQ290" t="s">
        <v>1077</v>
      </c>
      <c r="BR290" t="s">
        <v>221</v>
      </c>
      <c r="BS290" s="3">
        <v>44894</v>
      </c>
      <c r="BT290" s="4">
        <v>0.39097222222222222</v>
      </c>
      <c r="BU290" t="s">
        <v>1078</v>
      </c>
      <c r="BV290" t="s">
        <v>85</v>
      </c>
      <c r="BY290">
        <v>24000</v>
      </c>
      <c r="BZ290" t="s">
        <v>101</v>
      </c>
      <c r="CA290" t="s">
        <v>1079</v>
      </c>
      <c r="CC290" t="s">
        <v>112</v>
      </c>
      <c r="CD290">
        <v>1668</v>
      </c>
      <c r="CE290" t="s">
        <v>88</v>
      </c>
      <c r="CF290" s="3">
        <v>44895</v>
      </c>
      <c r="CI290">
        <v>1</v>
      </c>
      <c r="CJ290">
        <v>1</v>
      </c>
      <c r="CK290">
        <v>22</v>
      </c>
      <c r="CL290" t="s">
        <v>89</v>
      </c>
    </row>
    <row r="291" spans="1:90" ht="15" customHeight="1" x14ac:dyDescent="0.3">
      <c r="A291" t="s">
        <v>72</v>
      </c>
      <c r="B291" t="s">
        <v>73</v>
      </c>
      <c r="C291" t="s">
        <v>74</v>
      </c>
      <c r="E291" t="str">
        <f>"009942899853"</f>
        <v>009942899853</v>
      </c>
      <c r="F291" s="3">
        <v>44893</v>
      </c>
      <c r="G291">
        <v>202308</v>
      </c>
      <c r="H291" t="s">
        <v>111</v>
      </c>
      <c r="I291" t="s">
        <v>112</v>
      </c>
      <c r="J291" t="s">
        <v>94</v>
      </c>
      <c r="K291" t="s">
        <v>78</v>
      </c>
      <c r="L291" t="s">
        <v>240</v>
      </c>
      <c r="M291" t="s">
        <v>241</v>
      </c>
      <c r="N291" t="s">
        <v>242</v>
      </c>
      <c r="O291" t="s">
        <v>96</v>
      </c>
      <c r="P291" t="str">
        <f>"J29007 J29366                 "</f>
        <v xml:space="preserve">J29007 J29366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107.65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5.3</v>
      </c>
      <c r="BK291">
        <v>5.5</v>
      </c>
      <c r="BL291">
        <v>273.26</v>
      </c>
      <c r="BM291">
        <v>40.99</v>
      </c>
      <c r="BN291">
        <v>314.25</v>
      </c>
      <c r="BO291">
        <v>314.25</v>
      </c>
      <c r="BQ291" t="s">
        <v>243</v>
      </c>
      <c r="BR291" t="s">
        <v>221</v>
      </c>
      <c r="BS291" s="3">
        <v>44894</v>
      </c>
      <c r="BT291" s="4">
        <v>0.78472222222222221</v>
      </c>
      <c r="BU291" t="s">
        <v>1080</v>
      </c>
      <c r="BV291" t="s">
        <v>89</v>
      </c>
      <c r="BW291" t="s">
        <v>99</v>
      </c>
      <c r="BX291" t="s">
        <v>223</v>
      </c>
      <c r="BY291">
        <v>26400</v>
      </c>
      <c r="BZ291" t="s">
        <v>101</v>
      </c>
      <c r="CA291" t="s">
        <v>245</v>
      </c>
      <c r="CC291" t="s">
        <v>241</v>
      </c>
      <c r="CD291">
        <v>1739</v>
      </c>
      <c r="CE291" t="s">
        <v>88</v>
      </c>
      <c r="CF291" s="3">
        <v>44895</v>
      </c>
      <c r="CI291">
        <v>1</v>
      </c>
      <c r="CJ291">
        <v>1</v>
      </c>
      <c r="CK291">
        <v>24</v>
      </c>
      <c r="CL291" t="s">
        <v>89</v>
      </c>
    </row>
    <row r="292" spans="1:90" ht="15" customHeight="1" x14ac:dyDescent="0.3">
      <c r="A292" t="s">
        <v>72</v>
      </c>
      <c r="B292" t="s">
        <v>73</v>
      </c>
      <c r="C292" t="s">
        <v>74</v>
      </c>
      <c r="E292" t="str">
        <f>"009942899849"</f>
        <v>009942899849</v>
      </c>
      <c r="F292" s="3">
        <v>44893</v>
      </c>
      <c r="G292">
        <v>202308</v>
      </c>
      <c r="H292" t="s">
        <v>111</v>
      </c>
      <c r="I292" t="s">
        <v>112</v>
      </c>
      <c r="J292" t="s">
        <v>94</v>
      </c>
      <c r="K292" t="s">
        <v>78</v>
      </c>
      <c r="L292" t="s">
        <v>75</v>
      </c>
      <c r="M292" t="s">
        <v>76</v>
      </c>
      <c r="N292" t="s">
        <v>610</v>
      </c>
      <c r="O292" t="s">
        <v>96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42.45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</v>
      </c>
      <c r="BJ292">
        <v>1.2</v>
      </c>
      <c r="BK292">
        <v>3</v>
      </c>
      <c r="BL292">
        <v>107.75</v>
      </c>
      <c r="BM292">
        <v>16.16</v>
      </c>
      <c r="BN292">
        <v>123.91</v>
      </c>
      <c r="BO292">
        <v>123.91</v>
      </c>
      <c r="BQ292" t="s">
        <v>258</v>
      </c>
      <c r="BR292" t="s">
        <v>221</v>
      </c>
      <c r="BS292" t="s">
        <v>93</v>
      </c>
      <c r="BY292">
        <v>6000</v>
      </c>
      <c r="BZ292" t="s">
        <v>101</v>
      </c>
      <c r="CC292" t="s">
        <v>76</v>
      </c>
      <c r="CD292">
        <v>7530</v>
      </c>
      <c r="CE292" t="s">
        <v>88</v>
      </c>
      <c r="CI292">
        <v>1</v>
      </c>
      <c r="CJ292" t="s">
        <v>93</v>
      </c>
      <c r="CK292">
        <v>21</v>
      </c>
      <c r="CL292" t="s">
        <v>89</v>
      </c>
    </row>
    <row r="293" spans="1:90" ht="15" customHeight="1" x14ac:dyDescent="0.3">
      <c r="A293" t="s">
        <v>72</v>
      </c>
      <c r="B293" t="s">
        <v>73</v>
      </c>
      <c r="C293" t="s">
        <v>74</v>
      </c>
      <c r="E293" t="str">
        <f>"009943061795"</f>
        <v>009943061795</v>
      </c>
      <c r="F293" s="3">
        <v>44894</v>
      </c>
      <c r="G293">
        <v>202308</v>
      </c>
      <c r="H293" t="s">
        <v>75</v>
      </c>
      <c r="I293" t="s">
        <v>76</v>
      </c>
      <c r="J293" t="s">
        <v>77</v>
      </c>
      <c r="K293" t="s">
        <v>78</v>
      </c>
      <c r="L293" t="s">
        <v>578</v>
      </c>
      <c r="M293" t="s">
        <v>579</v>
      </c>
      <c r="N293" t="s">
        <v>1081</v>
      </c>
      <c r="O293" t="s">
        <v>82</v>
      </c>
      <c r="P293" t="str">
        <f>"INV18883                      "</f>
        <v xml:space="preserve">INV18883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77.19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0.8</v>
      </c>
      <c r="BK293">
        <v>1</v>
      </c>
      <c r="BL293">
        <v>201.19</v>
      </c>
      <c r="BM293">
        <v>30.18</v>
      </c>
      <c r="BN293">
        <v>231.37</v>
      </c>
      <c r="BO293">
        <v>231.37</v>
      </c>
      <c r="BQ293" t="s">
        <v>1082</v>
      </c>
      <c r="BR293" t="s">
        <v>83</v>
      </c>
      <c r="BS293" t="s">
        <v>93</v>
      </c>
      <c r="BY293">
        <v>3831.8</v>
      </c>
      <c r="BZ293" t="s">
        <v>86</v>
      </c>
      <c r="CC293" t="s">
        <v>579</v>
      </c>
      <c r="CD293">
        <v>300</v>
      </c>
      <c r="CE293" t="s">
        <v>88</v>
      </c>
      <c r="CI293">
        <v>3</v>
      </c>
      <c r="CJ293" t="s">
        <v>93</v>
      </c>
      <c r="CK293">
        <v>43</v>
      </c>
      <c r="CL293" t="s">
        <v>89</v>
      </c>
    </row>
    <row r="294" spans="1:90" ht="15" customHeight="1" x14ac:dyDescent="0.3">
      <c r="A294" t="s">
        <v>72</v>
      </c>
      <c r="B294" t="s">
        <v>73</v>
      </c>
      <c r="C294" t="s">
        <v>74</v>
      </c>
      <c r="E294" t="str">
        <f>"009943061798"</f>
        <v>009943061798</v>
      </c>
      <c r="F294" s="3">
        <v>44894</v>
      </c>
      <c r="G294">
        <v>202308</v>
      </c>
      <c r="H294" t="s">
        <v>75</v>
      </c>
      <c r="I294" t="s">
        <v>76</v>
      </c>
      <c r="J294" t="s">
        <v>77</v>
      </c>
      <c r="K294" t="s">
        <v>78</v>
      </c>
      <c r="L294" t="s">
        <v>166</v>
      </c>
      <c r="M294" t="s">
        <v>167</v>
      </c>
      <c r="N294" t="s">
        <v>168</v>
      </c>
      <c r="O294" t="s">
        <v>96</v>
      </c>
      <c r="P294" t="str">
        <f>"INV18887                      "</f>
        <v xml:space="preserve">INV18887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28.3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0.7</v>
      </c>
      <c r="BK294">
        <v>1</v>
      </c>
      <c r="BL294">
        <v>71.84</v>
      </c>
      <c r="BM294">
        <v>10.78</v>
      </c>
      <c r="BN294">
        <v>82.62</v>
      </c>
      <c r="BO294">
        <v>82.62</v>
      </c>
      <c r="BQ294" t="s">
        <v>1083</v>
      </c>
      <c r="BR294" t="s">
        <v>83</v>
      </c>
      <c r="BS294" s="3">
        <v>44895</v>
      </c>
      <c r="BT294" s="4">
        <v>0.4152777777777778</v>
      </c>
      <c r="BU294" t="s">
        <v>1084</v>
      </c>
      <c r="BV294" t="s">
        <v>85</v>
      </c>
      <c r="BY294">
        <v>3312.08</v>
      </c>
      <c r="BZ294" t="s">
        <v>101</v>
      </c>
      <c r="CA294" t="s">
        <v>171</v>
      </c>
      <c r="CC294" t="s">
        <v>167</v>
      </c>
      <c r="CD294">
        <v>1</v>
      </c>
      <c r="CE294" t="s">
        <v>88</v>
      </c>
      <c r="CI294">
        <v>1</v>
      </c>
      <c r="CJ294">
        <v>1</v>
      </c>
      <c r="CK294">
        <v>21</v>
      </c>
      <c r="CL294" t="s">
        <v>89</v>
      </c>
    </row>
    <row r="295" spans="1:90" ht="15" customHeight="1" x14ac:dyDescent="0.3">
      <c r="A295" t="s">
        <v>72</v>
      </c>
      <c r="B295" t="s">
        <v>73</v>
      </c>
      <c r="C295" t="s">
        <v>74</v>
      </c>
      <c r="E295" t="str">
        <f>"009943061797"</f>
        <v>009943061797</v>
      </c>
      <c r="F295" s="3">
        <v>44894</v>
      </c>
      <c r="G295">
        <v>202308</v>
      </c>
      <c r="H295" t="s">
        <v>75</v>
      </c>
      <c r="I295" t="s">
        <v>76</v>
      </c>
      <c r="J295" t="s">
        <v>77</v>
      </c>
      <c r="K295" t="s">
        <v>78</v>
      </c>
      <c r="L295" t="s">
        <v>79</v>
      </c>
      <c r="M295" t="s">
        <v>80</v>
      </c>
      <c r="N295" t="s">
        <v>168</v>
      </c>
      <c r="O295" t="s">
        <v>96</v>
      </c>
      <c r="P295" t="str">
        <f>"INV18889                      "</f>
        <v xml:space="preserve">INV18889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28.3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0.6</v>
      </c>
      <c r="BK295">
        <v>1</v>
      </c>
      <c r="BL295">
        <v>71.84</v>
      </c>
      <c r="BM295">
        <v>10.78</v>
      </c>
      <c r="BN295">
        <v>82.62</v>
      </c>
      <c r="BO295">
        <v>82.62</v>
      </c>
      <c r="BQ295" t="s">
        <v>1085</v>
      </c>
      <c r="BR295" t="s">
        <v>83</v>
      </c>
      <c r="BS295" t="s">
        <v>93</v>
      </c>
      <c r="BY295">
        <v>3043.04</v>
      </c>
      <c r="BZ295" t="s">
        <v>101</v>
      </c>
      <c r="CC295" t="s">
        <v>80</v>
      </c>
      <c r="CD295">
        <v>2000</v>
      </c>
      <c r="CE295" t="s">
        <v>88</v>
      </c>
      <c r="CI295">
        <v>1</v>
      </c>
      <c r="CJ295" t="s">
        <v>93</v>
      </c>
      <c r="CK295">
        <v>21</v>
      </c>
      <c r="CL295" t="s">
        <v>89</v>
      </c>
    </row>
    <row r="296" spans="1:90" ht="15" customHeight="1" x14ac:dyDescent="0.3">
      <c r="A296" t="s">
        <v>72</v>
      </c>
      <c r="B296" t="s">
        <v>73</v>
      </c>
      <c r="C296" t="s">
        <v>74</v>
      </c>
      <c r="E296" t="str">
        <f>"009942701265"</f>
        <v>009942701265</v>
      </c>
      <c r="F296" s="3">
        <v>44894</v>
      </c>
      <c r="G296">
        <v>202308</v>
      </c>
      <c r="H296" t="s">
        <v>108</v>
      </c>
      <c r="I296" t="s">
        <v>109</v>
      </c>
      <c r="J296" t="s">
        <v>110</v>
      </c>
      <c r="K296" t="s">
        <v>78</v>
      </c>
      <c r="L296" t="s">
        <v>111</v>
      </c>
      <c r="M296" t="s">
        <v>112</v>
      </c>
      <c r="N296" t="s">
        <v>94</v>
      </c>
      <c r="O296" t="s">
        <v>96</v>
      </c>
      <c r="P296" t="str">
        <f>"                              "</f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28.3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71.84</v>
      </c>
      <c r="BM296">
        <v>10.78</v>
      </c>
      <c r="BN296">
        <v>82.62</v>
      </c>
      <c r="BO296">
        <v>82.62</v>
      </c>
      <c r="BQ296" t="s">
        <v>113</v>
      </c>
      <c r="BR296" t="s">
        <v>114</v>
      </c>
      <c r="BS296" t="s">
        <v>93</v>
      </c>
      <c r="BY296">
        <v>1200</v>
      </c>
      <c r="BZ296" t="s">
        <v>101</v>
      </c>
      <c r="CC296" t="s">
        <v>112</v>
      </c>
      <c r="CD296">
        <v>1620</v>
      </c>
      <c r="CE296" t="s">
        <v>88</v>
      </c>
      <c r="CI296">
        <v>1</v>
      </c>
      <c r="CJ296" t="s">
        <v>93</v>
      </c>
      <c r="CK296">
        <v>21</v>
      </c>
      <c r="CL296" t="s">
        <v>89</v>
      </c>
    </row>
    <row r="297" spans="1:90" ht="15" customHeight="1" x14ac:dyDescent="0.3">
      <c r="A297" t="s">
        <v>72</v>
      </c>
      <c r="B297" t="s">
        <v>73</v>
      </c>
      <c r="C297" t="s">
        <v>74</v>
      </c>
      <c r="E297" t="str">
        <f>"009942701340"</f>
        <v>009942701340</v>
      </c>
      <c r="F297" s="3">
        <v>44894</v>
      </c>
      <c r="G297">
        <v>202308</v>
      </c>
      <c r="H297" t="s">
        <v>108</v>
      </c>
      <c r="I297" t="s">
        <v>109</v>
      </c>
      <c r="J297" t="s">
        <v>110</v>
      </c>
      <c r="K297" t="s">
        <v>78</v>
      </c>
      <c r="L297" t="s">
        <v>75</v>
      </c>
      <c r="M297" t="s">
        <v>76</v>
      </c>
      <c r="N297" t="s">
        <v>584</v>
      </c>
      <c r="O297" t="s">
        <v>96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28.3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71.84</v>
      </c>
      <c r="BM297">
        <v>10.78</v>
      </c>
      <c r="BN297">
        <v>82.62</v>
      </c>
      <c r="BO297">
        <v>82.62</v>
      </c>
      <c r="BQ297" t="s">
        <v>585</v>
      </c>
      <c r="BR297" t="s">
        <v>114</v>
      </c>
      <c r="BS297" t="s">
        <v>93</v>
      </c>
      <c r="BY297">
        <v>1200</v>
      </c>
      <c r="BZ297" t="s">
        <v>101</v>
      </c>
      <c r="CC297" t="s">
        <v>76</v>
      </c>
      <c r="CD297">
        <v>7530</v>
      </c>
      <c r="CE297" t="s">
        <v>88</v>
      </c>
      <c r="CI297">
        <v>1</v>
      </c>
      <c r="CJ297" t="s">
        <v>93</v>
      </c>
      <c r="CK297">
        <v>21</v>
      </c>
      <c r="CL297" t="s">
        <v>89</v>
      </c>
    </row>
    <row r="298" spans="1:90" ht="15" customHeight="1" x14ac:dyDescent="0.3">
      <c r="A298" t="s">
        <v>72</v>
      </c>
      <c r="B298" t="s">
        <v>73</v>
      </c>
      <c r="C298" t="s">
        <v>74</v>
      </c>
      <c r="E298" t="str">
        <f>"009942701341"</f>
        <v>009942701341</v>
      </c>
      <c r="F298" s="3">
        <v>44894</v>
      </c>
      <c r="G298">
        <v>202308</v>
      </c>
      <c r="H298" t="s">
        <v>108</v>
      </c>
      <c r="I298" t="s">
        <v>109</v>
      </c>
      <c r="J298" t="s">
        <v>110</v>
      </c>
      <c r="K298" t="s">
        <v>78</v>
      </c>
      <c r="L298" t="s">
        <v>75</v>
      </c>
      <c r="M298" t="s">
        <v>76</v>
      </c>
      <c r="N298" t="s">
        <v>584</v>
      </c>
      <c r="O298" t="s">
        <v>96</v>
      </c>
      <c r="P298" t="str">
        <f>"                              "</f>
        <v xml:space="preserve"> 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28.3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71.84</v>
      </c>
      <c r="BM298">
        <v>10.78</v>
      </c>
      <c r="BN298">
        <v>82.62</v>
      </c>
      <c r="BO298">
        <v>82.62</v>
      </c>
      <c r="BQ298" t="s">
        <v>585</v>
      </c>
      <c r="BR298" t="s">
        <v>114</v>
      </c>
      <c r="BS298" t="s">
        <v>93</v>
      </c>
      <c r="BY298">
        <v>1200</v>
      </c>
      <c r="BZ298" t="s">
        <v>101</v>
      </c>
      <c r="CC298" t="s">
        <v>76</v>
      </c>
      <c r="CD298">
        <v>7530</v>
      </c>
      <c r="CE298" t="s">
        <v>88</v>
      </c>
      <c r="CI298">
        <v>1</v>
      </c>
      <c r="CJ298" t="s">
        <v>93</v>
      </c>
      <c r="CK298">
        <v>21</v>
      </c>
      <c r="CL298" t="s">
        <v>89</v>
      </c>
    </row>
    <row r="299" spans="1:90" ht="15" customHeight="1" x14ac:dyDescent="0.3">
      <c r="A299" t="s">
        <v>72</v>
      </c>
      <c r="B299" t="s">
        <v>73</v>
      </c>
      <c r="C299" t="s">
        <v>74</v>
      </c>
      <c r="E299" t="str">
        <f>"009942837116"</f>
        <v>009942837116</v>
      </c>
      <c r="F299" s="3">
        <v>44894</v>
      </c>
      <c r="G299">
        <v>202308</v>
      </c>
      <c r="H299" t="s">
        <v>117</v>
      </c>
      <c r="I299" t="s">
        <v>118</v>
      </c>
      <c r="J299" t="s">
        <v>94</v>
      </c>
      <c r="K299" t="s">
        <v>78</v>
      </c>
      <c r="L299" t="s">
        <v>108</v>
      </c>
      <c r="M299" t="s">
        <v>109</v>
      </c>
      <c r="N299" t="s">
        <v>94</v>
      </c>
      <c r="O299" t="s">
        <v>96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28.3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1.3</v>
      </c>
      <c r="BK299">
        <v>1.5</v>
      </c>
      <c r="BL299">
        <v>71.84</v>
      </c>
      <c r="BM299">
        <v>10.78</v>
      </c>
      <c r="BN299">
        <v>82.62</v>
      </c>
      <c r="BO299">
        <v>82.62</v>
      </c>
      <c r="BQ299" t="s">
        <v>114</v>
      </c>
      <c r="BR299" t="s">
        <v>722</v>
      </c>
      <c r="BS299" t="s">
        <v>93</v>
      </c>
      <c r="BY299">
        <v>6656</v>
      </c>
      <c r="BZ299" t="s">
        <v>101</v>
      </c>
      <c r="CC299" t="s">
        <v>109</v>
      </c>
      <c r="CD299">
        <v>6070</v>
      </c>
      <c r="CE299" t="s">
        <v>88</v>
      </c>
      <c r="CI299">
        <v>1</v>
      </c>
      <c r="CJ299" t="s">
        <v>93</v>
      </c>
      <c r="CK299">
        <v>21</v>
      </c>
      <c r="CL299" t="s">
        <v>89</v>
      </c>
    </row>
    <row r="300" spans="1:90" ht="15" customHeight="1" x14ac:dyDescent="0.3">
      <c r="A300" t="s">
        <v>72</v>
      </c>
      <c r="B300" t="s">
        <v>73</v>
      </c>
      <c r="C300" t="s">
        <v>74</v>
      </c>
      <c r="E300" t="str">
        <f>"009942899861"</f>
        <v>009942899861</v>
      </c>
      <c r="F300" s="3">
        <v>44889</v>
      </c>
      <c r="G300">
        <v>202308</v>
      </c>
      <c r="H300" t="s">
        <v>111</v>
      </c>
      <c r="I300" t="s">
        <v>112</v>
      </c>
      <c r="J300" t="s">
        <v>94</v>
      </c>
      <c r="K300" t="s">
        <v>78</v>
      </c>
      <c r="L300" t="s">
        <v>166</v>
      </c>
      <c r="M300" t="s">
        <v>167</v>
      </c>
      <c r="N300" t="s">
        <v>1086</v>
      </c>
      <c r="O300" t="s">
        <v>96</v>
      </c>
      <c r="P300" t="str">
        <f>"J29148                        "</f>
        <v xml:space="preserve">J29148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35.369999999999997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2.2999999999999998</v>
      </c>
      <c r="BJ300">
        <v>2.1</v>
      </c>
      <c r="BK300">
        <v>2.5</v>
      </c>
      <c r="BL300">
        <v>89.79</v>
      </c>
      <c r="BM300">
        <v>13.47</v>
      </c>
      <c r="BN300">
        <v>103.26</v>
      </c>
      <c r="BO300">
        <v>103.26</v>
      </c>
      <c r="BQ300" t="s">
        <v>1087</v>
      </c>
      <c r="BR300" t="s">
        <v>113</v>
      </c>
      <c r="BS300" s="3">
        <v>44890</v>
      </c>
      <c r="BT300" s="4">
        <v>0.36805555555555558</v>
      </c>
      <c r="BU300" t="s">
        <v>1088</v>
      </c>
      <c r="BV300" t="s">
        <v>85</v>
      </c>
      <c r="BY300">
        <v>10591.92</v>
      </c>
      <c r="BZ300" t="s">
        <v>101</v>
      </c>
      <c r="CA300" t="s">
        <v>1089</v>
      </c>
      <c r="CC300" t="s">
        <v>167</v>
      </c>
      <c r="CD300">
        <v>200</v>
      </c>
      <c r="CE300" t="s">
        <v>88</v>
      </c>
      <c r="CF300" s="3">
        <v>44890</v>
      </c>
      <c r="CI300">
        <v>1</v>
      </c>
      <c r="CJ300">
        <v>1</v>
      </c>
      <c r="CK300">
        <v>21</v>
      </c>
      <c r="CL300" t="s">
        <v>89</v>
      </c>
    </row>
    <row r="301" spans="1:90" ht="15" customHeight="1" x14ac:dyDescent="0.3">
      <c r="A301" t="s">
        <v>72</v>
      </c>
      <c r="B301" t="s">
        <v>73</v>
      </c>
      <c r="C301" t="s">
        <v>74</v>
      </c>
      <c r="E301" t="str">
        <f>"009943061767"</f>
        <v>009943061767</v>
      </c>
      <c r="F301" s="3">
        <v>44889</v>
      </c>
      <c r="G301">
        <v>202308</v>
      </c>
      <c r="H301" t="s">
        <v>75</v>
      </c>
      <c r="I301" t="s">
        <v>76</v>
      </c>
      <c r="J301" t="s">
        <v>77</v>
      </c>
      <c r="K301" t="s">
        <v>78</v>
      </c>
      <c r="L301" t="s">
        <v>166</v>
      </c>
      <c r="M301" t="s">
        <v>167</v>
      </c>
      <c r="N301" t="s">
        <v>1090</v>
      </c>
      <c r="O301" t="s">
        <v>96</v>
      </c>
      <c r="P301" t="str">
        <f>"188592                        "</f>
        <v xml:space="preserve">188592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169.74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2.7</v>
      </c>
      <c r="BJ301">
        <v>11.7</v>
      </c>
      <c r="BK301">
        <v>12</v>
      </c>
      <c r="BL301">
        <v>430.88</v>
      </c>
      <c r="BM301">
        <v>64.63</v>
      </c>
      <c r="BN301">
        <v>495.51</v>
      </c>
      <c r="BO301">
        <v>495.51</v>
      </c>
      <c r="BR301" t="s">
        <v>83</v>
      </c>
      <c r="BS301" s="3">
        <v>44890</v>
      </c>
      <c r="BT301" s="4">
        <v>0.36527777777777781</v>
      </c>
      <c r="BU301" t="s">
        <v>1091</v>
      </c>
      <c r="BV301" t="s">
        <v>85</v>
      </c>
      <c r="BY301">
        <v>58521.599999999999</v>
      </c>
      <c r="BZ301" t="s">
        <v>101</v>
      </c>
      <c r="CA301" t="s">
        <v>1049</v>
      </c>
      <c r="CC301" t="s">
        <v>167</v>
      </c>
      <c r="CD301">
        <v>1</v>
      </c>
      <c r="CE301" t="s">
        <v>88</v>
      </c>
      <c r="CF301" s="3">
        <v>44893</v>
      </c>
      <c r="CI301">
        <v>1</v>
      </c>
      <c r="CJ301">
        <v>1</v>
      </c>
      <c r="CK301">
        <v>21</v>
      </c>
      <c r="CL301" t="s">
        <v>89</v>
      </c>
    </row>
    <row r="302" spans="1:90" ht="15" customHeight="1" x14ac:dyDescent="0.3">
      <c r="A302" t="s">
        <v>72</v>
      </c>
      <c r="B302" t="s">
        <v>73</v>
      </c>
      <c r="C302" t="s">
        <v>74</v>
      </c>
      <c r="E302" t="str">
        <f>"009943061758"</f>
        <v>009943061758</v>
      </c>
      <c r="F302" s="3">
        <v>44889</v>
      </c>
      <c r="G302">
        <v>202308</v>
      </c>
      <c r="H302" t="s">
        <v>75</v>
      </c>
      <c r="I302" t="s">
        <v>76</v>
      </c>
      <c r="J302" t="s">
        <v>77</v>
      </c>
      <c r="K302" t="s">
        <v>78</v>
      </c>
      <c r="L302" t="s">
        <v>254</v>
      </c>
      <c r="M302" t="s">
        <v>255</v>
      </c>
      <c r="N302" t="s">
        <v>1092</v>
      </c>
      <c r="O302" t="s">
        <v>96</v>
      </c>
      <c r="P302" t="str">
        <f>"188574                        "</f>
        <v xml:space="preserve">188574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28.3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0.6</v>
      </c>
      <c r="BK302">
        <v>1</v>
      </c>
      <c r="BL302">
        <v>71.84</v>
      </c>
      <c r="BM302">
        <v>10.78</v>
      </c>
      <c r="BN302">
        <v>82.62</v>
      </c>
      <c r="BO302">
        <v>82.62</v>
      </c>
      <c r="BQ302" t="s">
        <v>1093</v>
      </c>
      <c r="BR302" t="s">
        <v>83</v>
      </c>
      <c r="BS302" s="3">
        <v>44890</v>
      </c>
      <c r="BT302" s="4">
        <v>0.42083333333333334</v>
      </c>
      <c r="BU302" t="s">
        <v>1094</v>
      </c>
      <c r="BV302" t="s">
        <v>85</v>
      </c>
      <c r="BY302">
        <v>3244.8</v>
      </c>
      <c r="BZ302" t="s">
        <v>101</v>
      </c>
      <c r="CA302" t="s">
        <v>591</v>
      </c>
      <c r="CC302" t="s">
        <v>255</v>
      </c>
      <c r="CD302">
        <v>157</v>
      </c>
      <c r="CE302" t="s">
        <v>88</v>
      </c>
      <c r="CF302" s="3">
        <v>44890</v>
      </c>
      <c r="CI302">
        <v>1</v>
      </c>
      <c r="CJ302">
        <v>1</v>
      </c>
      <c r="CK302">
        <v>21</v>
      </c>
      <c r="CL302" t="s">
        <v>89</v>
      </c>
    </row>
    <row r="303" spans="1:90" ht="15" customHeight="1" x14ac:dyDescent="0.3">
      <c r="A303" t="s">
        <v>72</v>
      </c>
      <c r="B303" t="s">
        <v>73</v>
      </c>
      <c r="C303" t="s">
        <v>74</v>
      </c>
      <c r="E303" t="str">
        <f>"009943061759"</f>
        <v>009943061759</v>
      </c>
      <c r="F303" s="3">
        <v>44889</v>
      </c>
      <c r="G303">
        <v>202308</v>
      </c>
      <c r="H303" t="s">
        <v>75</v>
      </c>
      <c r="I303" t="s">
        <v>76</v>
      </c>
      <c r="J303" t="s">
        <v>77</v>
      </c>
      <c r="K303" t="s">
        <v>78</v>
      </c>
      <c r="L303" t="s">
        <v>153</v>
      </c>
      <c r="M303" t="s">
        <v>154</v>
      </c>
      <c r="N303" t="s">
        <v>1095</v>
      </c>
      <c r="O303" t="s">
        <v>82</v>
      </c>
      <c r="P303" t="str">
        <f>"188576                        "</f>
        <v xml:space="preserve">188576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68.31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7.2</v>
      </c>
      <c r="BJ303">
        <v>19.399999999999999</v>
      </c>
      <c r="BK303">
        <v>20</v>
      </c>
      <c r="BL303">
        <v>178.65</v>
      </c>
      <c r="BM303">
        <v>26.8</v>
      </c>
      <c r="BN303">
        <v>205.45</v>
      </c>
      <c r="BO303">
        <v>205.45</v>
      </c>
      <c r="BQ303" t="s">
        <v>1096</v>
      </c>
      <c r="BR303" t="s">
        <v>83</v>
      </c>
      <c r="BS303" s="3">
        <v>44893</v>
      </c>
      <c r="BT303" s="4">
        <v>0.70416666666666661</v>
      </c>
      <c r="BU303" t="s">
        <v>1097</v>
      </c>
      <c r="BV303" t="s">
        <v>89</v>
      </c>
      <c r="BW303" t="s">
        <v>157</v>
      </c>
      <c r="BX303" t="s">
        <v>158</v>
      </c>
      <c r="BY303">
        <v>97120.8</v>
      </c>
      <c r="BZ303" t="s">
        <v>86</v>
      </c>
      <c r="CA303" t="s">
        <v>159</v>
      </c>
      <c r="CC303" t="s">
        <v>154</v>
      </c>
      <c r="CD303">
        <v>7140</v>
      </c>
      <c r="CE303" t="s">
        <v>88</v>
      </c>
      <c r="CF303" s="3">
        <v>44894</v>
      </c>
      <c r="CI303">
        <v>1</v>
      </c>
      <c r="CJ303">
        <v>2</v>
      </c>
      <c r="CK303">
        <v>44</v>
      </c>
      <c r="CL303" t="s">
        <v>89</v>
      </c>
    </row>
    <row r="304" spans="1:90" ht="15" customHeight="1" x14ac:dyDescent="0.3">
      <c r="A304" t="s">
        <v>72</v>
      </c>
      <c r="B304" t="s">
        <v>73</v>
      </c>
      <c r="C304" t="s">
        <v>74</v>
      </c>
      <c r="E304" t="str">
        <f>"009943061762"</f>
        <v>009943061762</v>
      </c>
      <c r="F304" s="3">
        <v>44889</v>
      </c>
      <c r="G304">
        <v>202308</v>
      </c>
      <c r="H304" t="s">
        <v>75</v>
      </c>
      <c r="I304" t="s">
        <v>76</v>
      </c>
      <c r="J304" t="s">
        <v>77</v>
      </c>
      <c r="K304" t="s">
        <v>78</v>
      </c>
      <c r="L304" t="s">
        <v>75</v>
      </c>
      <c r="M304" t="s">
        <v>76</v>
      </c>
      <c r="N304" t="s">
        <v>1098</v>
      </c>
      <c r="O304" t="s">
        <v>82</v>
      </c>
      <c r="P304" t="str">
        <f>"188580                        "</f>
        <v xml:space="preserve">188580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47.17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3.3</v>
      </c>
      <c r="BJ304">
        <v>18.399999999999999</v>
      </c>
      <c r="BK304">
        <v>19</v>
      </c>
      <c r="BL304">
        <v>124.99</v>
      </c>
      <c r="BM304">
        <v>18.75</v>
      </c>
      <c r="BN304">
        <v>143.74</v>
      </c>
      <c r="BO304">
        <v>143.74</v>
      </c>
      <c r="BR304" t="s">
        <v>83</v>
      </c>
      <c r="BS304" s="3">
        <v>44894</v>
      </c>
      <c r="BT304" s="4">
        <v>0.75763888888888886</v>
      </c>
      <c r="BU304" t="s">
        <v>1099</v>
      </c>
      <c r="BV304" t="s">
        <v>89</v>
      </c>
      <c r="BY304">
        <v>92070</v>
      </c>
      <c r="BZ304" t="s">
        <v>86</v>
      </c>
      <c r="CA304" t="s">
        <v>419</v>
      </c>
      <c r="CC304" t="s">
        <v>76</v>
      </c>
      <c r="CD304">
        <v>7570</v>
      </c>
      <c r="CE304" t="s">
        <v>88</v>
      </c>
      <c r="CI304">
        <v>1</v>
      </c>
      <c r="CJ304">
        <v>3</v>
      </c>
      <c r="CK304">
        <v>42</v>
      </c>
      <c r="CL304" t="s">
        <v>89</v>
      </c>
    </row>
    <row r="305" spans="1:90" ht="15" customHeight="1" x14ac:dyDescent="0.3">
      <c r="A305" t="s">
        <v>72</v>
      </c>
      <c r="B305" t="s">
        <v>73</v>
      </c>
      <c r="C305" t="s">
        <v>74</v>
      </c>
      <c r="E305" t="str">
        <f>"009943061765"</f>
        <v>009943061765</v>
      </c>
      <c r="F305" s="3">
        <v>44889</v>
      </c>
      <c r="G305">
        <v>202308</v>
      </c>
      <c r="H305" t="s">
        <v>75</v>
      </c>
      <c r="I305" t="s">
        <v>76</v>
      </c>
      <c r="J305" t="s">
        <v>77</v>
      </c>
      <c r="K305" t="s">
        <v>78</v>
      </c>
      <c r="L305" t="s">
        <v>324</v>
      </c>
      <c r="M305" t="s">
        <v>325</v>
      </c>
      <c r="N305" t="s">
        <v>1100</v>
      </c>
      <c r="O305" t="s">
        <v>96</v>
      </c>
      <c r="P305" t="str">
        <f>"188588                        "</f>
        <v xml:space="preserve">188588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54.83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0.5</v>
      </c>
      <c r="BK305">
        <v>1</v>
      </c>
      <c r="BL305">
        <v>139.19</v>
      </c>
      <c r="BM305">
        <v>20.88</v>
      </c>
      <c r="BN305">
        <v>160.07</v>
      </c>
      <c r="BO305">
        <v>160.07</v>
      </c>
      <c r="BQ305" t="s">
        <v>1101</v>
      </c>
      <c r="BR305" t="s">
        <v>83</v>
      </c>
      <c r="BS305" s="3">
        <v>44893</v>
      </c>
      <c r="BT305" s="4">
        <v>0.5180555555555556</v>
      </c>
      <c r="BU305" t="s">
        <v>1102</v>
      </c>
      <c r="BV305" t="s">
        <v>89</v>
      </c>
      <c r="BW305" t="s">
        <v>1030</v>
      </c>
      <c r="BX305" t="s">
        <v>1103</v>
      </c>
      <c r="BY305">
        <v>2400</v>
      </c>
      <c r="BZ305" t="s">
        <v>101</v>
      </c>
      <c r="CA305" t="s">
        <v>1007</v>
      </c>
      <c r="CC305" t="s">
        <v>325</v>
      </c>
      <c r="CD305">
        <v>4399</v>
      </c>
      <c r="CE305" t="s">
        <v>88</v>
      </c>
      <c r="CF305" s="3">
        <v>44894</v>
      </c>
      <c r="CI305">
        <v>1</v>
      </c>
      <c r="CJ305">
        <v>2</v>
      </c>
      <c r="CK305">
        <v>23</v>
      </c>
      <c r="CL305" t="s">
        <v>89</v>
      </c>
    </row>
    <row r="306" spans="1:90" ht="15" customHeight="1" x14ac:dyDescent="0.3">
      <c r="A306" t="s">
        <v>72</v>
      </c>
      <c r="B306" t="s">
        <v>73</v>
      </c>
      <c r="C306" t="s">
        <v>74</v>
      </c>
      <c r="E306" t="str">
        <f>"009943061763"</f>
        <v>009943061763</v>
      </c>
      <c r="F306" s="3">
        <v>44889</v>
      </c>
      <c r="G306">
        <v>202308</v>
      </c>
      <c r="H306" t="s">
        <v>75</v>
      </c>
      <c r="I306" t="s">
        <v>76</v>
      </c>
      <c r="J306" t="s">
        <v>77</v>
      </c>
      <c r="K306" t="s">
        <v>78</v>
      </c>
      <c r="L306" t="s">
        <v>396</v>
      </c>
      <c r="M306" t="s">
        <v>397</v>
      </c>
      <c r="N306" t="s">
        <v>1104</v>
      </c>
      <c r="O306" t="s">
        <v>96</v>
      </c>
      <c r="P306" t="str">
        <f>"188583                        "</f>
        <v xml:space="preserve">188583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28.3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0.4</v>
      </c>
      <c r="BJ306">
        <v>0.9</v>
      </c>
      <c r="BK306">
        <v>1</v>
      </c>
      <c r="BL306">
        <v>71.84</v>
      </c>
      <c r="BM306">
        <v>10.78</v>
      </c>
      <c r="BN306">
        <v>82.62</v>
      </c>
      <c r="BO306">
        <v>82.62</v>
      </c>
      <c r="BR306" t="s">
        <v>83</v>
      </c>
      <c r="BS306" s="3">
        <v>44893</v>
      </c>
      <c r="BT306" s="4">
        <v>0.47986111111111113</v>
      </c>
      <c r="BU306" t="s">
        <v>1105</v>
      </c>
      <c r="BV306" t="s">
        <v>89</v>
      </c>
      <c r="BW306" t="s">
        <v>99</v>
      </c>
      <c r="BX306" t="s">
        <v>223</v>
      </c>
      <c r="BY306">
        <v>4699.2</v>
      </c>
      <c r="BZ306" t="s">
        <v>101</v>
      </c>
      <c r="CC306" t="s">
        <v>397</v>
      </c>
      <c r="CD306">
        <v>1725</v>
      </c>
      <c r="CE306" t="s">
        <v>88</v>
      </c>
      <c r="CF306" s="3">
        <v>44893</v>
      </c>
      <c r="CI306">
        <v>1</v>
      </c>
      <c r="CJ306">
        <v>2</v>
      </c>
      <c r="CK306">
        <v>21</v>
      </c>
      <c r="CL306" t="s">
        <v>89</v>
      </c>
    </row>
    <row r="307" spans="1:90" ht="15" customHeight="1" x14ac:dyDescent="0.3">
      <c r="A307" t="s">
        <v>72</v>
      </c>
      <c r="B307" t="s">
        <v>73</v>
      </c>
      <c r="C307" t="s">
        <v>74</v>
      </c>
      <c r="E307" t="str">
        <f>"009942837115"</f>
        <v>009942837115</v>
      </c>
      <c r="F307" s="3">
        <v>44889</v>
      </c>
      <c r="G307">
        <v>202308</v>
      </c>
      <c r="H307" t="s">
        <v>117</v>
      </c>
      <c r="I307" t="s">
        <v>118</v>
      </c>
      <c r="J307" t="s">
        <v>94</v>
      </c>
      <c r="K307" t="s">
        <v>78</v>
      </c>
      <c r="L307" t="s">
        <v>108</v>
      </c>
      <c r="M307" t="s">
        <v>109</v>
      </c>
      <c r="N307" t="s">
        <v>1106</v>
      </c>
      <c r="O307" t="s">
        <v>96</v>
      </c>
      <c r="P307" t="str">
        <f>"                              "</f>
        <v xml:space="preserve"> 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28.3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0.4</v>
      </c>
      <c r="BJ307">
        <v>1.9</v>
      </c>
      <c r="BK307">
        <v>2</v>
      </c>
      <c r="BL307">
        <v>71.84</v>
      </c>
      <c r="BM307">
        <v>10.78</v>
      </c>
      <c r="BN307">
        <v>82.62</v>
      </c>
      <c r="BO307">
        <v>82.62</v>
      </c>
      <c r="BR307" t="s">
        <v>622</v>
      </c>
      <c r="BS307" s="3">
        <v>44893</v>
      </c>
      <c r="BT307" s="4">
        <v>0.38819444444444445</v>
      </c>
      <c r="BU307" t="s">
        <v>623</v>
      </c>
      <c r="BV307" t="s">
        <v>89</v>
      </c>
      <c r="BW307" t="s">
        <v>157</v>
      </c>
      <c r="BX307" t="s">
        <v>624</v>
      </c>
      <c r="BY307">
        <v>9600</v>
      </c>
      <c r="BZ307" t="s">
        <v>101</v>
      </c>
      <c r="CA307" t="s">
        <v>625</v>
      </c>
      <c r="CC307" t="s">
        <v>109</v>
      </c>
      <c r="CD307">
        <v>6070</v>
      </c>
      <c r="CE307" t="s">
        <v>88</v>
      </c>
      <c r="CF307" s="3">
        <v>44893</v>
      </c>
      <c r="CI307">
        <v>1</v>
      </c>
      <c r="CJ307">
        <v>2</v>
      </c>
      <c r="CK307">
        <v>21</v>
      </c>
      <c r="CL307" t="s">
        <v>89</v>
      </c>
    </row>
    <row r="308" spans="1:90" ht="15" customHeight="1" x14ac:dyDescent="0.3">
      <c r="A308" t="s">
        <v>72</v>
      </c>
      <c r="B308" t="s">
        <v>73</v>
      </c>
      <c r="C308" t="s">
        <v>74</v>
      </c>
      <c r="E308" t="str">
        <f>"009943061768"</f>
        <v>009943061768</v>
      </c>
      <c r="F308" s="3">
        <v>44889</v>
      </c>
      <c r="G308">
        <v>202308</v>
      </c>
      <c r="H308" t="s">
        <v>75</v>
      </c>
      <c r="I308" t="s">
        <v>76</v>
      </c>
      <c r="J308" t="s">
        <v>77</v>
      </c>
      <c r="K308" t="s">
        <v>78</v>
      </c>
      <c r="L308" t="s">
        <v>424</v>
      </c>
      <c r="M308" t="s">
        <v>425</v>
      </c>
      <c r="N308" t="s">
        <v>1107</v>
      </c>
      <c r="O308" t="s">
        <v>82</v>
      </c>
      <c r="P308" t="str">
        <f>"REPLACEMENT                   "</f>
        <v xml:space="preserve">REPLACEMENT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68.31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4.5</v>
      </c>
      <c r="BJ308">
        <v>19.899999999999999</v>
      </c>
      <c r="BK308">
        <v>20</v>
      </c>
      <c r="BL308">
        <v>178.65</v>
      </c>
      <c r="BM308">
        <v>26.8</v>
      </c>
      <c r="BN308">
        <v>205.45</v>
      </c>
      <c r="BO308">
        <v>205.45</v>
      </c>
      <c r="BR308" t="s">
        <v>83</v>
      </c>
      <c r="BS308" t="s">
        <v>93</v>
      </c>
      <c r="BW308" t="s">
        <v>99</v>
      </c>
      <c r="BX308" t="s">
        <v>555</v>
      </c>
      <c r="BY308">
        <v>99667.199999999997</v>
      </c>
      <c r="BZ308" t="s">
        <v>86</v>
      </c>
      <c r="CC308" t="s">
        <v>425</v>
      </c>
      <c r="CD308">
        <v>7210</v>
      </c>
      <c r="CE308" t="s">
        <v>88</v>
      </c>
      <c r="CI308">
        <v>2</v>
      </c>
      <c r="CJ308" t="s">
        <v>93</v>
      </c>
      <c r="CK308">
        <v>44</v>
      </c>
      <c r="CL308" t="s">
        <v>89</v>
      </c>
    </row>
    <row r="309" spans="1:90" ht="15" customHeight="1" x14ac:dyDescent="0.3">
      <c r="A309" t="s">
        <v>72</v>
      </c>
      <c r="B309" t="s">
        <v>73</v>
      </c>
      <c r="C309" t="s">
        <v>74</v>
      </c>
      <c r="E309" t="str">
        <f>"009942358095"</f>
        <v>009942358095</v>
      </c>
      <c r="F309" s="3">
        <v>44889</v>
      </c>
      <c r="G309">
        <v>202308</v>
      </c>
      <c r="H309" t="s">
        <v>75</v>
      </c>
      <c r="I309" t="s">
        <v>76</v>
      </c>
      <c r="J309" t="s">
        <v>423</v>
      </c>
      <c r="K309" t="s">
        <v>78</v>
      </c>
      <c r="L309" t="s">
        <v>108</v>
      </c>
      <c r="M309" t="s">
        <v>109</v>
      </c>
      <c r="N309" t="s">
        <v>1108</v>
      </c>
      <c r="O309" t="s">
        <v>82</v>
      </c>
      <c r="P309" t="str">
        <f>"                              "</f>
        <v xml:space="preserve"> 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15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88.56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26</v>
      </c>
      <c r="BJ309">
        <v>30</v>
      </c>
      <c r="BK309">
        <v>30</v>
      </c>
      <c r="BL309">
        <v>245.06</v>
      </c>
      <c r="BM309">
        <v>36.76</v>
      </c>
      <c r="BN309">
        <v>281.82</v>
      </c>
      <c r="BO309">
        <v>281.82</v>
      </c>
      <c r="BR309" t="s">
        <v>276</v>
      </c>
      <c r="BS309" s="3">
        <v>44893</v>
      </c>
      <c r="BT309" s="4">
        <v>0.47013888888888888</v>
      </c>
      <c r="BU309" t="s">
        <v>769</v>
      </c>
      <c r="BV309" t="s">
        <v>85</v>
      </c>
      <c r="BY309">
        <v>150000</v>
      </c>
      <c r="BZ309" t="s">
        <v>278</v>
      </c>
      <c r="CC309" t="s">
        <v>109</v>
      </c>
      <c r="CD309">
        <v>6070</v>
      </c>
      <c r="CE309" t="s">
        <v>88</v>
      </c>
      <c r="CF309" s="3">
        <v>44893</v>
      </c>
      <c r="CI309">
        <v>2</v>
      </c>
      <c r="CJ309">
        <v>2</v>
      </c>
      <c r="CK309">
        <v>41</v>
      </c>
      <c r="CL309" t="s">
        <v>89</v>
      </c>
    </row>
    <row r="310" spans="1:90" ht="15" customHeight="1" x14ac:dyDescent="0.3">
      <c r="A310" t="s">
        <v>72</v>
      </c>
      <c r="B310" t="s">
        <v>73</v>
      </c>
      <c r="C310" t="s">
        <v>74</v>
      </c>
      <c r="E310" t="str">
        <f>"009942701342"</f>
        <v>009942701342</v>
      </c>
      <c r="F310" s="3">
        <v>44889</v>
      </c>
      <c r="G310">
        <v>202308</v>
      </c>
      <c r="H310" t="s">
        <v>108</v>
      </c>
      <c r="I310" t="s">
        <v>109</v>
      </c>
      <c r="J310" t="s">
        <v>110</v>
      </c>
      <c r="K310" t="s">
        <v>78</v>
      </c>
      <c r="L310" t="s">
        <v>75</v>
      </c>
      <c r="M310" t="s">
        <v>76</v>
      </c>
      <c r="N310" t="s">
        <v>584</v>
      </c>
      <c r="O310" t="s">
        <v>96</v>
      </c>
      <c r="P310" t="str">
        <f>"                              "</f>
        <v xml:space="preserve"> 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28.3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71.84</v>
      </c>
      <c r="BM310">
        <v>10.78</v>
      </c>
      <c r="BN310">
        <v>82.62</v>
      </c>
      <c r="BO310">
        <v>82.62</v>
      </c>
      <c r="BQ310" t="s">
        <v>585</v>
      </c>
      <c r="BR310" t="s">
        <v>114</v>
      </c>
      <c r="BS310" s="3">
        <v>44890</v>
      </c>
      <c r="BT310" s="4">
        <v>0.43958333333333338</v>
      </c>
      <c r="BU310" t="s">
        <v>1109</v>
      </c>
      <c r="BV310" t="s">
        <v>85</v>
      </c>
      <c r="BY310">
        <v>1200</v>
      </c>
      <c r="BZ310" t="s">
        <v>101</v>
      </c>
      <c r="CC310" t="s">
        <v>76</v>
      </c>
      <c r="CD310">
        <v>7530</v>
      </c>
      <c r="CE310" t="s">
        <v>88</v>
      </c>
      <c r="CF310" s="3">
        <v>44893</v>
      </c>
      <c r="CI310">
        <v>1</v>
      </c>
      <c r="CJ310">
        <v>1</v>
      </c>
      <c r="CK310">
        <v>21</v>
      </c>
      <c r="CL310" t="s">
        <v>89</v>
      </c>
    </row>
    <row r="311" spans="1:90" ht="15" customHeight="1" x14ac:dyDescent="0.3">
      <c r="A311" t="s">
        <v>72</v>
      </c>
      <c r="B311" t="s">
        <v>73</v>
      </c>
      <c r="C311" t="s">
        <v>74</v>
      </c>
      <c r="E311" t="str">
        <f>"009943061766"</f>
        <v>009943061766</v>
      </c>
      <c r="F311" s="3">
        <v>44889</v>
      </c>
      <c r="G311">
        <v>202308</v>
      </c>
      <c r="H311" t="s">
        <v>75</v>
      </c>
      <c r="I311" t="s">
        <v>76</v>
      </c>
      <c r="J311" t="s">
        <v>77</v>
      </c>
      <c r="K311" t="s">
        <v>78</v>
      </c>
      <c r="L311" t="s">
        <v>75</v>
      </c>
      <c r="M311" t="s">
        <v>76</v>
      </c>
      <c r="N311" t="s">
        <v>1110</v>
      </c>
      <c r="O311" t="s">
        <v>96</v>
      </c>
      <c r="P311" t="str">
        <f>"188589                        "</f>
        <v xml:space="preserve">188589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22.11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1.9</v>
      </c>
      <c r="BJ311">
        <v>5.4</v>
      </c>
      <c r="BK311">
        <v>5.5</v>
      </c>
      <c r="BL311">
        <v>56.12</v>
      </c>
      <c r="BM311">
        <v>8.42</v>
      </c>
      <c r="BN311">
        <v>64.540000000000006</v>
      </c>
      <c r="BO311">
        <v>64.540000000000006</v>
      </c>
      <c r="BR311" t="s">
        <v>83</v>
      </c>
      <c r="BS311" s="3">
        <v>44890</v>
      </c>
      <c r="BT311" s="4">
        <v>0.44444444444444442</v>
      </c>
      <c r="BU311" t="s">
        <v>1111</v>
      </c>
      <c r="BV311" t="s">
        <v>89</v>
      </c>
      <c r="BW311" t="s">
        <v>157</v>
      </c>
      <c r="BX311" t="s">
        <v>630</v>
      </c>
      <c r="BY311">
        <v>26861.02</v>
      </c>
      <c r="BZ311" t="s">
        <v>101</v>
      </c>
      <c r="CA311" t="s">
        <v>496</v>
      </c>
      <c r="CC311" t="s">
        <v>76</v>
      </c>
      <c r="CD311">
        <v>7441</v>
      </c>
      <c r="CE311" t="s">
        <v>88</v>
      </c>
      <c r="CF311" s="3">
        <v>44893</v>
      </c>
      <c r="CI311">
        <v>1</v>
      </c>
      <c r="CJ311">
        <v>1</v>
      </c>
      <c r="CK311">
        <v>22</v>
      </c>
      <c r="CL311" t="s">
        <v>89</v>
      </c>
    </row>
    <row r="312" spans="1:90" ht="15" customHeight="1" x14ac:dyDescent="0.3">
      <c r="A312" t="s">
        <v>72</v>
      </c>
      <c r="B312" t="s">
        <v>73</v>
      </c>
      <c r="C312" t="s">
        <v>74</v>
      </c>
      <c r="E312" t="str">
        <f>"009943061764"</f>
        <v>009943061764</v>
      </c>
      <c r="F312" s="3">
        <v>44889</v>
      </c>
      <c r="G312">
        <v>202308</v>
      </c>
      <c r="H312" t="s">
        <v>75</v>
      </c>
      <c r="I312" t="s">
        <v>76</v>
      </c>
      <c r="J312" t="s">
        <v>77</v>
      </c>
      <c r="K312" t="s">
        <v>78</v>
      </c>
      <c r="L312" t="s">
        <v>166</v>
      </c>
      <c r="M312" t="s">
        <v>167</v>
      </c>
      <c r="N312" t="s">
        <v>1112</v>
      </c>
      <c r="O312" t="s">
        <v>96</v>
      </c>
      <c r="P312" t="str">
        <f>"188585                        "</f>
        <v xml:space="preserve">188585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35.369999999999997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0.4</v>
      </c>
      <c r="BJ312">
        <v>2.5</v>
      </c>
      <c r="BK312">
        <v>2.5</v>
      </c>
      <c r="BL312">
        <v>89.79</v>
      </c>
      <c r="BM312">
        <v>13.47</v>
      </c>
      <c r="BN312">
        <v>103.26</v>
      </c>
      <c r="BO312">
        <v>103.26</v>
      </c>
      <c r="BQ312" t="s">
        <v>1113</v>
      </c>
      <c r="BR312" t="s">
        <v>83</v>
      </c>
      <c r="BS312" s="3">
        <v>44890</v>
      </c>
      <c r="BT312" s="4">
        <v>0.42638888888888887</v>
      </c>
      <c r="BU312" t="s">
        <v>1114</v>
      </c>
      <c r="BV312" t="s">
        <v>85</v>
      </c>
      <c r="BY312">
        <v>12537.72</v>
      </c>
      <c r="BZ312" t="s">
        <v>101</v>
      </c>
      <c r="CA312" t="s">
        <v>1115</v>
      </c>
      <c r="CC312" t="s">
        <v>167</v>
      </c>
      <c r="CD312">
        <v>1</v>
      </c>
      <c r="CE312" t="s">
        <v>88</v>
      </c>
      <c r="CF312" s="3">
        <v>44890</v>
      </c>
      <c r="CI312">
        <v>1</v>
      </c>
      <c r="CJ312">
        <v>1</v>
      </c>
      <c r="CK312">
        <v>21</v>
      </c>
      <c r="CL312" t="s">
        <v>89</v>
      </c>
    </row>
    <row r="313" spans="1:90" ht="15" customHeight="1" x14ac:dyDescent="0.3">
      <c r="A313" t="s">
        <v>72</v>
      </c>
      <c r="B313" t="s">
        <v>73</v>
      </c>
      <c r="C313" t="s">
        <v>74</v>
      </c>
      <c r="E313" t="str">
        <f>"009943061760"</f>
        <v>009943061760</v>
      </c>
      <c r="F313" s="3">
        <v>44889</v>
      </c>
      <c r="G313">
        <v>202308</v>
      </c>
      <c r="H313" t="s">
        <v>75</v>
      </c>
      <c r="I313" t="s">
        <v>76</v>
      </c>
      <c r="J313" t="s">
        <v>77</v>
      </c>
      <c r="K313" t="s">
        <v>78</v>
      </c>
      <c r="L313" t="s">
        <v>324</v>
      </c>
      <c r="M313" t="s">
        <v>325</v>
      </c>
      <c r="N313" t="s">
        <v>1116</v>
      </c>
      <c r="O313" t="s">
        <v>82</v>
      </c>
      <c r="P313" t="str">
        <f>"188575                        "</f>
        <v xml:space="preserve">188575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77.19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0.7</v>
      </c>
      <c r="BJ313">
        <v>2.7</v>
      </c>
      <c r="BK313">
        <v>3</v>
      </c>
      <c r="BL313">
        <v>201.19</v>
      </c>
      <c r="BM313">
        <v>30.18</v>
      </c>
      <c r="BN313">
        <v>231.37</v>
      </c>
      <c r="BO313">
        <v>231.37</v>
      </c>
      <c r="BR313" t="s">
        <v>83</v>
      </c>
      <c r="BS313" s="3">
        <v>44893</v>
      </c>
      <c r="BT313" s="4">
        <v>0.50416666666666665</v>
      </c>
      <c r="BU313" t="s">
        <v>1117</v>
      </c>
      <c r="BV313" t="s">
        <v>85</v>
      </c>
      <c r="BY313">
        <v>13730.92</v>
      </c>
      <c r="BZ313" t="s">
        <v>86</v>
      </c>
      <c r="CA313" t="s">
        <v>1007</v>
      </c>
      <c r="CC313" t="s">
        <v>325</v>
      </c>
      <c r="CD313">
        <v>4399</v>
      </c>
      <c r="CE313" t="s">
        <v>88</v>
      </c>
      <c r="CF313" s="3">
        <v>44894</v>
      </c>
      <c r="CI313">
        <v>3</v>
      </c>
      <c r="CJ313">
        <v>2</v>
      </c>
      <c r="CK313">
        <v>43</v>
      </c>
      <c r="CL313" t="s">
        <v>89</v>
      </c>
    </row>
    <row r="314" spans="1:90" ht="15" customHeight="1" x14ac:dyDescent="0.3">
      <c r="A314" t="s">
        <v>72</v>
      </c>
      <c r="B314" t="s">
        <v>73</v>
      </c>
      <c r="C314" t="s">
        <v>74</v>
      </c>
      <c r="E314" t="str">
        <f>"009942899856"</f>
        <v>009942899856</v>
      </c>
      <c r="F314" s="3">
        <v>44889</v>
      </c>
      <c r="G314">
        <v>202308</v>
      </c>
      <c r="H314" t="s">
        <v>111</v>
      </c>
      <c r="I314" t="s">
        <v>112</v>
      </c>
      <c r="J314" t="s">
        <v>94</v>
      </c>
      <c r="K314" t="s">
        <v>78</v>
      </c>
      <c r="L314" t="s">
        <v>75</v>
      </c>
      <c r="M314" t="s">
        <v>76</v>
      </c>
      <c r="N314" t="s">
        <v>610</v>
      </c>
      <c r="O314" t="s">
        <v>96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28.3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0.1</v>
      </c>
      <c r="BK314">
        <v>1</v>
      </c>
      <c r="BL314">
        <v>71.84</v>
      </c>
      <c r="BM314">
        <v>10.78</v>
      </c>
      <c r="BN314">
        <v>82.62</v>
      </c>
      <c r="BO314">
        <v>82.62</v>
      </c>
      <c r="BR314" t="s">
        <v>113</v>
      </c>
      <c r="BS314" s="3">
        <v>44890</v>
      </c>
      <c r="BT314" s="4">
        <v>0.59305555555555556</v>
      </c>
      <c r="BU314" t="s">
        <v>1118</v>
      </c>
      <c r="BV314" t="s">
        <v>89</v>
      </c>
      <c r="BW314" t="s">
        <v>157</v>
      </c>
      <c r="BX314" t="s">
        <v>630</v>
      </c>
      <c r="BY314">
        <v>500</v>
      </c>
      <c r="BZ314" t="s">
        <v>101</v>
      </c>
      <c r="CC314" t="s">
        <v>76</v>
      </c>
      <c r="CD314">
        <v>7530</v>
      </c>
      <c r="CE314" t="s">
        <v>88</v>
      </c>
      <c r="CF314" s="3">
        <v>44893</v>
      </c>
      <c r="CI314">
        <v>1</v>
      </c>
      <c r="CJ314">
        <v>1</v>
      </c>
      <c r="CK314">
        <v>21</v>
      </c>
      <c r="CL314" t="s">
        <v>89</v>
      </c>
    </row>
    <row r="315" spans="1:90" ht="15" customHeight="1" x14ac:dyDescent="0.3">
      <c r="A315" t="s">
        <v>72</v>
      </c>
      <c r="B315" t="s">
        <v>73</v>
      </c>
      <c r="C315" t="s">
        <v>74</v>
      </c>
      <c r="E315" t="str">
        <f>"009942899858"</f>
        <v>009942899858</v>
      </c>
      <c r="F315" s="3">
        <v>44889</v>
      </c>
      <c r="G315">
        <v>202308</v>
      </c>
      <c r="H315" t="s">
        <v>111</v>
      </c>
      <c r="I315" t="s">
        <v>112</v>
      </c>
      <c r="J315" t="s">
        <v>94</v>
      </c>
      <c r="K315" t="s">
        <v>78</v>
      </c>
      <c r="L315" t="s">
        <v>160</v>
      </c>
      <c r="M315" t="s">
        <v>161</v>
      </c>
      <c r="N315" t="s">
        <v>794</v>
      </c>
      <c r="O315" t="s">
        <v>96</v>
      </c>
      <c r="P315" t="str">
        <f>"J28331                        "</f>
        <v xml:space="preserve">J28331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39.81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101.05</v>
      </c>
      <c r="BM315">
        <v>15.16</v>
      </c>
      <c r="BN315">
        <v>116.21</v>
      </c>
      <c r="BO315">
        <v>116.21</v>
      </c>
      <c r="BQ315" t="s">
        <v>163</v>
      </c>
      <c r="BR315" t="s">
        <v>113</v>
      </c>
      <c r="BS315" s="3">
        <v>44894</v>
      </c>
      <c r="BT315" s="4">
        <v>0.4861111111111111</v>
      </c>
      <c r="BU315" t="s">
        <v>164</v>
      </c>
      <c r="BV315" t="s">
        <v>85</v>
      </c>
      <c r="BY315">
        <v>1200</v>
      </c>
      <c r="BZ315" t="s">
        <v>101</v>
      </c>
      <c r="CA315" t="s">
        <v>165</v>
      </c>
      <c r="CC315" t="s">
        <v>161</v>
      </c>
      <c r="CD315">
        <v>2333</v>
      </c>
      <c r="CE315" t="s">
        <v>88</v>
      </c>
      <c r="CF315" s="3">
        <v>44894</v>
      </c>
      <c r="CI315">
        <v>5</v>
      </c>
      <c r="CJ315">
        <v>3</v>
      </c>
      <c r="CK315">
        <v>24</v>
      </c>
      <c r="CL315" t="s">
        <v>89</v>
      </c>
    </row>
    <row r="316" spans="1:90" ht="15" customHeight="1" x14ac:dyDescent="0.3">
      <c r="A316" t="s">
        <v>72</v>
      </c>
      <c r="B316" t="s">
        <v>73</v>
      </c>
      <c r="C316" t="s">
        <v>74</v>
      </c>
      <c r="E316" t="str">
        <f>"009942899857"</f>
        <v>009942899857</v>
      </c>
      <c r="F316" s="3">
        <v>44889</v>
      </c>
      <c r="G316">
        <v>202308</v>
      </c>
      <c r="H316" t="s">
        <v>111</v>
      </c>
      <c r="I316" t="s">
        <v>112</v>
      </c>
      <c r="J316" t="s">
        <v>94</v>
      </c>
      <c r="K316" t="s">
        <v>78</v>
      </c>
      <c r="L316" t="s">
        <v>200</v>
      </c>
      <c r="M316" t="s">
        <v>201</v>
      </c>
      <c r="N316" t="s">
        <v>202</v>
      </c>
      <c r="O316" t="s">
        <v>96</v>
      </c>
      <c r="P316" t="str">
        <f>"J29304                        "</f>
        <v xml:space="preserve">J29304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22.11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2.2000000000000002</v>
      </c>
      <c r="BJ316">
        <v>2</v>
      </c>
      <c r="BK316">
        <v>2.5</v>
      </c>
      <c r="BL316">
        <v>56.12</v>
      </c>
      <c r="BM316">
        <v>8.42</v>
      </c>
      <c r="BN316">
        <v>64.540000000000006</v>
      </c>
      <c r="BO316">
        <v>64.540000000000006</v>
      </c>
      <c r="BQ316" t="s">
        <v>1119</v>
      </c>
      <c r="BR316" t="s">
        <v>113</v>
      </c>
      <c r="BS316" s="3">
        <v>44890</v>
      </c>
      <c r="BT316" s="4">
        <v>0.3833333333333333</v>
      </c>
      <c r="BU316" t="s">
        <v>204</v>
      </c>
      <c r="BV316" t="s">
        <v>85</v>
      </c>
      <c r="BY316">
        <v>9771.2999999999993</v>
      </c>
      <c r="BZ316" t="s">
        <v>101</v>
      </c>
      <c r="CA316" t="s">
        <v>207</v>
      </c>
      <c r="CC316" t="s">
        <v>201</v>
      </c>
      <c r="CD316">
        <v>1422</v>
      </c>
      <c r="CE316" t="s">
        <v>88</v>
      </c>
      <c r="CF316" s="3">
        <v>44891</v>
      </c>
      <c r="CI316">
        <v>1</v>
      </c>
      <c r="CJ316">
        <v>1</v>
      </c>
      <c r="CK316">
        <v>22</v>
      </c>
      <c r="CL316" t="s">
        <v>89</v>
      </c>
    </row>
    <row r="317" spans="1:90" ht="15" customHeight="1" x14ac:dyDescent="0.3">
      <c r="A317" t="s">
        <v>72</v>
      </c>
      <c r="B317" t="s">
        <v>73</v>
      </c>
      <c r="C317" t="s">
        <v>74</v>
      </c>
      <c r="E317" t="str">
        <f>"009942899859"</f>
        <v>009942899859</v>
      </c>
      <c r="F317" s="3">
        <v>44889</v>
      </c>
      <c r="G317">
        <v>202308</v>
      </c>
      <c r="H317" t="s">
        <v>111</v>
      </c>
      <c r="I317" t="s">
        <v>112</v>
      </c>
      <c r="J317" t="s">
        <v>94</v>
      </c>
      <c r="K317" t="s">
        <v>78</v>
      </c>
      <c r="L317" t="s">
        <v>194</v>
      </c>
      <c r="M317" t="s">
        <v>195</v>
      </c>
      <c r="N317" t="s">
        <v>505</v>
      </c>
      <c r="O317" t="s">
        <v>96</v>
      </c>
      <c r="P317" t="str">
        <f>"J29063                        "</f>
        <v xml:space="preserve">J29063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32.71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9.6</v>
      </c>
      <c r="BK317">
        <v>10</v>
      </c>
      <c r="BL317">
        <v>83.04</v>
      </c>
      <c r="BM317">
        <v>12.46</v>
      </c>
      <c r="BN317">
        <v>95.5</v>
      </c>
      <c r="BO317">
        <v>95.5</v>
      </c>
      <c r="BQ317" t="s">
        <v>1120</v>
      </c>
      <c r="BR317" t="s">
        <v>113</v>
      </c>
      <c r="BS317" s="3">
        <v>44890</v>
      </c>
      <c r="BT317" s="4">
        <v>0.40277777777777773</v>
      </c>
      <c r="BU317" t="s">
        <v>1121</v>
      </c>
      <c r="BV317" t="s">
        <v>85</v>
      </c>
      <c r="BY317">
        <v>48000</v>
      </c>
      <c r="BZ317" t="s">
        <v>101</v>
      </c>
      <c r="CA317" t="s">
        <v>285</v>
      </c>
      <c r="CC317" t="s">
        <v>195</v>
      </c>
      <c r="CD317">
        <v>1451</v>
      </c>
      <c r="CE317" t="s">
        <v>88</v>
      </c>
      <c r="CF317" s="3">
        <v>44890</v>
      </c>
      <c r="CI317">
        <v>1</v>
      </c>
      <c r="CJ317">
        <v>1</v>
      </c>
      <c r="CK317">
        <v>22</v>
      </c>
      <c r="CL317" t="s">
        <v>89</v>
      </c>
    </row>
    <row r="318" spans="1:90" ht="15" customHeight="1" x14ac:dyDescent="0.3">
      <c r="A318" t="s">
        <v>72</v>
      </c>
      <c r="B318" t="s">
        <v>73</v>
      </c>
      <c r="C318" t="s">
        <v>74</v>
      </c>
      <c r="E318" t="str">
        <f>"009943077533"</f>
        <v>009943077533</v>
      </c>
      <c r="F318" s="3">
        <v>44890</v>
      </c>
      <c r="G318">
        <v>202308</v>
      </c>
      <c r="H318" t="s">
        <v>75</v>
      </c>
      <c r="I318" t="s">
        <v>76</v>
      </c>
      <c r="J318" t="s">
        <v>286</v>
      </c>
      <c r="K318" t="s">
        <v>78</v>
      </c>
      <c r="L318" t="s">
        <v>1122</v>
      </c>
      <c r="M318" t="s">
        <v>1123</v>
      </c>
      <c r="N318" t="s">
        <v>1124</v>
      </c>
      <c r="O318" t="s">
        <v>82</v>
      </c>
      <c r="P318" t="str">
        <f>"1042                          "</f>
        <v xml:space="preserve">1042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68.31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3</v>
      </c>
      <c r="BI318">
        <v>19.100000000000001</v>
      </c>
      <c r="BJ318">
        <v>8.4</v>
      </c>
      <c r="BK318">
        <v>20</v>
      </c>
      <c r="BL318">
        <v>178.65</v>
      </c>
      <c r="BM318">
        <v>26.8</v>
      </c>
      <c r="BN318">
        <v>205.45</v>
      </c>
      <c r="BO318">
        <v>205.45</v>
      </c>
      <c r="BR318" t="s">
        <v>288</v>
      </c>
      <c r="BS318" t="s">
        <v>93</v>
      </c>
      <c r="BW318" t="s">
        <v>99</v>
      </c>
      <c r="BX318" t="s">
        <v>555</v>
      </c>
      <c r="BY318">
        <v>42205.54</v>
      </c>
      <c r="BZ318" t="s">
        <v>86</v>
      </c>
      <c r="CC318" t="s">
        <v>1123</v>
      </c>
      <c r="CD318">
        <v>7351</v>
      </c>
      <c r="CE318" t="s">
        <v>88</v>
      </c>
      <c r="CI318">
        <v>2</v>
      </c>
      <c r="CJ318" t="s">
        <v>93</v>
      </c>
      <c r="CK318">
        <v>44</v>
      </c>
      <c r="CL318" t="s">
        <v>89</v>
      </c>
    </row>
    <row r="319" spans="1:90" ht="15" customHeight="1" x14ac:dyDescent="0.3">
      <c r="A319" t="s">
        <v>72</v>
      </c>
      <c r="B319" t="s">
        <v>73</v>
      </c>
      <c r="C319" t="s">
        <v>74</v>
      </c>
      <c r="E319" t="str">
        <f>"009943077535"</f>
        <v>009943077535</v>
      </c>
      <c r="F319" s="3">
        <v>44890</v>
      </c>
      <c r="G319">
        <v>202308</v>
      </c>
      <c r="H319" t="s">
        <v>75</v>
      </c>
      <c r="I319" t="s">
        <v>76</v>
      </c>
      <c r="J319" t="s">
        <v>286</v>
      </c>
      <c r="K319" t="s">
        <v>78</v>
      </c>
      <c r="L319" t="s">
        <v>704</v>
      </c>
      <c r="M319" t="s">
        <v>705</v>
      </c>
      <c r="N319" t="s">
        <v>1125</v>
      </c>
      <c r="O319" t="s">
        <v>82</v>
      </c>
      <c r="P319" t="str">
        <f>"1049                          "</f>
        <v xml:space="preserve">1049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54.73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7</v>
      </c>
      <c r="BJ319">
        <v>2.6</v>
      </c>
      <c r="BK319">
        <v>7</v>
      </c>
      <c r="BL319">
        <v>144.18</v>
      </c>
      <c r="BM319">
        <v>21.63</v>
      </c>
      <c r="BN319">
        <v>165.81</v>
      </c>
      <c r="BO319">
        <v>165.81</v>
      </c>
      <c r="BQ319" t="s">
        <v>1126</v>
      </c>
      <c r="BR319" t="s">
        <v>288</v>
      </c>
      <c r="BS319" s="3">
        <v>44893</v>
      </c>
      <c r="BT319" s="4">
        <v>0.61388888888888882</v>
      </c>
      <c r="BU319" t="s">
        <v>1127</v>
      </c>
      <c r="BV319" t="s">
        <v>85</v>
      </c>
      <c r="BY319">
        <v>12987</v>
      </c>
      <c r="BZ319" t="s">
        <v>86</v>
      </c>
      <c r="CA319" t="s">
        <v>1128</v>
      </c>
      <c r="CC319" t="s">
        <v>705</v>
      </c>
      <c r="CD319">
        <v>1200</v>
      </c>
      <c r="CE319" t="s">
        <v>88</v>
      </c>
      <c r="CF319" s="3">
        <v>44893</v>
      </c>
      <c r="CI319">
        <v>3</v>
      </c>
      <c r="CJ319">
        <v>1</v>
      </c>
      <c r="CK319">
        <v>41</v>
      </c>
      <c r="CL319" t="s">
        <v>89</v>
      </c>
    </row>
    <row r="320" spans="1:90" ht="15" customHeight="1" x14ac:dyDescent="0.3">
      <c r="A320" t="s">
        <v>72</v>
      </c>
      <c r="B320" t="s">
        <v>73</v>
      </c>
      <c r="C320" t="s">
        <v>74</v>
      </c>
      <c r="E320" t="str">
        <f>"009943077537"</f>
        <v>009943077537</v>
      </c>
      <c r="F320" s="3">
        <v>44890</v>
      </c>
      <c r="G320">
        <v>202308</v>
      </c>
      <c r="H320" t="s">
        <v>75</v>
      </c>
      <c r="I320" t="s">
        <v>76</v>
      </c>
      <c r="J320" t="s">
        <v>286</v>
      </c>
      <c r="K320" t="s">
        <v>78</v>
      </c>
      <c r="L320" t="s">
        <v>200</v>
      </c>
      <c r="M320" t="s">
        <v>201</v>
      </c>
      <c r="N320" t="s">
        <v>1129</v>
      </c>
      <c r="O320" t="s">
        <v>82</v>
      </c>
      <c r="P320" t="str">
        <f>"1047                          "</f>
        <v xml:space="preserve">1047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59.24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3</v>
      </c>
      <c r="BI320">
        <v>16.7</v>
      </c>
      <c r="BJ320">
        <v>7.2</v>
      </c>
      <c r="BK320">
        <v>17</v>
      </c>
      <c r="BL320">
        <v>155.63</v>
      </c>
      <c r="BM320">
        <v>23.34</v>
      </c>
      <c r="BN320">
        <v>178.97</v>
      </c>
      <c r="BO320">
        <v>178.97</v>
      </c>
      <c r="BR320" t="s">
        <v>288</v>
      </c>
      <c r="BS320" s="3">
        <v>44893</v>
      </c>
      <c r="BT320" s="4">
        <v>0.76180555555555562</v>
      </c>
      <c r="BU320" t="s">
        <v>1130</v>
      </c>
      <c r="BV320" t="s">
        <v>85</v>
      </c>
      <c r="BY320">
        <v>36179.730000000003</v>
      </c>
      <c r="BZ320" t="s">
        <v>86</v>
      </c>
      <c r="CA320" t="s">
        <v>1131</v>
      </c>
      <c r="CC320" t="s">
        <v>201</v>
      </c>
      <c r="CD320">
        <v>1401</v>
      </c>
      <c r="CE320" t="s">
        <v>88</v>
      </c>
      <c r="CF320" s="3">
        <v>44894</v>
      </c>
      <c r="CI320">
        <v>2</v>
      </c>
      <c r="CJ320">
        <v>1</v>
      </c>
      <c r="CK320">
        <v>41</v>
      </c>
      <c r="CL320" t="s">
        <v>89</v>
      </c>
    </row>
    <row r="321" spans="1:90" ht="15" customHeight="1" x14ac:dyDescent="0.3">
      <c r="A321" t="s">
        <v>72</v>
      </c>
      <c r="B321" t="s">
        <v>73</v>
      </c>
      <c r="C321" t="s">
        <v>74</v>
      </c>
      <c r="E321" t="str">
        <f>"009943077541"</f>
        <v>009943077541</v>
      </c>
      <c r="F321" s="3">
        <v>44890</v>
      </c>
      <c r="G321">
        <v>202308</v>
      </c>
      <c r="H321" t="s">
        <v>75</v>
      </c>
      <c r="I321" t="s">
        <v>76</v>
      </c>
      <c r="J321" t="s">
        <v>286</v>
      </c>
      <c r="K321" t="s">
        <v>78</v>
      </c>
      <c r="L321" t="s">
        <v>166</v>
      </c>
      <c r="M321" t="s">
        <v>167</v>
      </c>
      <c r="N321" t="s">
        <v>1132</v>
      </c>
      <c r="O321" t="s">
        <v>82</v>
      </c>
      <c r="P321" t="str">
        <f>"1043                          "</f>
        <v xml:space="preserve">1043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54.73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2</v>
      </c>
      <c r="BI321">
        <v>12.5</v>
      </c>
      <c r="BJ321">
        <v>5.2</v>
      </c>
      <c r="BK321">
        <v>13</v>
      </c>
      <c r="BL321">
        <v>144.18</v>
      </c>
      <c r="BM321">
        <v>21.63</v>
      </c>
      <c r="BN321">
        <v>165.81</v>
      </c>
      <c r="BO321">
        <v>165.81</v>
      </c>
      <c r="BR321" t="s">
        <v>288</v>
      </c>
      <c r="BS321" s="3">
        <v>44893</v>
      </c>
      <c r="BT321" s="4">
        <v>0.73958333333333337</v>
      </c>
      <c r="BU321" t="s">
        <v>1133</v>
      </c>
      <c r="BV321" t="s">
        <v>85</v>
      </c>
      <c r="BY321">
        <v>25760.13</v>
      </c>
      <c r="BZ321" t="s">
        <v>86</v>
      </c>
      <c r="CA321" t="s">
        <v>1134</v>
      </c>
      <c r="CC321" t="s">
        <v>167</v>
      </c>
      <c r="CD321">
        <v>81</v>
      </c>
      <c r="CE321" t="s">
        <v>88</v>
      </c>
      <c r="CF321" s="3">
        <v>44894</v>
      </c>
      <c r="CI321">
        <v>2</v>
      </c>
      <c r="CJ321">
        <v>1</v>
      </c>
      <c r="CK321">
        <v>41</v>
      </c>
      <c r="CL321" t="s">
        <v>89</v>
      </c>
    </row>
    <row r="322" spans="1:90" ht="15" customHeight="1" x14ac:dyDescent="0.3">
      <c r="A322" t="s">
        <v>72</v>
      </c>
      <c r="B322" t="s">
        <v>73</v>
      </c>
      <c r="C322" t="s">
        <v>74</v>
      </c>
      <c r="E322" t="str">
        <f>"009943077532"</f>
        <v>009943077532</v>
      </c>
      <c r="F322" s="3">
        <v>44890</v>
      </c>
      <c r="G322">
        <v>202308</v>
      </c>
      <c r="H322" t="s">
        <v>75</v>
      </c>
      <c r="I322" t="s">
        <v>76</v>
      </c>
      <c r="J322" t="s">
        <v>286</v>
      </c>
      <c r="K322" t="s">
        <v>78</v>
      </c>
      <c r="L322" t="s">
        <v>1135</v>
      </c>
      <c r="M322" t="s">
        <v>1136</v>
      </c>
      <c r="N322" t="s">
        <v>1137</v>
      </c>
      <c r="O322" t="s">
        <v>82</v>
      </c>
      <c r="P322" t="str">
        <f>"1052                          "</f>
        <v xml:space="preserve">1052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60.44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2</v>
      </c>
      <c r="BI322">
        <v>12.3</v>
      </c>
      <c r="BJ322">
        <v>5.2</v>
      </c>
      <c r="BK322">
        <v>13</v>
      </c>
      <c r="BL322">
        <v>158.68</v>
      </c>
      <c r="BM322">
        <v>23.8</v>
      </c>
      <c r="BN322">
        <v>182.48</v>
      </c>
      <c r="BO322">
        <v>182.48</v>
      </c>
      <c r="BR322" t="s">
        <v>288</v>
      </c>
      <c r="BS322" t="s">
        <v>93</v>
      </c>
      <c r="BY322">
        <v>25832.560000000001</v>
      </c>
      <c r="BZ322" t="s">
        <v>86</v>
      </c>
      <c r="CC322" t="s">
        <v>1136</v>
      </c>
      <c r="CD322">
        <v>7380</v>
      </c>
      <c r="CE322" t="s">
        <v>88</v>
      </c>
      <c r="CI322">
        <v>5</v>
      </c>
      <c r="CJ322" t="s">
        <v>93</v>
      </c>
      <c r="CK322">
        <v>44</v>
      </c>
      <c r="CL322" t="s">
        <v>89</v>
      </c>
    </row>
    <row r="323" spans="1:90" ht="15" customHeight="1" x14ac:dyDescent="0.3">
      <c r="A323" t="s">
        <v>72</v>
      </c>
      <c r="B323" t="s">
        <v>73</v>
      </c>
      <c r="C323" t="s">
        <v>74</v>
      </c>
      <c r="E323" t="str">
        <f>"009943077538"</f>
        <v>009943077538</v>
      </c>
      <c r="F323" s="3">
        <v>44890</v>
      </c>
      <c r="G323">
        <v>202308</v>
      </c>
      <c r="H323" t="s">
        <v>75</v>
      </c>
      <c r="I323" t="s">
        <v>76</v>
      </c>
      <c r="J323" t="s">
        <v>286</v>
      </c>
      <c r="K323" t="s">
        <v>78</v>
      </c>
      <c r="L323" t="s">
        <v>117</v>
      </c>
      <c r="M323" t="s">
        <v>118</v>
      </c>
      <c r="N323" t="s">
        <v>1138</v>
      </c>
      <c r="O323" t="s">
        <v>82</v>
      </c>
      <c r="P323" t="str">
        <f>"1046                          "</f>
        <v xml:space="preserve">1046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54.73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6.8</v>
      </c>
      <c r="BJ323">
        <v>2.6</v>
      </c>
      <c r="BK323">
        <v>7</v>
      </c>
      <c r="BL323">
        <v>144.18</v>
      </c>
      <c r="BM323">
        <v>21.63</v>
      </c>
      <c r="BN323">
        <v>165.81</v>
      </c>
      <c r="BO323">
        <v>165.81</v>
      </c>
      <c r="BQ323" t="s">
        <v>1139</v>
      </c>
      <c r="BR323" t="s">
        <v>288</v>
      </c>
      <c r="BS323" s="3">
        <v>44893</v>
      </c>
      <c r="BT323" s="4">
        <v>0.37222222222222223</v>
      </c>
      <c r="BU323" t="s">
        <v>1140</v>
      </c>
      <c r="BV323" t="s">
        <v>85</v>
      </c>
      <c r="BY323">
        <v>12819.63</v>
      </c>
      <c r="BZ323" t="s">
        <v>86</v>
      </c>
      <c r="CA323" t="s">
        <v>1141</v>
      </c>
      <c r="CC323" t="s">
        <v>118</v>
      </c>
      <c r="CD323">
        <v>3610</v>
      </c>
      <c r="CE323" t="s">
        <v>88</v>
      </c>
      <c r="CF323" s="3">
        <v>44894</v>
      </c>
      <c r="CI323">
        <v>3</v>
      </c>
      <c r="CJ323">
        <v>1</v>
      </c>
      <c r="CK323">
        <v>41</v>
      </c>
      <c r="CL323" t="s">
        <v>89</v>
      </c>
    </row>
    <row r="324" spans="1:90" ht="15" customHeight="1" x14ac:dyDescent="0.3">
      <c r="A324" t="s">
        <v>72</v>
      </c>
      <c r="B324" t="s">
        <v>73</v>
      </c>
      <c r="C324" t="s">
        <v>74</v>
      </c>
      <c r="E324" t="str">
        <f>"009943077534"</f>
        <v>009943077534</v>
      </c>
      <c r="F324" s="3">
        <v>44890</v>
      </c>
      <c r="G324">
        <v>202308</v>
      </c>
      <c r="H324" t="s">
        <v>75</v>
      </c>
      <c r="I324" t="s">
        <v>76</v>
      </c>
      <c r="J324" t="s">
        <v>286</v>
      </c>
      <c r="K324" t="s">
        <v>78</v>
      </c>
      <c r="L324" t="s">
        <v>79</v>
      </c>
      <c r="M324" t="s">
        <v>80</v>
      </c>
      <c r="N324" t="s">
        <v>1142</v>
      </c>
      <c r="O324" t="s">
        <v>82</v>
      </c>
      <c r="P324" t="str">
        <f>"1051                          "</f>
        <v xml:space="preserve">1051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75.03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4</v>
      </c>
      <c r="BI324">
        <v>23.6</v>
      </c>
      <c r="BJ324">
        <v>9.1</v>
      </c>
      <c r="BK324">
        <v>24</v>
      </c>
      <c r="BL324">
        <v>195.71</v>
      </c>
      <c r="BM324">
        <v>29.36</v>
      </c>
      <c r="BN324">
        <v>225.07</v>
      </c>
      <c r="BO324">
        <v>225.07</v>
      </c>
      <c r="BR324" t="s">
        <v>288</v>
      </c>
      <c r="BS324" s="3">
        <v>44894</v>
      </c>
      <c r="BT324" s="4">
        <v>0.51388888888888895</v>
      </c>
      <c r="BU324" t="s">
        <v>1143</v>
      </c>
      <c r="BV324" t="s">
        <v>85</v>
      </c>
      <c r="BY324">
        <v>45509.45</v>
      </c>
      <c r="BZ324" t="s">
        <v>86</v>
      </c>
      <c r="CA324" t="s">
        <v>387</v>
      </c>
      <c r="CC324" t="s">
        <v>80</v>
      </c>
      <c r="CD324">
        <v>2195</v>
      </c>
      <c r="CE324" t="s">
        <v>88</v>
      </c>
      <c r="CF324" s="3">
        <v>44895</v>
      </c>
      <c r="CI324">
        <v>2</v>
      </c>
      <c r="CJ324">
        <v>2</v>
      </c>
      <c r="CK324">
        <v>41</v>
      </c>
      <c r="CL324" t="s">
        <v>89</v>
      </c>
    </row>
    <row r="325" spans="1:90" ht="15" customHeight="1" x14ac:dyDescent="0.3">
      <c r="A325" t="s">
        <v>72</v>
      </c>
      <c r="B325" t="s">
        <v>73</v>
      </c>
      <c r="C325" t="s">
        <v>74</v>
      </c>
      <c r="E325" t="str">
        <f>"009943077539"</f>
        <v>009943077539</v>
      </c>
      <c r="F325" s="3">
        <v>44890</v>
      </c>
      <c r="G325">
        <v>202308</v>
      </c>
      <c r="H325" t="s">
        <v>75</v>
      </c>
      <c r="I325" t="s">
        <v>76</v>
      </c>
      <c r="J325" t="s">
        <v>286</v>
      </c>
      <c r="K325" t="s">
        <v>78</v>
      </c>
      <c r="L325" t="s">
        <v>79</v>
      </c>
      <c r="M325" t="s">
        <v>80</v>
      </c>
      <c r="N325" t="s">
        <v>1144</v>
      </c>
      <c r="O325" t="s">
        <v>82</v>
      </c>
      <c r="P325" t="str">
        <f>"1045                          "</f>
        <v xml:space="preserve">1045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75.03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3</v>
      </c>
      <c r="BI325">
        <v>23.1</v>
      </c>
      <c r="BJ325">
        <v>10.1</v>
      </c>
      <c r="BK325">
        <v>24</v>
      </c>
      <c r="BL325">
        <v>195.71</v>
      </c>
      <c r="BM325">
        <v>29.36</v>
      </c>
      <c r="BN325">
        <v>225.07</v>
      </c>
      <c r="BO325">
        <v>225.07</v>
      </c>
      <c r="BQ325" t="s">
        <v>1145</v>
      </c>
      <c r="BR325" t="s">
        <v>288</v>
      </c>
      <c r="BS325" s="3">
        <v>44893</v>
      </c>
      <c r="BT325" s="4">
        <v>0.35694444444444445</v>
      </c>
      <c r="BU325" t="s">
        <v>244</v>
      </c>
      <c r="BV325" t="s">
        <v>85</v>
      </c>
      <c r="BY325">
        <v>50545.7</v>
      </c>
      <c r="BZ325" t="s">
        <v>86</v>
      </c>
      <c r="CC325" t="s">
        <v>80</v>
      </c>
      <c r="CD325">
        <v>2192</v>
      </c>
      <c r="CE325" t="s">
        <v>88</v>
      </c>
      <c r="CF325" s="3">
        <v>44894</v>
      </c>
      <c r="CI325">
        <v>2</v>
      </c>
      <c r="CJ325">
        <v>1</v>
      </c>
      <c r="CK325">
        <v>41</v>
      </c>
      <c r="CL325" t="s">
        <v>89</v>
      </c>
    </row>
    <row r="326" spans="1:90" ht="15" customHeight="1" x14ac:dyDescent="0.3">
      <c r="A326" t="s">
        <v>72</v>
      </c>
      <c r="B326" t="s">
        <v>73</v>
      </c>
      <c r="C326" t="s">
        <v>74</v>
      </c>
      <c r="E326" t="str">
        <f>"009943061784"</f>
        <v>009943061784</v>
      </c>
      <c r="F326" s="3">
        <v>44893</v>
      </c>
      <c r="G326">
        <v>202308</v>
      </c>
      <c r="H326" t="s">
        <v>75</v>
      </c>
      <c r="I326" t="s">
        <v>76</v>
      </c>
      <c r="J326" t="s">
        <v>77</v>
      </c>
      <c r="K326" t="s">
        <v>78</v>
      </c>
      <c r="L326" t="s">
        <v>519</v>
      </c>
      <c r="M326" t="s">
        <v>520</v>
      </c>
      <c r="N326" t="s">
        <v>1146</v>
      </c>
      <c r="O326" t="s">
        <v>96</v>
      </c>
      <c r="P326" t="str">
        <f>"INV188678                     "</f>
        <v xml:space="preserve">INV188678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28.3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0.6</v>
      </c>
      <c r="BK326">
        <v>1</v>
      </c>
      <c r="BL326">
        <v>71.84</v>
      </c>
      <c r="BM326">
        <v>10.78</v>
      </c>
      <c r="BN326">
        <v>82.62</v>
      </c>
      <c r="BO326">
        <v>82.62</v>
      </c>
      <c r="BQ326" t="s">
        <v>1147</v>
      </c>
      <c r="BR326" t="s">
        <v>83</v>
      </c>
      <c r="BS326" t="s">
        <v>93</v>
      </c>
      <c r="BY326">
        <v>2953.02</v>
      </c>
      <c r="BZ326" t="s">
        <v>101</v>
      </c>
      <c r="CC326" t="s">
        <v>520</v>
      </c>
      <c r="CD326">
        <v>6024</v>
      </c>
      <c r="CE326" t="s">
        <v>88</v>
      </c>
      <c r="CI326">
        <v>1</v>
      </c>
      <c r="CJ326" t="s">
        <v>93</v>
      </c>
      <c r="CK326">
        <v>21</v>
      </c>
      <c r="CL326" t="s">
        <v>89</v>
      </c>
    </row>
    <row r="327" spans="1:90" ht="15" customHeight="1" x14ac:dyDescent="0.3">
      <c r="A327" t="s">
        <v>72</v>
      </c>
      <c r="B327" t="s">
        <v>73</v>
      </c>
      <c r="C327" t="s">
        <v>74</v>
      </c>
      <c r="E327" t="str">
        <f>"009943061785"</f>
        <v>009943061785</v>
      </c>
      <c r="F327" s="3">
        <v>44893</v>
      </c>
      <c r="G327">
        <v>202308</v>
      </c>
      <c r="H327" t="s">
        <v>75</v>
      </c>
      <c r="I327" t="s">
        <v>76</v>
      </c>
      <c r="J327" t="s">
        <v>77</v>
      </c>
      <c r="K327" t="s">
        <v>78</v>
      </c>
      <c r="L327" t="s">
        <v>79</v>
      </c>
      <c r="M327" t="s">
        <v>80</v>
      </c>
      <c r="N327" t="s">
        <v>1148</v>
      </c>
      <c r="O327" t="s">
        <v>96</v>
      </c>
      <c r="P327" t="str">
        <f>"INV88834                      "</f>
        <v xml:space="preserve">INV88834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35.369999999999997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0.5</v>
      </c>
      <c r="BJ327">
        <v>2.2000000000000002</v>
      </c>
      <c r="BK327">
        <v>2.5</v>
      </c>
      <c r="BL327">
        <v>89.79</v>
      </c>
      <c r="BM327">
        <v>13.47</v>
      </c>
      <c r="BN327">
        <v>103.26</v>
      </c>
      <c r="BO327">
        <v>103.26</v>
      </c>
      <c r="BQ327" t="s">
        <v>1149</v>
      </c>
      <c r="BR327" t="s">
        <v>83</v>
      </c>
      <c r="BS327" s="3">
        <v>44894</v>
      </c>
      <c r="BT327" s="4">
        <v>0.54166666666666663</v>
      </c>
      <c r="BU327" t="s">
        <v>1150</v>
      </c>
      <c r="BV327" t="s">
        <v>89</v>
      </c>
      <c r="BW327" t="s">
        <v>99</v>
      </c>
      <c r="BX327" t="s">
        <v>572</v>
      </c>
      <c r="BY327">
        <v>10880.38</v>
      </c>
      <c r="BZ327" t="s">
        <v>101</v>
      </c>
      <c r="CC327" t="s">
        <v>80</v>
      </c>
      <c r="CD327">
        <v>2196</v>
      </c>
      <c r="CE327" t="s">
        <v>88</v>
      </c>
      <c r="CF327" s="3">
        <v>44894</v>
      </c>
      <c r="CI327">
        <v>1</v>
      </c>
      <c r="CJ327">
        <v>1</v>
      </c>
      <c r="CK327">
        <v>21</v>
      </c>
      <c r="CL327" t="s">
        <v>89</v>
      </c>
    </row>
    <row r="328" spans="1:90" ht="15" customHeight="1" x14ac:dyDescent="0.3">
      <c r="A328" t="s">
        <v>72</v>
      </c>
      <c r="B328" t="s">
        <v>73</v>
      </c>
      <c r="C328" t="s">
        <v>74</v>
      </c>
      <c r="E328" t="str">
        <f>"009943061783"</f>
        <v>009943061783</v>
      </c>
      <c r="F328" s="3">
        <v>44893</v>
      </c>
      <c r="G328">
        <v>202308</v>
      </c>
      <c r="H328" t="s">
        <v>75</v>
      </c>
      <c r="I328" t="s">
        <v>76</v>
      </c>
      <c r="J328" t="s">
        <v>77</v>
      </c>
      <c r="K328" t="s">
        <v>78</v>
      </c>
      <c r="L328" t="s">
        <v>79</v>
      </c>
      <c r="M328" t="s">
        <v>80</v>
      </c>
      <c r="N328" t="s">
        <v>168</v>
      </c>
      <c r="O328" t="s">
        <v>96</v>
      </c>
      <c r="P328" t="str">
        <f>"INV188655                     "</f>
        <v xml:space="preserve">INV188655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120.24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1.1000000000000001</v>
      </c>
      <c r="BJ328">
        <v>8.4</v>
      </c>
      <c r="BK328">
        <v>8.5</v>
      </c>
      <c r="BL328">
        <v>305.22000000000003</v>
      </c>
      <c r="BM328">
        <v>45.78</v>
      </c>
      <c r="BN328">
        <v>351</v>
      </c>
      <c r="BO328">
        <v>351</v>
      </c>
      <c r="BQ328" t="s">
        <v>1151</v>
      </c>
      <c r="BR328" t="s">
        <v>83</v>
      </c>
      <c r="BS328" t="s">
        <v>93</v>
      </c>
      <c r="BY328">
        <v>42175.56</v>
      </c>
      <c r="BZ328" t="s">
        <v>101</v>
      </c>
      <c r="CC328" t="s">
        <v>80</v>
      </c>
      <c r="CD328">
        <v>2115</v>
      </c>
      <c r="CE328" t="s">
        <v>88</v>
      </c>
      <c r="CI328">
        <v>1</v>
      </c>
      <c r="CJ328" t="s">
        <v>93</v>
      </c>
      <c r="CK328">
        <v>21</v>
      </c>
      <c r="CL328" t="s">
        <v>89</v>
      </c>
    </row>
    <row r="329" spans="1:90" ht="15" customHeight="1" x14ac:dyDescent="0.3">
      <c r="A329" t="s">
        <v>72</v>
      </c>
      <c r="B329" t="s">
        <v>73</v>
      </c>
      <c r="C329" t="s">
        <v>74</v>
      </c>
      <c r="E329" t="str">
        <f>"009943061782"</f>
        <v>009943061782</v>
      </c>
      <c r="F329" s="3">
        <v>44893</v>
      </c>
      <c r="G329">
        <v>202308</v>
      </c>
      <c r="H329" t="s">
        <v>75</v>
      </c>
      <c r="I329" t="s">
        <v>76</v>
      </c>
      <c r="J329" t="s">
        <v>77</v>
      </c>
      <c r="K329" t="s">
        <v>78</v>
      </c>
      <c r="L329" t="s">
        <v>1152</v>
      </c>
      <c r="M329" t="s">
        <v>1153</v>
      </c>
      <c r="N329" t="s">
        <v>168</v>
      </c>
      <c r="O329" t="s">
        <v>96</v>
      </c>
      <c r="P329" t="str">
        <f>"INV188804                     "</f>
        <v xml:space="preserve">INV188804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54.83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0.9</v>
      </c>
      <c r="BK329">
        <v>1</v>
      </c>
      <c r="BL329">
        <v>139.19</v>
      </c>
      <c r="BM329">
        <v>20.88</v>
      </c>
      <c r="BN329">
        <v>160.07</v>
      </c>
      <c r="BO329">
        <v>160.07</v>
      </c>
      <c r="BQ329" t="s">
        <v>1154</v>
      </c>
      <c r="BR329" t="s">
        <v>83</v>
      </c>
      <c r="BS329" t="s">
        <v>93</v>
      </c>
      <c r="BY329">
        <v>4360.84</v>
      </c>
      <c r="BZ329" t="s">
        <v>101</v>
      </c>
      <c r="CC329" t="s">
        <v>1153</v>
      </c>
      <c r="CD329">
        <v>6670</v>
      </c>
      <c r="CE329" t="s">
        <v>88</v>
      </c>
      <c r="CI329">
        <v>2</v>
      </c>
      <c r="CJ329" t="s">
        <v>93</v>
      </c>
      <c r="CK329">
        <v>23</v>
      </c>
      <c r="CL329" t="s">
        <v>89</v>
      </c>
    </row>
    <row r="330" spans="1:90" ht="15" customHeight="1" x14ac:dyDescent="0.3">
      <c r="A330" t="s">
        <v>72</v>
      </c>
      <c r="B330" t="s">
        <v>73</v>
      </c>
      <c r="C330" t="s">
        <v>74</v>
      </c>
      <c r="E330" t="str">
        <f>"009943061777"</f>
        <v>009943061777</v>
      </c>
      <c r="F330" s="3">
        <v>44893</v>
      </c>
      <c r="G330">
        <v>202308</v>
      </c>
      <c r="H330" t="s">
        <v>75</v>
      </c>
      <c r="I330" t="s">
        <v>76</v>
      </c>
      <c r="J330" t="s">
        <v>77</v>
      </c>
      <c r="K330" t="s">
        <v>78</v>
      </c>
      <c r="L330" t="s">
        <v>254</v>
      </c>
      <c r="M330" t="s">
        <v>255</v>
      </c>
      <c r="N330" t="s">
        <v>1155</v>
      </c>
      <c r="O330" t="s">
        <v>96</v>
      </c>
      <c r="P330" t="str">
        <f>"INV188822                     "</f>
        <v xml:space="preserve">INV188822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28.3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0.4</v>
      </c>
      <c r="BJ330">
        <v>0.7</v>
      </c>
      <c r="BK330">
        <v>1</v>
      </c>
      <c r="BL330">
        <v>71.84</v>
      </c>
      <c r="BM330">
        <v>10.78</v>
      </c>
      <c r="BN330">
        <v>82.62</v>
      </c>
      <c r="BO330">
        <v>82.62</v>
      </c>
      <c r="BQ330" t="s">
        <v>1156</v>
      </c>
      <c r="BR330" t="s">
        <v>83</v>
      </c>
      <c r="BS330" s="3">
        <v>44894</v>
      </c>
      <c r="BT330" s="4">
        <v>0.36805555555555558</v>
      </c>
      <c r="BU330" t="s">
        <v>1157</v>
      </c>
      <c r="BV330" t="s">
        <v>85</v>
      </c>
      <c r="BY330">
        <v>3737.91</v>
      </c>
      <c r="BZ330" t="s">
        <v>101</v>
      </c>
      <c r="CA330" t="s">
        <v>787</v>
      </c>
      <c r="CC330" t="s">
        <v>255</v>
      </c>
      <c r="CD330">
        <v>157</v>
      </c>
      <c r="CE330" t="s">
        <v>88</v>
      </c>
      <c r="CF330" s="3">
        <v>44894</v>
      </c>
      <c r="CI330">
        <v>1</v>
      </c>
      <c r="CJ330">
        <v>1</v>
      </c>
      <c r="CK330">
        <v>21</v>
      </c>
      <c r="CL330" t="s">
        <v>89</v>
      </c>
    </row>
    <row r="331" spans="1:90" ht="15" customHeight="1" x14ac:dyDescent="0.3">
      <c r="A331" t="s">
        <v>72</v>
      </c>
      <c r="B331" t="s">
        <v>73</v>
      </c>
      <c r="C331" t="s">
        <v>74</v>
      </c>
      <c r="E331" t="str">
        <f>"009943061778"</f>
        <v>009943061778</v>
      </c>
      <c r="F331" s="3">
        <v>44893</v>
      </c>
      <c r="G331">
        <v>202308</v>
      </c>
      <c r="H331" t="s">
        <v>75</v>
      </c>
      <c r="I331" t="s">
        <v>76</v>
      </c>
      <c r="J331" t="s">
        <v>77</v>
      </c>
      <c r="K331" t="s">
        <v>78</v>
      </c>
      <c r="L331" t="s">
        <v>111</v>
      </c>
      <c r="M331" t="s">
        <v>112</v>
      </c>
      <c r="N331" t="s">
        <v>1158</v>
      </c>
      <c r="O331" t="s">
        <v>96</v>
      </c>
      <c r="P331" t="str">
        <f>"INV18831                      "</f>
        <v xml:space="preserve">INV18831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42.45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0.8</v>
      </c>
      <c r="BJ331">
        <v>2.7</v>
      </c>
      <c r="BK331">
        <v>3</v>
      </c>
      <c r="BL331">
        <v>107.75</v>
      </c>
      <c r="BM331">
        <v>16.16</v>
      </c>
      <c r="BN331">
        <v>123.91</v>
      </c>
      <c r="BO331">
        <v>123.91</v>
      </c>
      <c r="BQ331" t="s">
        <v>1159</v>
      </c>
      <c r="BR331" t="s">
        <v>83</v>
      </c>
      <c r="BS331" s="3">
        <v>44894</v>
      </c>
      <c r="BT331" s="4">
        <v>0.73611111111111116</v>
      </c>
      <c r="BU331" t="s">
        <v>1160</v>
      </c>
      <c r="BV331" t="s">
        <v>89</v>
      </c>
      <c r="BW331" t="s">
        <v>205</v>
      </c>
      <c r="BX331" t="s">
        <v>206</v>
      </c>
      <c r="BY331">
        <v>13662</v>
      </c>
      <c r="BZ331" t="s">
        <v>101</v>
      </c>
      <c r="CA331" t="s">
        <v>116</v>
      </c>
      <c r="CC331" t="s">
        <v>112</v>
      </c>
      <c r="CD331">
        <v>1620</v>
      </c>
      <c r="CE331" t="s">
        <v>88</v>
      </c>
      <c r="CF331" s="3">
        <v>44894</v>
      </c>
      <c r="CI331">
        <v>1</v>
      </c>
      <c r="CJ331">
        <v>1</v>
      </c>
      <c r="CK331">
        <v>21</v>
      </c>
      <c r="CL331" t="s">
        <v>89</v>
      </c>
    </row>
    <row r="332" spans="1:90" ht="15" customHeight="1" x14ac:dyDescent="0.3">
      <c r="A332" t="s">
        <v>72</v>
      </c>
      <c r="B332" t="s">
        <v>73</v>
      </c>
      <c r="C332" t="s">
        <v>74</v>
      </c>
      <c r="E332" t="str">
        <f>"009943061781"</f>
        <v>009943061781</v>
      </c>
      <c r="F332" s="3">
        <v>44893</v>
      </c>
      <c r="G332">
        <v>202308</v>
      </c>
      <c r="H332" t="s">
        <v>75</v>
      </c>
      <c r="I332" t="s">
        <v>76</v>
      </c>
      <c r="J332" t="s">
        <v>77</v>
      </c>
      <c r="K332" t="s">
        <v>78</v>
      </c>
      <c r="L332" t="s">
        <v>364</v>
      </c>
      <c r="M332" t="s">
        <v>365</v>
      </c>
      <c r="N332" t="s">
        <v>168</v>
      </c>
      <c r="O332" t="s">
        <v>82</v>
      </c>
      <c r="P332" t="str">
        <f>"INV188806                     "</f>
        <v xml:space="preserve">INV188806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56.99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2.5</v>
      </c>
      <c r="BJ332">
        <v>15.2</v>
      </c>
      <c r="BK332">
        <v>16</v>
      </c>
      <c r="BL332">
        <v>149.91</v>
      </c>
      <c r="BM332">
        <v>22.49</v>
      </c>
      <c r="BN332">
        <v>172.4</v>
      </c>
      <c r="BO332">
        <v>172.4</v>
      </c>
      <c r="BQ332" t="s">
        <v>1161</v>
      </c>
      <c r="BR332" t="s">
        <v>83</v>
      </c>
      <c r="BS332" t="s">
        <v>93</v>
      </c>
      <c r="BY332">
        <v>75810.8</v>
      </c>
      <c r="BZ332" t="s">
        <v>86</v>
      </c>
      <c r="CC332" t="s">
        <v>365</v>
      </c>
      <c r="CD332">
        <v>1459</v>
      </c>
      <c r="CE332" t="s">
        <v>88</v>
      </c>
      <c r="CI332">
        <v>2</v>
      </c>
      <c r="CJ332" t="s">
        <v>93</v>
      </c>
      <c r="CK332">
        <v>41</v>
      </c>
      <c r="CL332" t="s">
        <v>89</v>
      </c>
    </row>
    <row r="333" spans="1:90" ht="15" customHeight="1" x14ac:dyDescent="0.3">
      <c r="A333" t="s">
        <v>72</v>
      </c>
      <c r="B333" t="s">
        <v>73</v>
      </c>
      <c r="C333" t="s">
        <v>74</v>
      </c>
      <c r="E333" t="str">
        <f>"009943061787"</f>
        <v>009943061787</v>
      </c>
      <c r="F333" s="3">
        <v>44893</v>
      </c>
      <c r="G333">
        <v>202308</v>
      </c>
      <c r="H333" t="s">
        <v>75</v>
      </c>
      <c r="I333" t="s">
        <v>76</v>
      </c>
      <c r="J333" t="s">
        <v>77</v>
      </c>
      <c r="K333" t="s">
        <v>78</v>
      </c>
      <c r="L333" t="s">
        <v>1162</v>
      </c>
      <c r="M333" t="s">
        <v>1163</v>
      </c>
      <c r="N333" t="s">
        <v>168</v>
      </c>
      <c r="O333" t="s">
        <v>82</v>
      </c>
      <c r="P333" t="str">
        <f>"INV188861                     "</f>
        <v xml:space="preserve">INV188861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77.19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0.9</v>
      </c>
      <c r="BK333">
        <v>1</v>
      </c>
      <c r="BL333">
        <v>201.19</v>
      </c>
      <c r="BM333">
        <v>30.18</v>
      </c>
      <c r="BN333">
        <v>231.37</v>
      </c>
      <c r="BO333">
        <v>231.37</v>
      </c>
      <c r="BQ333" t="s">
        <v>1164</v>
      </c>
      <c r="BR333" t="s">
        <v>1165</v>
      </c>
      <c r="BS333" t="s">
        <v>93</v>
      </c>
      <c r="BY333">
        <v>4250.24</v>
      </c>
      <c r="BZ333" t="s">
        <v>86</v>
      </c>
      <c r="CC333" t="s">
        <v>1163</v>
      </c>
      <c r="CD333">
        <v>555</v>
      </c>
      <c r="CE333" t="s">
        <v>88</v>
      </c>
      <c r="CI333">
        <v>3</v>
      </c>
      <c r="CJ333" t="s">
        <v>93</v>
      </c>
      <c r="CK333">
        <v>43</v>
      </c>
      <c r="CL333" t="s">
        <v>89</v>
      </c>
    </row>
    <row r="334" spans="1:90" ht="15" customHeight="1" x14ac:dyDescent="0.3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sdrascd7-IEHAZMA137006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2022-11-30T09:13:13Z</dcterms:created>
  <dcterms:modified xsi:type="dcterms:W3CDTF">2022-11-30T09:13:28Z</dcterms:modified>
</cp:coreProperties>
</file>